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" sheetId="1" r:id="rId5"/>
    <sheet name="Billy Bey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5">'Billy Bey'!$A$1:$M$76</definedName>
    <definedName name="_xlnm.Print_Area" localSheetId="1">'Monthly Totals'!$A$1:$B$75</definedName>
    <definedName name="_xlnm.Print_Area" localSheetId="0">'Weekday Totals'!$A$1:$Q$75</definedName>
  </definedNames>
  <calcPr calcId="152511"/>
</workbook>
</file>

<file path=xl/calcChain.xml><?xml version="1.0" encoding="utf-8"?>
<calcChain xmlns="http://schemas.openxmlformats.org/spreadsheetml/2006/main">
  <c r="Q16" i="6" l="1"/>
  <c r="N24" i="6" l="1"/>
  <c r="K24" i="6"/>
  <c r="H24" i="6"/>
  <c r="E24" i="6"/>
  <c r="B24" i="6"/>
  <c r="B20" i="6"/>
  <c r="E20" i="6"/>
  <c r="N32" i="6" l="1"/>
  <c r="K32" i="6"/>
  <c r="K72" i="6" s="1"/>
  <c r="H32" i="6"/>
  <c r="E32" i="6"/>
  <c r="B32" i="6"/>
  <c r="B34" i="7"/>
  <c r="H70" i="6"/>
  <c r="B64" i="7"/>
  <c r="M74" i="10"/>
  <c r="M73" i="10"/>
  <c r="N62" i="6"/>
  <c r="C12" i="5"/>
  <c r="D12" i="5"/>
  <c r="D14" i="5"/>
  <c r="D13" i="5"/>
  <c r="C14" i="5"/>
  <c r="I14" i="2"/>
  <c r="H14" i="2"/>
  <c r="G14" i="2"/>
  <c r="F14" i="2"/>
  <c r="E14" i="2"/>
  <c r="D14" i="2"/>
  <c r="C14" i="2"/>
  <c r="I12" i="2"/>
  <c r="H12" i="2"/>
  <c r="G12" i="2"/>
  <c r="F12" i="2"/>
  <c r="E12" i="2"/>
  <c r="E74" i="2" s="1"/>
  <c r="D12" i="2"/>
  <c r="C12" i="2"/>
  <c r="G14" i="4"/>
  <c r="F14" i="4"/>
  <c r="E14" i="4"/>
  <c r="D14" i="4"/>
  <c r="C14" i="4"/>
  <c r="G12" i="4"/>
  <c r="F12" i="4"/>
  <c r="E12" i="4"/>
  <c r="D12" i="4"/>
  <c r="C12" i="4"/>
  <c r="M12" i="3"/>
  <c r="L12" i="3"/>
  <c r="K12" i="3"/>
  <c r="J12" i="3"/>
  <c r="I12" i="3"/>
  <c r="H12" i="3"/>
  <c r="G12" i="3"/>
  <c r="F12" i="3"/>
  <c r="E12" i="3"/>
  <c r="D12" i="3"/>
  <c r="C12" i="3"/>
  <c r="M14" i="3"/>
  <c r="L14" i="3"/>
  <c r="K14" i="3"/>
  <c r="J14" i="3"/>
  <c r="I14" i="3"/>
  <c r="G74" i="3" s="1"/>
  <c r="H14" i="3"/>
  <c r="G14" i="3"/>
  <c r="F14" i="3"/>
  <c r="E14" i="3"/>
  <c r="D14" i="3"/>
  <c r="C14" i="3"/>
  <c r="D13" i="3"/>
  <c r="C13" i="3"/>
  <c r="K14" i="1"/>
  <c r="J14" i="1"/>
  <c r="I14" i="1"/>
  <c r="D73" i="1" s="1"/>
  <c r="H14" i="1"/>
  <c r="G14" i="1"/>
  <c r="F14" i="1"/>
  <c r="E14" i="1"/>
  <c r="D14" i="1"/>
  <c r="C14" i="1"/>
  <c r="D12" i="1"/>
  <c r="C12" i="1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C23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P14" i="10"/>
  <c r="O14" i="10"/>
  <c r="N14" i="10"/>
  <c r="M14" i="10"/>
  <c r="L14" i="10"/>
  <c r="K14" i="10"/>
  <c r="I14" i="10"/>
  <c r="H14" i="10"/>
  <c r="G14" i="10"/>
  <c r="F14" i="10"/>
  <c r="E14" i="10"/>
  <c r="D14" i="10"/>
  <c r="C14" i="10"/>
  <c r="G12" i="10"/>
  <c r="F12" i="10"/>
  <c r="E12" i="10"/>
  <c r="D12" i="10"/>
  <c r="C12" i="10"/>
  <c r="AH23" i="10"/>
  <c r="X23" i="10"/>
  <c r="W23" i="10"/>
  <c r="V23" i="10"/>
  <c r="U23" i="10"/>
  <c r="T23" i="10"/>
  <c r="S23" i="10"/>
  <c r="R23" i="10"/>
  <c r="P23" i="10"/>
  <c r="O23" i="10"/>
  <c r="N23" i="10"/>
  <c r="M23" i="10"/>
  <c r="L23" i="10"/>
  <c r="K23" i="10"/>
  <c r="I23" i="10"/>
  <c r="H23" i="10"/>
  <c r="G23" i="10"/>
  <c r="F23" i="10"/>
  <c r="E23" i="10"/>
  <c r="D23" i="10"/>
  <c r="AH34" i="10"/>
  <c r="X34" i="10"/>
  <c r="W34" i="10"/>
  <c r="V34" i="10"/>
  <c r="U34" i="10"/>
  <c r="T34" i="10"/>
  <c r="S34" i="10"/>
  <c r="R34" i="10"/>
  <c r="P34" i="10"/>
  <c r="O34" i="10"/>
  <c r="N34" i="10"/>
  <c r="M34" i="10"/>
  <c r="L34" i="10"/>
  <c r="K34" i="10"/>
  <c r="I34" i="10"/>
  <c r="H34" i="10"/>
  <c r="G34" i="10"/>
  <c r="F34" i="10"/>
  <c r="E34" i="10"/>
  <c r="D34" i="10"/>
  <c r="C34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I45" i="10"/>
  <c r="G45" i="10"/>
  <c r="F45" i="10"/>
  <c r="E45" i="10"/>
  <c r="D45" i="10"/>
  <c r="J45" i="10"/>
  <c r="C45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K12" i="1"/>
  <c r="J12" i="1"/>
  <c r="I12" i="1"/>
  <c r="H12" i="1"/>
  <c r="G12" i="1"/>
  <c r="F12" i="1"/>
  <c r="E12" i="1"/>
  <c r="K11" i="1"/>
  <c r="K10" i="1"/>
  <c r="K9" i="1"/>
  <c r="K8" i="1"/>
  <c r="K7" i="1"/>
  <c r="K6" i="1"/>
  <c r="M15" i="3"/>
  <c r="M13" i="3"/>
  <c r="M11" i="3"/>
  <c r="M10" i="3"/>
  <c r="M9" i="3"/>
  <c r="M8" i="3"/>
  <c r="M7" i="3"/>
  <c r="G73" i="3"/>
  <c r="J23" i="10"/>
  <c r="Q14" i="10"/>
  <c r="J14" i="10"/>
  <c r="H12" i="10"/>
  <c r="H25" i="2"/>
  <c r="H26" i="2"/>
  <c r="G26" i="2"/>
  <c r="G25" i="2"/>
  <c r="F26" i="2"/>
  <c r="F25" i="2"/>
  <c r="F73" i="2" s="1"/>
  <c r="E26" i="2"/>
  <c r="E25" i="2"/>
  <c r="E73" i="2" s="1"/>
  <c r="D25" i="2"/>
  <c r="D26" i="2"/>
  <c r="C26" i="2"/>
  <c r="C25" i="2"/>
  <c r="C73" i="2" s="1"/>
  <c r="C24" i="2"/>
  <c r="C23" i="2"/>
  <c r="I13" i="2"/>
  <c r="I15" i="2"/>
  <c r="H15" i="2"/>
  <c r="G15" i="2"/>
  <c r="F15" i="2"/>
  <c r="E15" i="2"/>
  <c r="D15" i="2"/>
  <c r="D16" i="2"/>
  <c r="C15" i="2"/>
  <c r="I6" i="2"/>
  <c r="I7" i="2"/>
  <c r="I8" i="2"/>
  <c r="I9" i="2"/>
  <c r="I10" i="2"/>
  <c r="I11" i="2"/>
  <c r="AA23" i="10"/>
  <c r="Z23" i="10"/>
  <c r="Y23" i="10"/>
  <c r="AI22" i="10"/>
  <c r="AI21" i="10"/>
  <c r="AI20" i="10"/>
  <c r="AI23" i="10" s="1"/>
  <c r="AI19" i="10"/>
  <c r="AI18" i="10"/>
  <c r="AI17" i="10"/>
  <c r="AI16" i="10"/>
  <c r="AI25" i="10" s="1"/>
  <c r="AI11" i="10"/>
  <c r="AI10" i="10"/>
  <c r="AI9" i="10"/>
  <c r="AI8" i="10"/>
  <c r="AI7" i="10"/>
  <c r="AI6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P12" i="10"/>
  <c r="O12" i="10"/>
  <c r="N12" i="10"/>
  <c r="M12" i="10"/>
  <c r="L12" i="10"/>
  <c r="K12" i="10"/>
  <c r="I12" i="10"/>
  <c r="D74" i="1"/>
  <c r="C73" i="1"/>
  <c r="C74" i="1"/>
  <c r="H74" i="2"/>
  <c r="F74" i="2"/>
  <c r="B38" i="7" s="1"/>
  <c r="J73" i="10" l="1"/>
  <c r="B73" i="1"/>
  <c r="H73" i="2"/>
  <c r="G73" i="2"/>
  <c r="C74" i="2"/>
  <c r="I22" i="2"/>
  <c r="I21" i="2"/>
  <c r="I20" i="2"/>
  <c r="I19" i="2"/>
  <c r="I18" i="2"/>
  <c r="I17" i="2"/>
  <c r="I16" i="2"/>
  <c r="I24" i="2" l="1"/>
  <c r="I23" i="2"/>
  <c r="K74" i="2" s="1"/>
  <c r="J76" i="2"/>
  <c r="AI50" i="10"/>
  <c r="AI51" i="10"/>
  <c r="AI52" i="10"/>
  <c r="AI49" i="10"/>
  <c r="AI28" i="10"/>
  <c r="AI29" i="10"/>
  <c r="AI30" i="10"/>
  <c r="AI31" i="10"/>
  <c r="AI32" i="10"/>
  <c r="AI33" i="10"/>
  <c r="AI27" i="10"/>
  <c r="AI34" i="10" l="1"/>
  <c r="E74" i="3"/>
  <c r="E73" i="3"/>
  <c r="B24" i="7" s="1"/>
  <c r="B46" i="7"/>
  <c r="E44" i="6"/>
  <c r="E70" i="6"/>
  <c r="B44" i="6"/>
  <c r="B70" i="6"/>
  <c r="N34" i="6"/>
  <c r="K34" i="6"/>
  <c r="H34" i="6"/>
  <c r="E34" i="6"/>
  <c r="B34" i="6"/>
  <c r="B36" i="6"/>
  <c r="H44" i="10" l="1"/>
  <c r="AI44" i="10" s="1"/>
  <c r="H43" i="10"/>
  <c r="AI43" i="10" s="1"/>
  <c r="H42" i="10"/>
  <c r="AI42" i="10" s="1"/>
  <c r="H41" i="10"/>
  <c r="AI41" i="10" s="1"/>
  <c r="H40" i="10"/>
  <c r="AI40" i="10" s="1"/>
  <c r="H39" i="10"/>
  <c r="AI39" i="10" s="1"/>
  <c r="H38" i="10"/>
  <c r="H45" i="10" l="1"/>
  <c r="AI38" i="10"/>
  <c r="D48" i="10"/>
  <c r="D47" i="10"/>
  <c r="D46" i="10"/>
  <c r="D37" i="10"/>
  <c r="D36" i="10"/>
  <c r="C48" i="10"/>
  <c r="C47" i="10"/>
  <c r="C46" i="10"/>
  <c r="C37" i="10"/>
  <c r="C36" i="10"/>
  <c r="C35" i="10"/>
  <c r="D35" i="10"/>
  <c r="D26" i="10"/>
  <c r="D24" i="10"/>
  <c r="C26" i="10"/>
  <c r="C24" i="10"/>
  <c r="C15" i="10"/>
  <c r="F56" i="3" l="1"/>
  <c r="F49" i="2" l="1"/>
  <c r="F44" i="2"/>
  <c r="F43" i="2"/>
  <c r="F42" i="2"/>
  <c r="E44" i="2"/>
  <c r="E43" i="2"/>
  <c r="E42" i="2"/>
  <c r="D44" i="2"/>
  <c r="D43" i="2"/>
  <c r="D42" i="2"/>
  <c r="C44" i="2"/>
  <c r="C43" i="2"/>
  <c r="C42" i="2"/>
  <c r="F51" i="4" l="1"/>
  <c r="F50" i="4"/>
  <c r="F49" i="4"/>
  <c r="D51" i="4"/>
  <c r="D50" i="4"/>
  <c r="D49" i="4"/>
  <c r="E51" i="4"/>
  <c r="E50" i="4"/>
  <c r="E49" i="4"/>
  <c r="F44" i="4"/>
  <c r="F43" i="4"/>
  <c r="F42" i="4"/>
  <c r="F41" i="4"/>
  <c r="D44" i="4"/>
  <c r="D43" i="4"/>
  <c r="D42" i="4"/>
  <c r="D41" i="4"/>
  <c r="E42" i="4"/>
  <c r="E41" i="4"/>
  <c r="C51" i="4"/>
  <c r="C50" i="4"/>
  <c r="C49" i="4"/>
  <c r="F56" i="2" l="1"/>
  <c r="F57" i="2"/>
  <c r="F58" i="2"/>
  <c r="F59" i="2"/>
  <c r="F45" i="2"/>
  <c r="F46" i="2"/>
  <c r="F47" i="2"/>
  <c r="F48" i="2"/>
  <c r="F34" i="2"/>
  <c r="F35" i="2"/>
  <c r="F36" i="2"/>
  <c r="F37" i="2"/>
  <c r="F13" i="2"/>
  <c r="E13" i="2"/>
  <c r="F32" i="2" l="1"/>
  <c r="F31" i="2"/>
  <c r="F30" i="2"/>
  <c r="F27" i="2"/>
  <c r="E32" i="2"/>
  <c r="E31" i="2"/>
  <c r="E30" i="2"/>
  <c r="E27" i="2"/>
  <c r="D32" i="2"/>
  <c r="D31" i="2"/>
  <c r="D30" i="2"/>
  <c r="D27" i="2"/>
  <c r="C32" i="2"/>
  <c r="C31" i="2"/>
  <c r="C30" i="2"/>
  <c r="C27" i="2"/>
  <c r="F24" i="2"/>
  <c r="F16" i="2"/>
  <c r="E22" i="2"/>
  <c r="E21" i="2"/>
  <c r="E20" i="2"/>
  <c r="E19" i="2"/>
  <c r="F22" i="2"/>
  <c r="F21" i="2"/>
  <c r="F20" i="2"/>
  <c r="F23" i="2" s="1"/>
  <c r="F19" i="2"/>
  <c r="E16" i="2"/>
  <c r="D22" i="2"/>
  <c r="D21" i="2"/>
  <c r="D20" i="2"/>
  <c r="D19" i="2"/>
  <c r="C22" i="2"/>
  <c r="C21" i="2"/>
  <c r="C20" i="2"/>
  <c r="C19" i="2"/>
  <c r="C16" i="2"/>
  <c r="F11" i="2"/>
  <c r="F10" i="2"/>
  <c r="F9" i="2"/>
  <c r="F8" i="2"/>
  <c r="E11" i="2"/>
  <c r="E10" i="2"/>
  <c r="E9" i="2"/>
  <c r="E8" i="2"/>
  <c r="D11" i="2"/>
  <c r="D10" i="2"/>
  <c r="D9" i="2"/>
  <c r="D8" i="2"/>
  <c r="I5" i="2" l="1"/>
  <c r="I27" i="2"/>
  <c r="I28" i="2"/>
  <c r="I29" i="2"/>
  <c r="I30" i="2"/>
  <c r="I31" i="2"/>
  <c r="I32" i="2"/>
  <c r="I33" i="2"/>
  <c r="I38" i="2"/>
  <c r="I39" i="2"/>
  <c r="I40" i="2"/>
  <c r="I41" i="2"/>
  <c r="I42" i="2"/>
  <c r="I43" i="2"/>
  <c r="I44" i="2"/>
  <c r="I49" i="2"/>
  <c r="I50" i="2"/>
  <c r="I51" i="2"/>
  <c r="I52" i="2"/>
  <c r="I53" i="2"/>
  <c r="I54" i="2"/>
  <c r="I55" i="2"/>
  <c r="H13" i="2"/>
  <c r="H23" i="2"/>
  <c r="H24" i="2"/>
  <c r="H34" i="2"/>
  <c r="H35" i="2"/>
  <c r="H36" i="2"/>
  <c r="H37" i="2"/>
  <c r="H45" i="2"/>
  <c r="H46" i="2"/>
  <c r="H47" i="2"/>
  <c r="H48" i="2"/>
  <c r="H56" i="2"/>
  <c r="H57" i="2"/>
  <c r="H58" i="2"/>
  <c r="H59" i="2"/>
  <c r="H67" i="2"/>
  <c r="H68" i="2"/>
  <c r="H69" i="2"/>
  <c r="H70" i="2"/>
  <c r="I46" i="2" l="1"/>
  <c r="I34" i="2"/>
  <c r="I57" i="2"/>
  <c r="I48" i="2"/>
  <c r="I47" i="2"/>
  <c r="I37" i="2"/>
  <c r="I56" i="2"/>
  <c r="I59" i="2"/>
  <c r="I36" i="2"/>
  <c r="I58" i="2"/>
  <c r="I35" i="2"/>
  <c r="I45" i="2"/>
  <c r="C11" i="2"/>
  <c r="C10" i="2"/>
  <c r="C9" i="2"/>
  <c r="C8" i="2"/>
  <c r="F40" i="4" l="1"/>
  <c r="F39" i="4"/>
  <c r="F38" i="4"/>
  <c r="F33" i="4"/>
  <c r="F32" i="4"/>
  <c r="F31" i="4"/>
  <c r="F30" i="4"/>
  <c r="D40" i="4"/>
  <c r="D39" i="4"/>
  <c r="D38" i="4"/>
  <c r="D33" i="4"/>
  <c r="D32" i="4"/>
  <c r="D31" i="4"/>
  <c r="D30" i="4"/>
  <c r="C34" i="4"/>
  <c r="C35" i="4"/>
  <c r="C36" i="4"/>
  <c r="H23" i="1"/>
  <c r="F29" i="4" l="1"/>
  <c r="E29" i="4"/>
  <c r="D29" i="4"/>
  <c r="C29" i="4"/>
  <c r="F28" i="4"/>
  <c r="E28" i="4"/>
  <c r="D28" i="4"/>
  <c r="C28" i="4"/>
  <c r="F27" i="4"/>
  <c r="E27" i="4"/>
  <c r="D27" i="4"/>
  <c r="C27" i="4"/>
  <c r="F22" i="4"/>
  <c r="D22" i="4"/>
  <c r="F21" i="4"/>
  <c r="D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B6" i="5" l="1"/>
  <c r="B7" i="5" s="1"/>
  <c r="B8" i="5" s="1"/>
  <c r="B9" i="5" s="1"/>
  <c r="B10" i="5" s="1"/>
  <c r="B11" i="5" s="1"/>
  <c r="G38" i="4" l="1"/>
  <c r="AI54" i="10" l="1"/>
  <c r="AI55" i="10"/>
  <c r="AI66" i="10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AI70" i="10"/>
  <c r="AI53" i="10"/>
  <c r="AI56" i="10" s="1"/>
  <c r="AH59" i="10"/>
  <c r="AG59" i="10"/>
  <c r="AF59" i="10"/>
  <c r="AE59" i="10"/>
  <c r="AH58" i="10"/>
  <c r="AG58" i="10"/>
  <c r="AF58" i="10"/>
  <c r="AE58" i="10"/>
  <c r="N54" i="6" s="1"/>
  <c r="AH57" i="10"/>
  <c r="AG57" i="10"/>
  <c r="AF57" i="10"/>
  <c r="AE57" i="10"/>
  <c r="AH48" i="10"/>
  <c r="AG48" i="10"/>
  <c r="AF48" i="10"/>
  <c r="AE48" i="10"/>
  <c r="AH47" i="10"/>
  <c r="AG47" i="10"/>
  <c r="AF47" i="10"/>
  <c r="K56" i="6" s="1"/>
  <c r="AE47" i="10"/>
  <c r="K54" i="6" s="1"/>
  <c r="AH46" i="10"/>
  <c r="AG46" i="10"/>
  <c r="AF46" i="10"/>
  <c r="AE46" i="10"/>
  <c r="AH37" i="10"/>
  <c r="AG37" i="10"/>
  <c r="AF37" i="10"/>
  <c r="AE37" i="10"/>
  <c r="AH36" i="10"/>
  <c r="AG36" i="10"/>
  <c r="AF36" i="10"/>
  <c r="H56" i="6" s="1"/>
  <c r="AE36" i="10"/>
  <c r="H54" i="6" s="1"/>
  <c r="AH35" i="10"/>
  <c r="AG35" i="10"/>
  <c r="AF35" i="10"/>
  <c r="AE35" i="10"/>
  <c r="AG34" i="10"/>
  <c r="AF34" i="10"/>
  <c r="AE34" i="10"/>
  <c r="AH26" i="10"/>
  <c r="AG26" i="10"/>
  <c r="AF26" i="10"/>
  <c r="AE26" i="10"/>
  <c r="E56" i="6"/>
  <c r="E54" i="6"/>
  <c r="AH24" i="10"/>
  <c r="AG24" i="10"/>
  <c r="AF24" i="10"/>
  <c r="AE24" i="10"/>
  <c r="AG23" i="10"/>
  <c r="AF23" i="10"/>
  <c r="AE23" i="10"/>
  <c r="AH15" i="10"/>
  <c r="AG15" i="10"/>
  <c r="AF15" i="10"/>
  <c r="AE15" i="10"/>
  <c r="B56" i="6"/>
  <c r="B54" i="6"/>
  <c r="AH13" i="10"/>
  <c r="AG13" i="10"/>
  <c r="AF13" i="10"/>
  <c r="AE13" i="10"/>
  <c r="AD59" i="10"/>
  <c r="AC59" i="10"/>
  <c r="AB59" i="10"/>
  <c r="AA59" i="10"/>
  <c r="Z59" i="10"/>
  <c r="AD58" i="10"/>
  <c r="AC58" i="10"/>
  <c r="N52" i="6" s="1"/>
  <c r="AB58" i="10"/>
  <c r="N50" i="6" s="1"/>
  <c r="AA58" i="10"/>
  <c r="Z58" i="10"/>
  <c r="AD57" i="10"/>
  <c r="AC57" i="10"/>
  <c r="AB57" i="10"/>
  <c r="AA57" i="10"/>
  <c r="Z57" i="10"/>
  <c r="AD48" i="10"/>
  <c r="AC48" i="10"/>
  <c r="AB48" i="10"/>
  <c r="AA48" i="10"/>
  <c r="Z48" i="10"/>
  <c r="AD47" i="10"/>
  <c r="AC47" i="10"/>
  <c r="K52" i="6" s="1"/>
  <c r="AB47" i="10"/>
  <c r="K50" i="6" s="1"/>
  <c r="AA47" i="10"/>
  <c r="Z47" i="10"/>
  <c r="AD46" i="10"/>
  <c r="AC46" i="10"/>
  <c r="AB46" i="10"/>
  <c r="AA46" i="10"/>
  <c r="Z46" i="10"/>
  <c r="AD37" i="10"/>
  <c r="AC37" i="10"/>
  <c r="AB37" i="10"/>
  <c r="AA37" i="10"/>
  <c r="Z37" i="10"/>
  <c r="AD36" i="10"/>
  <c r="AC36" i="10"/>
  <c r="H52" i="6" s="1"/>
  <c r="AB36" i="10"/>
  <c r="H50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E50" i="6"/>
  <c r="AD24" i="10"/>
  <c r="AC24" i="10"/>
  <c r="AB24" i="10"/>
  <c r="AA24" i="10"/>
  <c r="Z24" i="10"/>
  <c r="AD23" i="10"/>
  <c r="AC23" i="10"/>
  <c r="AB23" i="10"/>
  <c r="AD15" i="10"/>
  <c r="AC15" i="10"/>
  <c r="AB15" i="10"/>
  <c r="AA15" i="10"/>
  <c r="Z15" i="10"/>
  <c r="B52" i="6"/>
  <c r="B50" i="6"/>
  <c r="AD13" i="10"/>
  <c r="AC13" i="10"/>
  <c r="AB13" i="10"/>
  <c r="AA13" i="10"/>
  <c r="Z13" i="10"/>
  <c r="T74" i="10" l="1"/>
  <c r="V74" i="10"/>
  <c r="E52" i="6"/>
  <c r="N56" i="6"/>
  <c r="V73" i="10"/>
  <c r="B60" i="7" s="1"/>
  <c r="U73" i="10"/>
  <c r="B58" i="7" s="1"/>
  <c r="U74" i="10"/>
  <c r="S73" i="10"/>
  <c r="B54" i="7" s="1"/>
  <c r="T73" i="10"/>
  <c r="B56" i="7" s="1"/>
  <c r="AI37" i="10"/>
  <c r="AI48" i="10"/>
  <c r="S74" i="10"/>
  <c r="AI5" i="10"/>
  <c r="AI46" i="10"/>
  <c r="AI47" i="10"/>
  <c r="K14" i="6" s="1"/>
  <c r="AI36" i="10"/>
  <c r="H14" i="6" s="1"/>
  <c r="AI35" i="10"/>
  <c r="B6" i="10"/>
  <c r="B7" i="10" s="1"/>
  <c r="B8" i="10" s="1"/>
  <c r="B9" i="10" s="1"/>
  <c r="B10" i="10" s="1"/>
  <c r="B11" i="10" s="1"/>
  <c r="AI12" i="10" l="1"/>
  <c r="AI15" i="10"/>
  <c r="AI14" i="10"/>
  <c r="AI13" i="10"/>
  <c r="AI26" i="10"/>
  <c r="AI45" i="10"/>
  <c r="AI58" i="10"/>
  <c r="N14" i="6" s="1"/>
  <c r="AI59" i="10"/>
  <c r="AI57" i="10"/>
  <c r="AI24" i="10"/>
  <c r="E14" i="6"/>
  <c r="B6" i="3"/>
  <c r="B7" i="3" s="1"/>
  <c r="B8" i="3" s="1"/>
  <c r="B9" i="3" s="1"/>
  <c r="B10" i="3" s="1"/>
  <c r="F78" i="10" l="1"/>
  <c r="F80" i="10"/>
  <c r="F79" i="10"/>
  <c r="B14" i="6"/>
  <c r="F81" i="10"/>
  <c r="B11" i="3"/>
  <c r="K41" i="1" l="1"/>
  <c r="C34" i="1" l="1"/>
  <c r="E56" i="2" l="1"/>
  <c r="D5" i="5" l="1"/>
  <c r="B6" i="2" l="1"/>
  <c r="B7" i="2" s="1"/>
  <c r="B8" i="2" s="1"/>
  <c r="B9" i="2" l="1"/>
  <c r="B10" i="2" s="1"/>
  <c r="B11" i="2" s="1"/>
  <c r="B16" i="2" s="1"/>
  <c r="K46" i="10" l="1"/>
  <c r="E58" i="2" l="1"/>
  <c r="C58" i="2" l="1"/>
  <c r="N10" i="6" l="1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3" i="3"/>
  <c r="H15" i="3"/>
  <c r="E13" i="3" l="1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M47" i="10" l="1"/>
  <c r="M46" i="10"/>
  <c r="E13" i="10"/>
  <c r="K61" i="1" l="1"/>
  <c r="K60" i="1"/>
  <c r="M54" i="3"/>
  <c r="G61" i="4" l="1"/>
  <c r="F56" i="4"/>
  <c r="D34" i="1" l="1"/>
  <c r="G13" i="2" l="1"/>
  <c r="E46" i="6" l="1"/>
  <c r="E42" i="6"/>
  <c r="E40" i="6"/>
  <c r="E38" i="6"/>
  <c r="K25" i="3"/>
  <c r="M21" i="3"/>
  <c r="M20" i="3"/>
  <c r="M19" i="3"/>
  <c r="M18" i="3"/>
  <c r="M17" i="3"/>
  <c r="M16" i="3"/>
  <c r="M25" i="3" l="1"/>
  <c r="E6" i="6" s="1"/>
  <c r="B22" i="6" l="1"/>
  <c r="F23" i="4"/>
  <c r="E23" i="4"/>
  <c r="E25" i="4"/>
  <c r="D25" i="4"/>
  <c r="D26" i="4"/>
  <c r="D23" i="4"/>
  <c r="C26" i="4"/>
  <c r="C23" i="4"/>
  <c r="D13" i="4"/>
  <c r="C15" i="4"/>
  <c r="G11" i="4"/>
  <c r="G10" i="4"/>
  <c r="G9" i="4"/>
  <c r="G17" i="4"/>
  <c r="G16" i="4"/>
  <c r="C13" i="2"/>
  <c r="E30" i="6"/>
  <c r="B30" i="6"/>
  <c r="C13" i="5" l="1"/>
  <c r="Q23" i="10" l="1"/>
  <c r="N24" i="10"/>
  <c r="O24" i="10"/>
  <c r="P24" i="10"/>
  <c r="Q24" i="10"/>
  <c r="R24" i="10"/>
  <c r="S24" i="10"/>
  <c r="T24" i="10"/>
  <c r="E48" i="6"/>
  <c r="N26" i="10"/>
  <c r="O26" i="10"/>
  <c r="P26" i="10"/>
  <c r="Q26" i="10"/>
  <c r="R26" i="10"/>
  <c r="S26" i="10"/>
  <c r="T26" i="10"/>
  <c r="E11" i="11"/>
  <c r="E10" i="11"/>
  <c r="E9" i="11"/>
  <c r="E8" i="11"/>
  <c r="E7" i="11"/>
  <c r="E6" i="11"/>
  <c r="E5" i="11"/>
  <c r="G8" i="4"/>
  <c r="G7" i="4"/>
  <c r="G6" i="4"/>
  <c r="M6" i="3"/>
  <c r="E14" i="11" l="1"/>
  <c r="U67" i="10"/>
  <c r="V67" i="10"/>
  <c r="W67" i="10"/>
  <c r="I73" i="10" s="1"/>
  <c r="B72" i="7" s="1"/>
  <c r="X67" i="10"/>
  <c r="Y67" i="10"/>
  <c r="U68" i="10"/>
  <c r="V68" i="10"/>
  <c r="W68" i="10"/>
  <c r="X68" i="10"/>
  <c r="Y68" i="10"/>
  <c r="U69" i="10"/>
  <c r="V69" i="10"/>
  <c r="W69" i="10"/>
  <c r="I74" i="10" s="1"/>
  <c r="X69" i="10"/>
  <c r="Y69" i="10"/>
  <c r="U70" i="10"/>
  <c r="V70" i="10"/>
  <c r="W70" i="10"/>
  <c r="X70" i="10"/>
  <c r="Y70" i="10"/>
  <c r="U13" i="10"/>
  <c r="V13" i="10"/>
  <c r="W13" i="10"/>
  <c r="X13" i="10"/>
  <c r="Y13" i="10"/>
  <c r="U15" i="10"/>
  <c r="V15" i="10"/>
  <c r="W15" i="10"/>
  <c r="X15" i="10"/>
  <c r="Y15" i="10"/>
  <c r="U24" i="10"/>
  <c r="V24" i="10"/>
  <c r="W24" i="10"/>
  <c r="X24" i="10"/>
  <c r="Y24" i="10"/>
  <c r="E66" i="6"/>
  <c r="E68" i="6"/>
  <c r="U26" i="10"/>
  <c r="V26" i="10"/>
  <c r="W26" i="10"/>
  <c r="X26" i="10"/>
  <c r="Y26" i="10"/>
  <c r="Y34" i="10"/>
  <c r="U35" i="10"/>
  <c r="V35" i="10"/>
  <c r="W35" i="10"/>
  <c r="X35" i="10"/>
  <c r="Y35" i="10"/>
  <c r="U36" i="10"/>
  <c r="H66" i="6" s="1"/>
  <c r="V36" i="10"/>
  <c r="W36" i="10"/>
  <c r="X36" i="10"/>
  <c r="Y36" i="10"/>
  <c r="U37" i="10"/>
  <c r="V37" i="10"/>
  <c r="W37" i="10"/>
  <c r="X37" i="10"/>
  <c r="Y37" i="10"/>
  <c r="U46" i="10"/>
  <c r="V46" i="10"/>
  <c r="W46" i="10"/>
  <c r="X46" i="10"/>
  <c r="Y46" i="10"/>
  <c r="U47" i="10"/>
  <c r="K66" i="6" s="1"/>
  <c r="V47" i="10"/>
  <c r="K68" i="6" s="1"/>
  <c r="W47" i="10"/>
  <c r="K70" i="6" s="1"/>
  <c r="X47" i="10"/>
  <c r="Y47" i="10"/>
  <c r="U48" i="10"/>
  <c r="V48" i="10"/>
  <c r="W48" i="10"/>
  <c r="X48" i="10"/>
  <c r="Y48" i="10"/>
  <c r="U57" i="10"/>
  <c r="V57" i="10"/>
  <c r="W57" i="10"/>
  <c r="X57" i="10"/>
  <c r="Y57" i="10"/>
  <c r="U58" i="10"/>
  <c r="N66" i="6" s="1"/>
  <c r="V58" i="10"/>
  <c r="N68" i="6" s="1"/>
  <c r="W58" i="10"/>
  <c r="N70" i="6" s="1"/>
  <c r="X58" i="10"/>
  <c r="Y58" i="10"/>
  <c r="U59" i="10"/>
  <c r="V59" i="10"/>
  <c r="W59" i="10"/>
  <c r="X59" i="10"/>
  <c r="Y59" i="10"/>
  <c r="B68" i="6" l="1"/>
  <c r="R74" i="10"/>
  <c r="Q73" i="10"/>
  <c r="B68" i="7" s="1"/>
  <c r="R73" i="10"/>
  <c r="B70" i="7" s="1"/>
  <c r="H68" i="6"/>
  <c r="Q74" i="10"/>
  <c r="B66" i="6"/>
  <c r="B8" i="11"/>
  <c r="B9" i="11"/>
  <c r="B10" i="11"/>
  <c r="B11" i="11" s="1"/>
  <c r="T70" i="10" l="1"/>
  <c r="S70" i="10"/>
  <c r="R70" i="10"/>
  <c r="Q70" i="10"/>
  <c r="P70" i="10"/>
  <c r="O70" i="10"/>
  <c r="N70" i="10"/>
  <c r="T69" i="10"/>
  <c r="S69" i="10"/>
  <c r="R69" i="10"/>
  <c r="Q69" i="10"/>
  <c r="P69" i="10"/>
  <c r="O69" i="10"/>
  <c r="N69" i="10"/>
  <c r="T68" i="10"/>
  <c r="S68" i="10"/>
  <c r="R68" i="10"/>
  <c r="Q68" i="10"/>
  <c r="P68" i="10"/>
  <c r="O68" i="10"/>
  <c r="N68" i="10"/>
  <c r="T67" i="10"/>
  <c r="S67" i="10"/>
  <c r="R67" i="10"/>
  <c r="P73" i="10" s="1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8" i="6" s="1"/>
  <c r="Q58" i="10"/>
  <c r="P58" i="10"/>
  <c r="N46" i="6" s="1"/>
  <c r="O58" i="10"/>
  <c r="N58" i="10"/>
  <c r="N48" i="6" s="1"/>
  <c r="T57" i="10"/>
  <c r="S57" i="10"/>
  <c r="R57" i="10"/>
  <c r="Q57" i="10"/>
  <c r="P57" i="10"/>
  <c r="O57" i="10"/>
  <c r="N57" i="10"/>
  <c r="Q56" i="10"/>
  <c r="T48" i="10"/>
  <c r="S48" i="10"/>
  <c r="R48" i="10"/>
  <c r="Q48" i="10"/>
  <c r="P48" i="10"/>
  <c r="O48" i="10"/>
  <c r="N48" i="10"/>
  <c r="T47" i="10"/>
  <c r="S47" i="10"/>
  <c r="R47" i="10"/>
  <c r="K58" i="6" s="1"/>
  <c r="Q47" i="10"/>
  <c r="P47" i="10"/>
  <c r="K46" i="6" s="1"/>
  <c r="O47" i="10"/>
  <c r="N47" i="10"/>
  <c r="K48" i="6" s="1"/>
  <c r="T46" i="10"/>
  <c r="S46" i="10"/>
  <c r="R46" i="10"/>
  <c r="Q46" i="10"/>
  <c r="P46" i="10"/>
  <c r="O46" i="10"/>
  <c r="N46" i="10"/>
  <c r="T37" i="10"/>
  <c r="S37" i="10"/>
  <c r="R37" i="10"/>
  <c r="Q37" i="10"/>
  <c r="P37" i="10"/>
  <c r="O37" i="10"/>
  <c r="N37" i="10"/>
  <c r="T36" i="10"/>
  <c r="S36" i="10"/>
  <c r="R36" i="10"/>
  <c r="Q36" i="10"/>
  <c r="P36" i="10"/>
  <c r="H46" i="6" s="1"/>
  <c r="O36" i="10"/>
  <c r="N36" i="10"/>
  <c r="H48" i="6" s="1"/>
  <c r="T35" i="10"/>
  <c r="S35" i="10"/>
  <c r="R35" i="10"/>
  <c r="Q35" i="10"/>
  <c r="P35" i="10"/>
  <c r="O35" i="10"/>
  <c r="N35" i="10"/>
  <c r="Q34" i="10"/>
  <c r="E58" i="6"/>
  <c r="T15" i="10"/>
  <c r="S15" i="10"/>
  <c r="R15" i="10"/>
  <c r="Q15" i="10"/>
  <c r="P15" i="10"/>
  <c r="O15" i="10"/>
  <c r="N15" i="10"/>
  <c r="B58" i="6"/>
  <c r="B46" i="6"/>
  <c r="B48" i="6"/>
  <c r="T13" i="10"/>
  <c r="S13" i="10"/>
  <c r="R13" i="10"/>
  <c r="Q13" i="10"/>
  <c r="P13" i="10"/>
  <c r="O13" i="10"/>
  <c r="N13" i="10"/>
  <c r="Q12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59" i="10"/>
  <c r="L59" i="10"/>
  <c r="K59" i="10"/>
  <c r="M58" i="10"/>
  <c r="L58" i="10"/>
  <c r="K58" i="10"/>
  <c r="N64" i="6" s="1"/>
  <c r="M57" i="10"/>
  <c r="L57" i="10"/>
  <c r="K57" i="10"/>
  <c r="M48" i="10"/>
  <c r="L48" i="10"/>
  <c r="K48" i="10"/>
  <c r="L47" i="10"/>
  <c r="K47" i="10"/>
  <c r="K64" i="6" s="1"/>
  <c r="L46" i="10"/>
  <c r="M37" i="10"/>
  <c r="L37" i="10"/>
  <c r="K37" i="10"/>
  <c r="M36" i="10"/>
  <c r="L36" i="10"/>
  <c r="K36" i="10"/>
  <c r="H64" i="6" s="1"/>
  <c r="M35" i="10"/>
  <c r="L35" i="10"/>
  <c r="K35" i="10"/>
  <c r="M26" i="10"/>
  <c r="L26" i="10"/>
  <c r="K26" i="10"/>
  <c r="E62" i="6"/>
  <c r="E64" i="6"/>
  <c r="M24" i="10"/>
  <c r="L24" i="10"/>
  <c r="K24" i="10"/>
  <c r="M15" i="10"/>
  <c r="L15" i="10"/>
  <c r="K15" i="10"/>
  <c r="B64" i="6"/>
  <c r="M13" i="10"/>
  <c r="L13" i="10"/>
  <c r="K13" i="10"/>
  <c r="H58" i="6" l="1"/>
  <c r="P74" i="10"/>
  <c r="K62" i="6"/>
  <c r="H62" i="6"/>
  <c r="B62" i="6"/>
  <c r="L73" i="10"/>
  <c r="B66" i="7" s="1"/>
  <c r="O74" i="10"/>
  <c r="O73" i="10"/>
  <c r="B50" i="7" s="1"/>
  <c r="N73" i="10"/>
  <c r="B52" i="7" s="1"/>
  <c r="L74" i="10"/>
  <c r="N74" i="10"/>
  <c r="B7" i="11"/>
  <c r="B62" i="7" l="1"/>
  <c r="C56" i="11" l="1"/>
  <c r="D56" i="11"/>
  <c r="C45" i="1"/>
  <c r="C56" i="1"/>
  <c r="D56" i="1"/>
  <c r="E56" i="1"/>
  <c r="F56" i="1"/>
  <c r="G45" i="1"/>
  <c r="G56" i="1"/>
  <c r="C56" i="3"/>
  <c r="I56" i="1"/>
  <c r="J56" i="1"/>
  <c r="I56" i="3"/>
  <c r="J56" i="3"/>
  <c r="K56" i="3"/>
  <c r="L56" i="3"/>
  <c r="C67" i="10"/>
  <c r="C73" i="10" s="1"/>
  <c r="H56" i="1"/>
  <c r="H45" i="1"/>
  <c r="F45" i="3"/>
  <c r="G56" i="3"/>
  <c r="D67" i="10"/>
  <c r="D73" i="10" s="1"/>
  <c r="E67" i="10"/>
  <c r="E73" i="10" s="1"/>
  <c r="F67" i="10"/>
  <c r="G67" i="10"/>
  <c r="H67" i="10"/>
  <c r="I67" i="10"/>
  <c r="J67" i="10"/>
  <c r="C58" i="10"/>
  <c r="C69" i="10"/>
  <c r="I58" i="1"/>
  <c r="J58" i="1"/>
  <c r="I58" i="3"/>
  <c r="J58" i="3"/>
  <c r="K58" i="3"/>
  <c r="L58" i="3"/>
  <c r="N22" i="6" s="1"/>
  <c r="D69" i="10"/>
  <c r="E69" i="10"/>
  <c r="F69" i="10"/>
  <c r="G69" i="10"/>
  <c r="H69" i="10"/>
  <c r="J69" i="10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6" i="6" s="1"/>
  <c r="F58" i="10"/>
  <c r="G58" i="10"/>
  <c r="H58" i="10"/>
  <c r="I58" i="10"/>
  <c r="N44" i="6" s="1"/>
  <c r="J58" i="10"/>
  <c r="N60" i="6" s="1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67" i="3"/>
  <c r="D67" i="3"/>
  <c r="C23" i="3"/>
  <c r="D23" i="3"/>
  <c r="C34" i="3"/>
  <c r="D34" i="3"/>
  <c r="C45" i="3"/>
  <c r="D45" i="3"/>
  <c r="D56" i="3"/>
  <c r="E67" i="2"/>
  <c r="E34" i="2"/>
  <c r="E45" i="2"/>
  <c r="C12" i="11"/>
  <c r="C67" i="11"/>
  <c r="C23" i="11"/>
  <c r="C34" i="11"/>
  <c r="C45" i="11"/>
  <c r="K5" i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I61" i="2"/>
  <c r="I60" i="2"/>
  <c r="G5" i="4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2" i="6" s="1"/>
  <c r="G36" i="10"/>
  <c r="H40" i="6" s="1"/>
  <c r="F36" i="10"/>
  <c r="H38" i="6" s="1"/>
  <c r="E36" i="10"/>
  <c r="I36" i="10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D61" i="5"/>
  <c r="E69" i="4"/>
  <c r="F69" i="4"/>
  <c r="E58" i="4"/>
  <c r="F58" i="4"/>
  <c r="J47" i="10"/>
  <c r="K60" i="6" s="1"/>
  <c r="I47" i="10"/>
  <c r="K44" i="6" s="1"/>
  <c r="H47" i="10"/>
  <c r="K42" i="6" s="1"/>
  <c r="G47" i="10"/>
  <c r="K40" i="6" s="1"/>
  <c r="F47" i="10"/>
  <c r="K38" i="6" s="1"/>
  <c r="E47" i="10"/>
  <c r="K36" i="6" s="1"/>
  <c r="E47" i="4"/>
  <c r="F47" i="4"/>
  <c r="J36" i="10"/>
  <c r="H60" i="6" s="1"/>
  <c r="E36" i="4"/>
  <c r="F36" i="4"/>
  <c r="B60" i="6"/>
  <c r="B42" i="6"/>
  <c r="B40" i="6"/>
  <c r="B38" i="6"/>
  <c r="B26" i="6"/>
  <c r="E60" i="6"/>
  <c r="F25" i="4"/>
  <c r="J12" i="10"/>
  <c r="J34" i="10"/>
  <c r="E67" i="4"/>
  <c r="F67" i="4"/>
  <c r="E56" i="4"/>
  <c r="E45" i="4"/>
  <c r="F45" i="4"/>
  <c r="E34" i="4"/>
  <c r="F34" i="4"/>
  <c r="I69" i="3"/>
  <c r="J69" i="3"/>
  <c r="K69" i="3"/>
  <c r="L69" i="3"/>
  <c r="I69" i="1"/>
  <c r="J69" i="1"/>
  <c r="C69" i="4"/>
  <c r="D69" i="4"/>
  <c r="I36" i="3"/>
  <c r="J36" i="3"/>
  <c r="K36" i="3"/>
  <c r="L36" i="3"/>
  <c r="H22" i="6" s="1"/>
  <c r="I36" i="1"/>
  <c r="J36" i="1"/>
  <c r="D36" i="4"/>
  <c r="I25" i="3"/>
  <c r="I25" i="1"/>
  <c r="J25" i="1"/>
  <c r="J25" i="3"/>
  <c r="L25" i="3"/>
  <c r="E22" i="6" s="1"/>
  <c r="C25" i="4"/>
  <c r="C58" i="4"/>
  <c r="D58" i="4"/>
  <c r="I47" i="3"/>
  <c r="J47" i="3"/>
  <c r="K47" i="3"/>
  <c r="L47" i="3"/>
  <c r="K22" i="6" s="1"/>
  <c r="I47" i="1"/>
  <c r="J47" i="1"/>
  <c r="C47" i="4"/>
  <c r="D47" i="4"/>
  <c r="C69" i="5"/>
  <c r="D69" i="5" s="1"/>
  <c r="I67" i="3"/>
  <c r="J67" i="3"/>
  <c r="K67" i="3"/>
  <c r="L67" i="3"/>
  <c r="I23" i="3"/>
  <c r="J23" i="3"/>
  <c r="K23" i="3"/>
  <c r="L23" i="3"/>
  <c r="I34" i="3"/>
  <c r="J34" i="3"/>
  <c r="K34" i="3"/>
  <c r="L34" i="3"/>
  <c r="I45" i="3"/>
  <c r="J45" i="3"/>
  <c r="K45" i="3"/>
  <c r="L45" i="3"/>
  <c r="I45" i="1"/>
  <c r="J45" i="1"/>
  <c r="I34" i="1"/>
  <c r="J34" i="1"/>
  <c r="I23" i="1"/>
  <c r="J23" i="1"/>
  <c r="I67" i="1"/>
  <c r="J67" i="1"/>
  <c r="C56" i="4"/>
  <c r="D56" i="4"/>
  <c r="C45" i="4"/>
  <c r="D45" i="4"/>
  <c r="D34" i="4"/>
  <c r="C67" i="4"/>
  <c r="D67" i="4"/>
  <c r="I69" i="10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J46" i="10"/>
  <c r="I46" i="10"/>
  <c r="H46" i="10"/>
  <c r="G46" i="10"/>
  <c r="F46" i="10"/>
  <c r="E46" i="10"/>
  <c r="J37" i="10"/>
  <c r="I37" i="10"/>
  <c r="H37" i="10"/>
  <c r="G37" i="10"/>
  <c r="F37" i="10"/>
  <c r="E37" i="10"/>
  <c r="J35" i="10"/>
  <c r="I35" i="10"/>
  <c r="H35" i="10"/>
  <c r="G35" i="10"/>
  <c r="F35" i="10"/>
  <c r="E35" i="10"/>
  <c r="J26" i="10"/>
  <c r="I26" i="10"/>
  <c r="H26" i="10"/>
  <c r="G26" i="10"/>
  <c r="F26" i="10"/>
  <c r="E26" i="10"/>
  <c r="J24" i="10"/>
  <c r="I24" i="10"/>
  <c r="H24" i="10"/>
  <c r="G24" i="10"/>
  <c r="F24" i="10"/>
  <c r="E24" i="10"/>
  <c r="J15" i="10"/>
  <c r="I15" i="10"/>
  <c r="H15" i="10"/>
  <c r="G15" i="10"/>
  <c r="F15" i="10"/>
  <c r="E15" i="10"/>
  <c r="D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3" i="1"/>
  <c r="D49" i="5"/>
  <c r="F59" i="3"/>
  <c r="D59" i="3"/>
  <c r="G59" i="3"/>
  <c r="I59" i="3"/>
  <c r="J59" i="3"/>
  <c r="K59" i="3"/>
  <c r="L59" i="3"/>
  <c r="C59" i="8"/>
  <c r="D23" i="2"/>
  <c r="D74" i="2" s="1"/>
  <c r="G23" i="2"/>
  <c r="F35" i="3"/>
  <c r="F37" i="3"/>
  <c r="I57" i="3"/>
  <c r="F36" i="3"/>
  <c r="C37" i="8"/>
  <c r="C15" i="5"/>
  <c r="E68" i="2"/>
  <c r="E70" i="2"/>
  <c r="G45" i="2"/>
  <c r="G34" i="2"/>
  <c r="G35" i="2"/>
  <c r="G36" i="2"/>
  <c r="G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G67" i="2"/>
  <c r="D68" i="2"/>
  <c r="G68" i="2"/>
  <c r="D69" i="2"/>
  <c r="G69" i="2"/>
  <c r="D70" i="2"/>
  <c r="G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D56" i="2"/>
  <c r="G56" i="2"/>
  <c r="D57" i="2"/>
  <c r="G57" i="2"/>
  <c r="D58" i="2"/>
  <c r="G58" i="2"/>
  <c r="D59" i="2"/>
  <c r="E59" i="2"/>
  <c r="G59" i="2"/>
  <c r="D45" i="2"/>
  <c r="D46" i="2"/>
  <c r="E46" i="2"/>
  <c r="G46" i="2"/>
  <c r="D47" i="2"/>
  <c r="G47" i="2"/>
  <c r="D48" i="2"/>
  <c r="E48" i="2"/>
  <c r="G48" i="2"/>
  <c r="D34" i="2"/>
  <c r="D35" i="2"/>
  <c r="E35" i="2"/>
  <c r="D36" i="2"/>
  <c r="D37" i="2"/>
  <c r="E37" i="2"/>
  <c r="D24" i="2"/>
  <c r="G24" i="2"/>
  <c r="E26" i="6"/>
  <c r="D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34" i="2"/>
  <c r="C35" i="2"/>
  <c r="C36" i="2"/>
  <c r="H30" i="6" s="1"/>
  <c r="C37" i="2"/>
  <c r="C45" i="2"/>
  <c r="C46" i="2"/>
  <c r="C47" i="2"/>
  <c r="C48" i="2"/>
  <c r="D15" i="3"/>
  <c r="G15" i="3"/>
  <c r="I15" i="3"/>
  <c r="J15" i="3"/>
  <c r="K15" i="3"/>
  <c r="L15" i="3"/>
  <c r="C15" i="3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24" i="4"/>
  <c r="C13" i="4"/>
  <c r="C59" i="1"/>
  <c r="C57" i="1"/>
  <c r="C37" i="1"/>
  <c r="C35" i="1"/>
  <c r="C26" i="1"/>
  <c r="C24" i="1"/>
  <c r="C69" i="2"/>
  <c r="N30" i="6"/>
  <c r="C26" i="5"/>
  <c r="C23" i="5"/>
  <c r="C70" i="3"/>
  <c r="C68" i="3"/>
  <c r="C59" i="3"/>
  <c r="C57" i="3"/>
  <c r="C48" i="3"/>
  <c r="C46" i="3"/>
  <c r="D37" i="3"/>
  <c r="C37" i="3"/>
  <c r="C26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C74" i="10" l="1"/>
  <c r="J74" i="10"/>
  <c r="H44" i="6"/>
  <c r="D74" i="10"/>
  <c r="H36" i="6"/>
  <c r="E74" i="10"/>
  <c r="B36" i="7"/>
  <c r="H75" i="1"/>
  <c r="H73" i="1"/>
  <c r="D73" i="2"/>
  <c r="E36" i="6"/>
  <c r="G74" i="2"/>
  <c r="B28" i="7" s="1"/>
  <c r="K30" i="6"/>
  <c r="N26" i="6"/>
  <c r="N20" i="6"/>
  <c r="K26" i="6"/>
  <c r="K20" i="6"/>
  <c r="F74" i="3"/>
  <c r="F73" i="3"/>
  <c r="H26" i="6"/>
  <c r="H20" i="6"/>
  <c r="B62" i="1"/>
  <c r="B63" i="1" s="1"/>
  <c r="B64" i="1" s="1"/>
  <c r="B65" i="1" s="1"/>
  <c r="B66" i="1"/>
  <c r="E28" i="6"/>
  <c r="B28" i="6"/>
  <c r="D73" i="3"/>
  <c r="N28" i="6"/>
  <c r="K28" i="6"/>
  <c r="H28" i="6"/>
  <c r="D74" i="3"/>
  <c r="B10" i="6"/>
  <c r="M69" i="3"/>
  <c r="B12" i="6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I68" i="2"/>
  <c r="I70" i="2"/>
  <c r="G69" i="4"/>
  <c r="G68" i="4"/>
  <c r="G67" i="4"/>
  <c r="M67" i="3"/>
  <c r="K67" i="1"/>
  <c r="K69" i="1"/>
  <c r="E69" i="11"/>
  <c r="E70" i="11"/>
  <c r="E67" i="11"/>
  <c r="K68" i="1"/>
  <c r="K15" i="1"/>
  <c r="I69" i="2"/>
  <c r="I67" i="2"/>
  <c r="M70" i="3"/>
  <c r="K73" i="10"/>
  <c r="B48" i="7" s="1"/>
  <c r="F73" i="10"/>
  <c r="B40" i="7" s="1"/>
  <c r="G73" i="10"/>
  <c r="B42" i="7" s="1"/>
  <c r="H73" i="10"/>
  <c r="B44" i="7" s="1"/>
  <c r="N40" i="6"/>
  <c r="G74" i="10"/>
  <c r="N38" i="6"/>
  <c r="F74" i="10"/>
  <c r="K74" i="10"/>
  <c r="N42" i="6"/>
  <c r="H74" i="10"/>
  <c r="H10" i="6"/>
  <c r="M59" i="3"/>
  <c r="D46" i="5"/>
  <c r="D36" i="5"/>
  <c r="H12" i="6" s="1"/>
  <c r="D25" i="5"/>
  <c r="E12" i="6" s="1"/>
  <c r="B73" i="5"/>
  <c r="D15" i="5"/>
  <c r="M45" i="3"/>
  <c r="M48" i="3"/>
  <c r="M34" i="3"/>
  <c r="M35" i="3"/>
  <c r="M24" i="3"/>
  <c r="M26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E35" i="11"/>
  <c r="E34" i="11"/>
  <c r="E26" i="11"/>
  <c r="E12" i="11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E37" i="11"/>
  <c r="E24" i="11"/>
  <c r="E25" i="1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B4" i="6"/>
  <c r="K13" i="1"/>
  <c r="K56" i="1"/>
  <c r="K46" i="1"/>
  <c r="K47" i="1"/>
  <c r="K4" i="6" s="1"/>
  <c r="K35" i="1"/>
  <c r="K10" i="6"/>
  <c r="D45" i="5"/>
  <c r="D47" i="5"/>
  <c r="K12" i="6" s="1"/>
  <c r="D48" i="5"/>
  <c r="D35" i="5"/>
  <c r="D34" i="5"/>
  <c r="D37" i="5"/>
  <c r="B74" i="5"/>
  <c r="D26" i="5"/>
  <c r="D24" i="5"/>
  <c r="D23" i="5"/>
  <c r="B6" i="6"/>
  <c r="M58" i="3"/>
  <c r="N6" i="6" s="1"/>
  <c r="M46" i="3"/>
  <c r="M47" i="3"/>
  <c r="K6" i="6" s="1"/>
  <c r="M37" i="3"/>
  <c r="M36" i="3"/>
  <c r="H6" i="6" s="1"/>
  <c r="M23" i="3"/>
  <c r="C73" i="11"/>
  <c r="C74" i="11"/>
  <c r="E56" i="11"/>
  <c r="E58" i="11"/>
  <c r="E57" i="11"/>
  <c r="B73" i="4"/>
  <c r="C73" i="4"/>
  <c r="C74" i="4"/>
  <c r="G58" i="4"/>
  <c r="B74" i="4"/>
  <c r="B22" i="7" s="1"/>
  <c r="G59" i="4"/>
  <c r="K59" i="1"/>
  <c r="K58" i="1"/>
  <c r="K57" i="1"/>
  <c r="B74" i="1"/>
  <c r="B32" i="7"/>
  <c r="M68" i="3"/>
  <c r="M56" i="3"/>
  <c r="M57" i="3"/>
  <c r="H72" i="6" l="1"/>
  <c r="N72" i="6"/>
  <c r="B26" i="7"/>
  <c r="H74" i="1"/>
  <c r="B4" i="7" s="1"/>
  <c r="H76" i="1"/>
  <c r="B72" i="6"/>
  <c r="B16" i="6"/>
  <c r="F77" i="3"/>
  <c r="B6" i="7" s="1"/>
  <c r="B44" i="10"/>
  <c r="B49" i="10" s="1"/>
  <c r="B50" i="10" s="1"/>
  <c r="B51" i="10" s="1"/>
  <c r="B52" i="10" s="1"/>
  <c r="B53" i="10" s="1"/>
  <c r="K16" i="6"/>
  <c r="F75" i="5"/>
  <c r="F73" i="5"/>
  <c r="F79" i="3"/>
  <c r="F74" i="11"/>
  <c r="B16" i="7" s="1"/>
  <c r="H16" i="6"/>
  <c r="G74" i="4"/>
  <c r="B8" i="7" s="1"/>
  <c r="F76" i="11"/>
  <c r="G76" i="4"/>
  <c r="F76" i="5"/>
  <c r="B30" i="7"/>
  <c r="F74" i="5"/>
  <c r="B12" i="7" s="1"/>
  <c r="F80" i="3"/>
  <c r="F78" i="3"/>
  <c r="F75" i="11"/>
  <c r="F73" i="11"/>
  <c r="G75" i="4"/>
  <c r="G73" i="4"/>
  <c r="N8" i="6"/>
  <c r="N4" i="6"/>
  <c r="B54" i="10" l="1"/>
  <c r="B55" i="10" s="1"/>
  <c r="B60" i="10" s="1"/>
  <c r="B61" i="10" s="1"/>
  <c r="B62" i="10" s="1"/>
  <c r="B63" i="10" s="1"/>
  <c r="B64" i="10" s="1"/>
  <c r="B65" i="10" s="1"/>
  <c r="B66" i="10" s="1"/>
  <c r="B14" i="7"/>
  <c r="N16" i="6"/>
  <c r="E24" i="2"/>
  <c r="E72" i="6"/>
  <c r="E23" i="2"/>
  <c r="B74" i="7" s="1"/>
  <c r="I25" i="2" l="1"/>
  <c r="I26" i="2"/>
  <c r="J75" i="2" l="1"/>
  <c r="K73" i="2"/>
  <c r="B10" i="7"/>
  <c r="B18" i="7" s="1"/>
  <c r="E10" i="6"/>
  <c r="E16" i="6" s="1"/>
</calcChain>
</file>

<file path=xl/sharedStrings.xml><?xml version="1.0" encoding="utf-8"?>
<sst xmlns="http://schemas.openxmlformats.org/spreadsheetml/2006/main" count="950" uniqueCount="113">
  <si>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</si>
  <si>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</si>
  <si>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</si>
  <si>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</si>
  <si>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</si>
  <si>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</si>
  <si>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</si>
  <si>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</si>
  <si>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</si>
  <si>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</si>
  <si>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</si>
  <si>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</si>
  <si>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</si>
  <si>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</si>
  <si>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</si>
  <si>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</si>
  <si>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</si>
  <si>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</si>
  <si>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</si>
  <si>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</si>
  <si>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</si>
  <si>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</si>
  <si>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</si>
  <si>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</si>
  <si>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</si>
  <si>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</si>
  <si>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</si>
  <si>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</si>
  <si>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</si>
  <si>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</si>
  <si>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</si>
  <si>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</si>
  <si>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</si>
  <si>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</si>
  <si>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</si>
  <si>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</si>
  <si>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</si>
  <si>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</si>
  <si>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</si>
  <si>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</si>
  <si>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</si>
  <si>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</si>
  <si>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</si>
  <si>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</si>
  <si>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</si>
  <si>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</si>
  <si>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</si>
  <si>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</si>
  <si>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</si>
  <si>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</si>
  <si>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</si>
  <si>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</si>
  <si>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</si>
  <si>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</si>
  <si>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</si>
  <si>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</si>
  <si>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</si>
  <si>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</si>
  <si>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</si>
  <si>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</si>
  <si>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</si>
  <si>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</si>
  <si>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</si>
  <si>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</si>
  <si>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</si>
  <si>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</si>
  <si>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</si>
  <si>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</si>
  <si>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</si>
  <si>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</si>
  <si>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</si>
  <si>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</si>
  <si>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</si>
  <si>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</si>
  <si>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</si>
  <si>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</si>
  <si>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</si>
  <si>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</si>
  <si>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</si>
  <si>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</si>
  <si>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</si>
  <si>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</si>
  <si>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</si>
  <si>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</si>
  <si>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</si>
  <si>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</si>
  <si>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</si>
  <si>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</si>
  <si>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</si>
  <si>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</si>
  <si>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</si>
  <si>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January Monthly Totals</t>
  </si>
  <si>
    <t xml:space="preserve">01.01.19 - 01.04.19  </t>
  </si>
  <si>
    <t xml:space="preserve">01.07.19 - 01.11.19  </t>
  </si>
  <si>
    <t xml:space="preserve">01.14.19 - 01.18.19 </t>
  </si>
  <si>
    <t>01.21.19 - 01.25.19</t>
  </si>
  <si>
    <t>01.28.19 - 01.31.19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</si>
  <si>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</si>
  <si>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</si>
  <si>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</si>
  <si>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</si>
  <si>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</si>
  <si>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</si>
  <si>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</si>
  <si>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</si>
  <si>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</si>
  <si>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</si>
  <si>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</si>
  <si>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</si>
  <si>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Redhook Ikea Shuttle</t>
  </si>
  <si>
    <t>Hunters Point South</t>
  </si>
  <si>
    <t>Atlantic Ave Pier 6</t>
  </si>
  <si>
    <t>Brooklyn Bridge Park Atlantic Avenue Pier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</si>
</sst>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59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64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5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5" borderId="70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21" fillId="4" borderId="70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5" borderId="70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7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5" borderId="73" xfId="0" applyNumberFormat="1" applyFont="1" applyFill="1" applyBorder="1" applyAlignment="1">
      <alignment horizontal="right"/>
    </xf>
    <xf numFmtId="3" fontId="1" fillId="5" borderId="74" xfId="0" applyNumberFormat="1" applyFont="1" applyFill="1" applyBorder="1" applyAlignment="1">
      <alignment horizontal="right"/>
    </xf>
    <xf numFmtId="3" fontId="1" fillId="4" borderId="73" xfId="0" applyNumberFormat="1" applyFont="1" applyFill="1" applyBorder="1" applyAlignment="1">
      <alignment horizontal="right"/>
    </xf>
    <xf numFmtId="3" fontId="1" fillId="4" borderId="74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41" fontId="19" fillId="0" borderId="46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4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3" fontId="19" fillId="6" borderId="65" xfId="0" applyNumberFormat="1" applyFont="1" applyFill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0" borderId="63" xfId="0" applyNumberFormat="1" applyFont="1" applyBorder="1" applyAlignment="1">
      <alignment horizontal="right"/>
    </xf>
    <xf numFmtId="0" fontId="20" fillId="6" borderId="12" xfId="0" applyFont="1" applyFill="1" applyBorder="1" applyAlignment="1">
      <alignment vertical="center" wrapText="1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0" fontId="19" fillId="0" borderId="41" xfId="0" applyFont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0" borderId="16" xfId="0" applyNumberFormat="1" applyFont="1" applyBorder="1" applyAlignment="1"/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9" fillId="0" borderId="76" xfId="0" applyNumberFormat="1" applyFont="1" applyBorder="1" applyAlignment="1">
      <alignment horizontal="right"/>
    </xf>
    <xf numFmtId="3" fontId="19" fillId="0" borderId="6" xfId="0" applyNumberFormat="1" applyFont="1" applyBorder="1" applyAlignment="1">
      <alignment horizontal="right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21" fillId="4" borderId="77" xfId="0" applyNumberFormat="1" applyFont="1" applyFill="1" applyBorder="1" applyAlignment="1">
      <alignment horizontal="right"/>
    </xf>
    <xf numFmtId="3" fontId="19" fillId="0" borderId="75" xfId="0" applyNumberFormat="1" applyFont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2" fillId="0" borderId="22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41" fontId="19" fillId="0" borderId="22" xfId="0" applyNumberFormat="1" applyFont="1" applyBorder="1" applyAlignment="1">
      <alignment horizontal="right"/>
    </xf>
    <xf numFmtId="3" fontId="19" fillId="4" borderId="77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2" fillId="0" borderId="46" xfId="0" applyNumberFormat="1" applyFont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5" fontId="0" fillId="0" borderId="36" xfId="0" applyNumberFormat="1" applyBorder="1"/>
    <xf numFmtId="164" fontId="19" fillId="0" borderId="16" xfId="0" applyNumberFormat="1" applyFont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2" xfId="0" applyNumberFormat="1" applyFont="1" applyFill="1" applyBorder="1" applyAlignment="1">
      <alignment vertical="top" wrapText="1" readingOrder="1"/>
    </xf>
    <xf numFmtId="0" fontId="27" fillId="0" borderId="26" xfId="0" applyNumberFormat="1" applyFont="1" applyFill="1" applyBorder="1" applyAlignment="1">
      <alignment vertical="top" wrapText="1" readingOrder="1"/>
    </xf>
    <xf numFmtId="0" fontId="27" fillId="0" borderId="27" xfId="0" applyNumberFormat="1" applyFont="1" applyFill="1" applyBorder="1" applyAlignment="1">
      <alignment vertical="top" wrapText="1" readingOrder="1"/>
    </xf>
    <xf numFmtId="0" fontId="27" fillId="0" borderId="69" xfId="0" applyNumberFormat="1" applyFont="1" applyFill="1" applyBorder="1" applyAlignment="1">
      <alignment vertical="top" wrapText="1" readingOrder="1"/>
    </xf>
    <xf numFmtId="0" fontId="26" fillId="6" borderId="42" xfId="0" applyFont="1" applyFill="1" applyBorder="1" applyAlignment="1">
      <alignment vertical="center" wrapText="1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0" fontId="27" fillId="0" borderId="28" xfId="0" applyNumberFormat="1" applyFont="1" applyFill="1" applyBorder="1" applyAlignment="1">
      <alignment vertical="top" wrapText="1" readingOrder="1"/>
    </xf>
    <xf numFmtId="0" fontId="27" fillId="0" borderId="36" xfId="0" applyNumberFormat="1" applyFont="1" applyFill="1" applyBorder="1" applyAlignment="1">
      <alignment vertical="top" wrapText="1" readingOrder="1"/>
    </xf>
    <xf numFmtId="3" fontId="1" fillId="0" borderId="42" xfId="0" applyNumberFormat="1" applyFont="1" applyBorder="1" applyAlignment="1"/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34" xfId="0" applyNumberFormat="1" applyFont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7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9" fillId="0" borderId="44" xfId="0" applyFont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2" fillId="3" borderId="44" xfId="0" applyNumberFormat="1" applyFont="1" applyFill="1" applyBorder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9" fillId="3" borderId="44" xfId="0" applyNumberFormat="1" applyFont="1" applyFill="1" applyBorder="1" applyAlignment="1"/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7" xfId="0" applyNumberFormat="1" applyFont="1" applyFill="1" applyBorder="1" applyAlignment="1">
      <alignment horizontal="center" vertical="center" wrapText="1"/>
    </xf>
    <xf numFmtId="164" fontId="21" fillId="4" borderId="49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5"/>
  <sheetViews>
    <sheetView tabSelected="1" zoomScaleNormal="100" workbookViewId="0">
      <pane ySplit="2" topLeftCell="A3" activePane="bottomLeft" state="frozen"/>
      <selection pane="bottomLeft" activeCell="Q16" sqref="Q16"/>
    </sheetView>
  </sheetViews>
  <sheetFormatPr defaultRowHeight="13.5" x14ac:dyDescent="0.25"/>
  <cols>
    <col min="1" max="1" width="26.5703125" style="110" bestFit="1" customWidth="1"/>
    <col min="2" max="2" width="8.85546875" style="110" customWidth="1"/>
    <col min="3" max="3" width="3.5703125" style="110" customWidth="1"/>
    <col min="4" max="4" width="26.5703125" style="110" bestFit="1" customWidth="1"/>
    <col min="5" max="5" width="7.5703125" style="110" bestFit="1" customWidth="1"/>
    <col min="6" max="6" width="3.7109375" style="110" customWidth="1"/>
    <col min="7" max="7" width="26.5703125" style="110" bestFit="1" customWidth="1"/>
    <col min="8" max="8" width="7.5703125" style="110" bestFit="1" customWidth="1"/>
    <col min="9" max="9" width="3.7109375" style="110" customWidth="1"/>
    <col min="10" max="10" width="26.5703125" style="110" bestFit="1" customWidth="1"/>
    <col min="11" max="11" width="11.140625" style="110" customWidth="1"/>
    <col min="12" max="12" width="3.7109375" style="110" customWidth="1"/>
    <col min="13" max="13" width="26.5703125" style="110" bestFit="1" customWidth="1"/>
    <col min="14" max="14" width="10.5703125" style="110" customWidth="1"/>
    <col min="15" max="15" width="3.7109375" style="110" customWidth="1"/>
    <col min="16" max="16" width="36.5703125" style="110" bestFit="1" customWidth="1"/>
    <col min="17" max="17" width="6.5703125" style="110" bestFit="1" customWidth="1"/>
    <col min="18" max="16384" width="9.140625" style="110"/>
  </cols>
  <sheetData>
    <row r="1" spans="1:17" x14ac:dyDescent="0.25">
      <c r="A1" s="454" t="s">
        <v>43</v>
      </c>
      <c r="B1" s="455"/>
      <c r="C1" s="94"/>
      <c r="D1" s="454" t="s">
        <v>43</v>
      </c>
      <c r="E1" s="455"/>
      <c r="F1" s="51"/>
      <c r="G1" s="454" t="s">
        <v>43</v>
      </c>
      <c r="H1" s="455"/>
      <c r="I1" s="95"/>
      <c r="J1" s="454" t="s">
        <v>43</v>
      </c>
      <c r="K1" s="455"/>
      <c r="L1" s="95"/>
      <c r="M1" s="454" t="s">
        <v>43</v>
      </c>
      <c r="N1" s="455"/>
    </row>
    <row r="2" spans="1:17" ht="15.75" customHeight="1" x14ac:dyDescent="0.25">
      <c r="A2" s="434" t="s">
        <v>92</v>
      </c>
      <c r="B2" s="456"/>
      <c r="C2" s="96"/>
      <c r="D2" s="434" t="s">
        <v>93</v>
      </c>
      <c r="E2" s="456"/>
      <c r="F2" s="97"/>
      <c r="G2" s="434" t="s">
        <v>94</v>
      </c>
      <c r="H2" s="456"/>
      <c r="I2" s="95"/>
      <c r="J2" s="434" t="s">
        <v>95</v>
      </c>
      <c r="K2" s="435"/>
      <c r="L2" s="95"/>
      <c r="M2" s="434" t="s">
        <v>96</v>
      </c>
      <c r="N2" s="435"/>
    </row>
    <row r="3" spans="1:17" ht="14.25" thickBot="1" x14ac:dyDescent="0.3">
      <c r="A3" s="457" t="s">
        <v>44</v>
      </c>
      <c r="B3" s="458"/>
      <c r="C3" s="94"/>
      <c r="D3" s="457" t="s">
        <v>44</v>
      </c>
      <c r="E3" s="458"/>
      <c r="F3" s="95"/>
      <c r="G3" s="457" t="s">
        <v>44</v>
      </c>
      <c r="H3" s="458"/>
      <c r="I3" s="95"/>
      <c r="J3" s="457" t="s">
        <v>44</v>
      </c>
      <c r="K3" s="459"/>
      <c r="L3" s="95"/>
      <c r="M3" s="457" t="s">
        <v>44</v>
      </c>
      <c r="N3" s="458"/>
    </row>
    <row r="4" spans="1:17" s="111" customFormat="1" ht="12.95" customHeight="1" x14ac:dyDescent="0.25">
      <c r="A4" s="442" t="s">
        <v>45</v>
      </c>
      <c r="B4" s="432">
        <f>SUM('NY Waterway'!K14)</f>
        <v>47176</v>
      </c>
      <c r="C4" s="7"/>
      <c r="D4" s="442" t="s">
        <v>45</v>
      </c>
      <c r="E4" s="432">
        <f>SUM('NY Waterway'!K25)</f>
        <v>80822</v>
      </c>
      <c r="F4" s="98"/>
      <c r="G4" s="442" t="s">
        <v>45</v>
      </c>
      <c r="H4" s="432">
        <f>SUM('NY Waterway'!K36)</f>
        <v>79081</v>
      </c>
      <c r="I4" s="98"/>
      <c r="J4" s="442" t="s">
        <v>45</v>
      </c>
      <c r="K4" s="432">
        <f>SUM('NY Waterway'!K47)</f>
        <v>65813</v>
      </c>
      <c r="L4" s="98"/>
      <c r="M4" s="442" t="s">
        <v>45</v>
      </c>
      <c r="N4" s="432">
        <f>SUM('NY Waterway'!K58)</f>
        <v>58760</v>
      </c>
    </row>
    <row r="5" spans="1:17" s="111" customFormat="1" ht="12.95" customHeight="1" thickBot="1" x14ac:dyDescent="0.3">
      <c r="A5" s="446"/>
      <c r="B5" s="433"/>
      <c r="C5" s="8"/>
      <c r="D5" s="446"/>
      <c r="E5" s="433"/>
      <c r="F5" s="98"/>
      <c r="G5" s="446"/>
      <c r="H5" s="437"/>
      <c r="I5" s="98"/>
      <c r="J5" s="446"/>
      <c r="K5" s="437"/>
      <c r="L5" s="98"/>
      <c r="M5" s="446"/>
      <c r="N5" s="437"/>
    </row>
    <row r="6" spans="1:17" s="111" customFormat="1" ht="12.95" customHeight="1" x14ac:dyDescent="0.25">
      <c r="A6" s="438" t="s">
        <v>46</v>
      </c>
      <c r="B6" s="432">
        <f>SUM('Billy Bey'!M14)</f>
        <v>28599</v>
      </c>
      <c r="C6" s="7"/>
      <c r="D6" s="438" t="s">
        <v>46</v>
      </c>
      <c r="E6" s="432">
        <f>SUM('Billy Bey'!M25)</f>
        <v>51673</v>
      </c>
      <c r="F6" s="98"/>
      <c r="G6" s="438" t="s">
        <v>46</v>
      </c>
      <c r="H6" s="425">
        <f>SUM('Billy Bey'!M36)</f>
        <v>51117</v>
      </c>
      <c r="I6" s="98"/>
      <c r="J6" s="438" t="s">
        <v>46</v>
      </c>
      <c r="K6" s="425">
        <f>SUM('Billy Bey'!M47)</f>
        <v>42689</v>
      </c>
      <c r="L6" s="98"/>
      <c r="M6" s="438" t="s">
        <v>46</v>
      </c>
      <c r="N6" s="425">
        <f>SUM('Billy Bey'!M58)</f>
        <v>41580</v>
      </c>
    </row>
    <row r="7" spans="1:17" s="111" customFormat="1" ht="12.95" customHeight="1" thickBot="1" x14ac:dyDescent="0.3">
      <c r="A7" s="453"/>
      <c r="B7" s="433"/>
      <c r="C7" s="8"/>
      <c r="D7" s="453"/>
      <c r="E7" s="433"/>
      <c r="F7" s="98"/>
      <c r="G7" s="453"/>
      <c r="H7" s="436"/>
      <c r="I7" s="98"/>
      <c r="J7" s="453"/>
      <c r="K7" s="436"/>
      <c r="L7" s="98"/>
      <c r="M7" s="453"/>
      <c r="N7" s="436"/>
    </row>
    <row r="8" spans="1:17" s="111" customFormat="1" ht="12.95" customHeight="1" x14ac:dyDescent="0.25">
      <c r="A8" s="442" t="s">
        <v>47</v>
      </c>
      <c r="B8" s="432">
        <f>SUM(SeaStreak!G14)</f>
        <v>12576</v>
      </c>
      <c r="C8" s="7"/>
      <c r="D8" s="442" t="s">
        <v>47</v>
      </c>
      <c r="E8" s="432">
        <f>SUM(SeaStreak!G25)</f>
        <v>20238</v>
      </c>
      <c r="F8" s="98"/>
      <c r="G8" s="442" t="s">
        <v>47</v>
      </c>
      <c r="H8" s="432">
        <f>SUM(SeaStreak!G36)</f>
        <v>19764</v>
      </c>
      <c r="I8" s="98"/>
      <c r="J8" s="442" t="s">
        <v>47</v>
      </c>
      <c r="K8" s="432">
        <f>SUM(SeaStreak!G47)</f>
        <v>15913</v>
      </c>
      <c r="L8" s="98"/>
      <c r="M8" s="442" t="s">
        <v>47</v>
      </c>
      <c r="N8" s="432">
        <f>SUM(SeaStreak!G58)</f>
        <v>14658</v>
      </c>
    </row>
    <row r="9" spans="1:17" s="111" customFormat="1" ht="12.95" customHeight="1" thickBot="1" x14ac:dyDescent="0.3">
      <c r="A9" s="443"/>
      <c r="B9" s="433"/>
      <c r="C9" s="99"/>
      <c r="D9" s="443"/>
      <c r="E9" s="437"/>
      <c r="F9" s="98"/>
      <c r="G9" s="443"/>
      <c r="H9" s="437"/>
      <c r="I9" s="98"/>
      <c r="J9" s="443"/>
      <c r="K9" s="437"/>
      <c r="L9" s="98"/>
      <c r="M9" s="443"/>
      <c r="N9" s="437"/>
    </row>
    <row r="10" spans="1:17" s="111" customFormat="1" ht="12.95" customHeight="1" x14ac:dyDescent="0.25">
      <c r="A10" s="438" t="s">
        <v>48</v>
      </c>
      <c r="B10" s="432">
        <f>SUM('New York Water Taxi'!I14)</f>
        <v>3892</v>
      </c>
      <c r="C10" s="9"/>
      <c r="D10" s="438" t="s">
        <v>48</v>
      </c>
      <c r="E10" s="425">
        <f>SUM('New York Water Taxi'!I25)</f>
        <v>3169</v>
      </c>
      <c r="F10" s="98"/>
      <c r="G10" s="438" t="s">
        <v>48</v>
      </c>
      <c r="H10" s="425">
        <f>SUM('New York Water Taxi'!I36)</f>
        <v>3318</v>
      </c>
      <c r="I10" s="98"/>
      <c r="J10" s="438" t="s">
        <v>48</v>
      </c>
      <c r="K10" s="425">
        <f>SUM('New York Water Taxi'!I47)</f>
        <v>2180</v>
      </c>
      <c r="L10" s="98"/>
      <c r="M10" s="438" t="s">
        <v>48</v>
      </c>
      <c r="N10" s="425">
        <f>SUM('New York Water Taxi'!I58)</f>
        <v>1903</v>
      </c>
    </row>
    <row r="11" spans="1:17" s="111" customFormat="1" ht="12.95" customHeight="1" thickBot="1" x14ac:dyDescent="0.3">
      <c r="A11" s="439"/>
      <c r="B11" s="433"/>
      <c r="C11" s="100"/>
      <c r="D11" s="439"/>
      <c r="E11" s="426"/>
      <c r="F11" s="98"/>
      <c r="G11" s="439"/>
      <c r="H11" s="436"/>
      <c r="I11" s="98"/>
      <c r="J11" s="439"/>
      <c r="K11" s="436"/>
      <c r="L11" s="98"/>
      <c r="M11" s="439"/>
      <c r="N11" s="436"/>
    </row>
    <row r="12" spans="1:17" s="111" customFormat="1" ht="12.95" customHeight="1" x14ac:dyDescent="0.25">
      <c r="A12" s="423" t="s">
        <v>33</v>
      </c>
      <c r="B12" s="432">
        <f>SUM('Liberty Landing Ferry'!D14)</f>
        <v>2907</v>
      </c>
      <c r="C12" s="9"/>
      <c r="D12" s="423" t="s">
        <v>33</v>
      </c>
      <c r="E12" s="425">
        <f>SUM('Liberty Landing Ferry'!D25)</f>
        <v>3234</v>
      </c>
      <c r="F12" s="98"/>
      <c r="G12" s="423" t="s">
        <v>33</v>
      </c>
      <c r="H12" s="425">
        <f>SUM('Liberty Landing Ferry'!D36)</f>
        <v>3105</v>
      </c>
      <c r="I12" s="98"/>
      <c r="J12" s="423" t="s">
        <v>33</v>
      </c>
      <c r="K12" s="425">
        <f>SUM('Liberty Landing Ferry'!D47)</f>
        <v>1711</v>
      </c>
      <c r="L12" s="98"/>
      <c r="M12" s="423" t="s">
        <v>33</v>
      </c>
      <c r="N12" s="425">
        <f>SUM('Liberty Landing Ferry'!D58)</f>
        <v>2354</v>
      </c>
    </row>
    <row r="13" spans="1:17" s="111" customFormat="1" ht="12.95" customHeight="1" thickBot="1" x14ac:dyDescent="0.3">
      <c r="A13" s="424"/>
      <c r="B13" s="433"/>
      <c r="C13" s="100"/>
      <c r="D13" s="424"/>
      <c r="E13" s="426"/>
      <c r="F13" s="98"/>
      <c r="G13" s="424"/>
      <c r="H13" s="436"/>
      <c r="I13" s="98"/>
      <c r="J13" s="424"/>
      <c r="K13" s="436"/>
      <c r="L13" s="98"/>
      <c r="M13" s="424"/>
      <c r="N13" s="436"/>
    </row>
    <row r="14" spans="1:17" s="216" customFormat="1" ht="12.95" customHeight="1" x14ac:dyDescent="0.25">
      <c r="A14" s="423" t="s">
        <v>73</v>
      </c>
      <c r="B14" s="425">
        <f>'NYC Ferry'!AI14</f>
        <v>38242</v>
      </c>
      <c r="C14" s="100"/>
      <c r="D14" s="423" t="s">
        <v>73</v>
      </c>
      <c r="E14" s="425">
        <f>'NYC Ferry'!AI25</f>
        <v>48926</v>
      </c>
      <c r="F14" s="215"/>
      <c r="G14" s="423" t="s">
        <v>73</v>
      </c>
      <c r="H14" s="425">
        <f>'NYC Ferry'!AI36</f>
        <v>47556</v>
      </c>
      <c r="I14" s="215"/>
      <c r="J14" s="423" t="s">
        <v>73</v>
      </c>
      <c r="K14" s="425">
        <f>'NYC Ferry'!AI47</f>
        <v>40642</v>
      </c>
      <c r="L14" s="215"/>
      <c r="M14" s="423" t="s">
        <v>73</v>
      </c>
      <c r="N14" s="425">
        <f>'NYC Ferry'!AI58</f>
        <v>32867</v>
      </c>
    </row>
    <row r="15" spans="1:17" s="216" customFormat="1" ht="12.95" customHeight="1" thickBot="1" x14ac:dyDescent="0.3">
      <c r="A15" s="424"/>
      <c r="B15" s="426"/>
      <c r="C15" s="100"/>
      <c r="D15" s="424"/>
      <c r="E15" s="426"/>
      <c r="F15" s="215"/>
      <c r="G15" s="424"/>
      <c r="H15" s="426"/>
      <c r="I15" s="215"/>
      <c r="J15" s="424"/>
      <c r="K15" s="426"/>
      <c r="L15" s="215"/>
      <c r="M15" s="424"/>
      <c r="N15" s="426"/>
    </row>
    <row r="16" spans="1:17" s="102" customFormat="1" ht="12.95" customHeight="1" thickBot="1" x14ac:dyDescent="0.25">
      <c r="A16" s="451" t="s">
        <v>19</v>
      </c>
      <c r="B16" s="427">
        <f>SUM(B4:B15)</f>
        <v>133392</v>
      </c>
      <c r="C16" s="10"/>
      <c r="D16" s="451" t="s">
        <v>19</v>
      </c>
      <c r="E16" s="427">
        <f>SUM(E4:E15)</f>
        <v>208062</v>
      </c>
      <c r="F16" s="101"/>
      <c r="G16" s="451" t="s">
        <v>19</v>
      </c>
      <c r="H16" s="427">
        <f>SUM(H4:H15)</f>
        <v>203941</v>
      </c>
      <c r="I16" s="101"/>
      <c r="J16" s="451" t="s">
        <v>19</v>
      </c>
      <c r="K16" s="427">
        <f>SUM(K4:K15)</f>
        <v>168948</v>
      </c>
      <c r="L16" s="101"/>
      <c r="M16" s="451" t="s">
        <v>19</v>
      </c>
      <c r="N16" s="427">
        <f>SUM(N4:N15)</f>
        <v>152122</v>
      </c>
      <c r="P16" s="126" t="s">
        <v>55</v>
      </c>
      <c r="Q16" s="114">
        <f>AVERAGE('NYC Ferry'!F81,'NY Waterway'!H75,'Billy Bey'!F80,SeaStreak!G75,'New York Water Taxi'!J75,'Liberty Landing Ferry'!F75)</f>
        <v>24068.472222222223</v>
      </c>
    </row>
    <row r="17" spans="1:17" s="102" customFormat="1" ht="12.95" customHeight="1" thickBot="1" x14ac:dyDescent="0.3">
      <c r="A17" s="452"/>
      <c r="B17" s="428"/>
      <c r="C17" s="103"/>
      <c r="D17" s="452"/>
      <c r="E17" s="428"/>
      <c r="F17" s="101"/>
      <c r="G17" s="452"/>
      <c r="H17" s="428"/>
      <c r="I17" s="101"/>
      <c r="J17" s="452"/>
      <c r="K17" s="428"/>
      <c r="L17" s="101"/>
      <c r="M17" s="452"/>
      <c r="N17" s="428"/>
      <c r="P17" s="111"/>
      <c r="Q17" s="111"/>
    </row>
    <row r="18" spans="1:17" s="111" customFormat="1" ht="14.25" thickBot="1" x14ac:dyDescent="0.3">
      <c r="A18" s="104"/>
      <c r="B18" s="105"/>
      <c r="C18" s="98"/>
      <c r="D18" s="104"/>
      <c r="E18" s="105"/>
      <c r="F18" s="98"/>
      <c r="G18" s="104"/>
      <c r="H18" s="105"/>
      <c r="I18" s="98"/>
      <c r="J18" s="106"/>
      <c r="K18" s="107"/>
      <c r="L18" s="98"/>
      <c r="M18" s="106"/>
      <c r="N18" s="107"/>
      <c r="P18" s="110"/>
      <c r="Q18" s="110"/>
    </row>
    <row r="19" spans="1:17" ht="14.25" thickBot="1" x14ac:dyDescent="0.3">
      <c r="A19" s="448" t="s">
        <v>49</v>
      </c>
      <c r="B19" s="449"/>
      <c r="C19" s="94"/>
      <c r="D19" s="448" t="s">
        <v>49</v>
      </c>
      <c r="E19" s="449"/>
      <c r="F19" s="95"/>
      <c r="G19" s="448" t="s">
        <v>49</v>
      </c>
      <c r="H19" s="449"/>
      <c r="I19" s="95"/>
      <c r="J19" s="448" t="s">
        <v>49</v>
      </c>
      <c r="K19" s="450"/>
      <c r="L19" s="95"/>
      <c r="M19" s="448" t="s">
        <v>49</v>
      </c>
      <c r="N19" s="449"/>
    </row>
    <row r="20" spans="1:17" ht="12.95" customHeight="1" x14ac:dyDescent="0.25">
      <c r="A20" s="442" t="s">
        <v>10</v>
      </c>
      <c r="B20" s="432">
        <f>SUM('Billy Bey'!I14,'Billy Bey'!J14,'Billy Bey'!K14, 'New York Water Taxi'!H14:H14, 'NY Waterway'!I14:J14, SeaStreak!C14:D14,'NYC Ferry'!C14,'NYC Ferry'!M14,'NYC Ferry'!T14,'NYC Ferry'!Y14, 'NYC Ferry'!AD14, 'NYC Ferry'!AH14)</f>
        <v>38233</v>
      </c>
      <c r="C20" s="7"/>
      <c r="D20" s="442" t="s">
        <v>10</v>
      </c>
      <c r="E20" s="432">
        <f>SUM('Billy Bey'!I25,'Billy Bey'!J25,'Billy Bey'!K25, 'New York Water Taxi'!H25:H25, 'NY Waterway'!I25:J25, SeaStreak!C25:D25,'NYC Ferry'!C25,'NYC Ferry'!M25,'NYC Ferry'!T25,'NYC Ferry'!Y25, 'NYC Ferry'!AD25, 'NYC Ferry'!AH25)</f>
        <v>61656</v>
      </c>
      <c r="F20" s="95"/>
      <c r="G20" s="442" t="s">
        <v>10</v>
      </c>
      <c r="H20" s="432">
        <f>SUM('Billy Bey'!I36,'Billy Bey'!J36,'Billy Bey'!K36, 'New York Water Taxi'!H36:H36, 'NY Waterway'!I36:J36, SeaStreak!C36:D36,'NYC Ferry'!C36,'NYC Ferry'!M36,'NYC Ferry'!T36,'NYC Ferry'!Y36, 'NYC Ferry'!AD36, 'NYC Ferry'!AH36)</f>
        <v>60265</v>
      </c>
      <c r="I20" s="95"/>
      <c r="J20" s="442" t="s">
        <v>10</v>
      </c>
      <c r="K20" s="432">
        <f>SUM('Billy Bey'!I47,'Billy Bey'!J47, 'Billy Bey'!K47, 'New York Water Taxi'!H47:H47, 'NY Waterway'!I47:J47, SeaStreak!C47:D47,'NYC Ferry'!C47,'NYC Ferry'!M47,'NYC Ferry'!T47,'NYC Ferry'!Y47, 'NYC Ferry'!AD47, 'NYC Ferry'!AH47)</f>
        <v>48317</v>
      </c>
      <c r="L20" s="95"/>
      <c r="M20" s="442" t="s">
        <v>10</v>
      </c>
      <c r="N20" s="432">
        <f>SUM('Billy Bey'!I58,'Billy Bey'!J58,'Billy Bey'!K58, 'New York Water Taxi'!H58:H58, 'NY Waterway'!I58:J58, SeaStreak!C58:D58,'NYC Ferry'!C58,'NYC Ferry'!M58,'NYC Ferry'!T58,'NYC Ferry'!Y58,'NYC Ferry'!AD58, 'NYC Ferry'!AH58)</f>
        <v>45405</v>
      </c>
    </row>
    <row r="21" spans="1:17" ht="12.95" customHeight="1" thickBot="1" x14ac:dyDescent="0.3">
      <c r="A21" s="446"/>
      <c r="B21" s="437"/>
      <c r="C21" s="8"/>
      <c r="D21" s="446"/>
      <c r="E21" s="433"/>
      <c r="F21" s="95"/>
      <c r="G21" s="446"/>
      <c r="H21" s="433"/>
      <c r="I21" s="95"/>
      <c r="J21" s="446"/>
      <c r="K21" s="433"/>
      <c r="L21" s="95"/>
      <c r="M21" s="446"/>
      <c r="N21" s="433"/>
    </row>
    <row r="22" spans="1:17" ht="12.95" customHeight="1" x14ac:dyDescent="0.25">
      <c r="A22" s="438" t="s">
        <v>68</v>
      </c>
      <c r="B22" s="432">
        <f xml:space="preserve"> 'Billy Bey'!L14</f>
        <v>980</v>
      </c>
      <c r="C22" s="8"/>
      <c r="D22" s="438" t="s">
        <v>68</v>
      </c>
      <c r="E22" s="432">
        <f xml:space="preserve"> 'Billy Bey'!L25</f>
        <v>1825</v>
      </c>
      <c r="F22" s="95"/>
      <c r="G22" s="438" t="s">
        <v>68</v>
      </c>
      <c r="H22" s="432">
        <f xml:space="preserve"> 'Billy Bey'!L36</f>
        <v>2657</v>
      </c>
      <c r="I22" s="95"/>
      <c r="J22" s="438" t="s">
        <v>68</v>
      </c>
      <c r="K22" s="432">
        <f>'Billy Bey'!L47</f>
        <v>1428</v>
      </c>
      <c r="L22" s="95"/>
      <c r="M22" s="438" t="s">
        <v>68</v>
      </c>
      <c r="N22" s="432">
        <f xml:space="preserve"> 'Billy Bey'!L58</f>
        <v>1432</v>
      </c>
    </row>
    <row r="23" spans="1:17" ht="12.95" customHeight="1" thickBot="1" x14ac:dyDescent="0.3">
      <c r="A23" s="441"/>
      <c r="B23" s="437"/>
      <c r="C23" s="8"/>
      <c r="D23" s="441"/>
      <c r="E23" s="433"/>
      <c r="F23" s="95"/>
      <c r="G23" s="441"/>
      <c r="H23" s="433"/>
      <c r="I23" s="95"/>
      <c r="J23" s="441"/>
      <c r="K23" s="433"/>
      <c r="L23" s="95"/>
      <c r="M23" s="441"/>
      <c r="N23" s="433"/>
    </row>
    <row r="24" spans="1:17" ht="12.95" customHeight="1" x14ac:dyDescent="0.25">
      <c r="A24" s="438" t="s">
        <v>8</v>
      </c>
      <c r="B24" s="425">
        <f>SUM('Billy Bey'!C14:E14, 'NY Waterway'!C14:G14,)</f>
        <v>35715</v>
      </c>
      <c r="C24" s="9"/>
      <c r="D24" s="438" t="s">
        <v>8</v>
      </c>
      <c r="E24" s="425">
        <f>SUM('Billy Bey'!C25:E25, 'NY Waterway'!C25:G25,)</f>
        <v>59855</v>
      </c>
      <c r="F24" s="95"/>
      <c r="G24" s="438" t="s">
        <v>8</v>
      </c>
      <c r="H24" s="425">
        <f>SUM('Billy Bey'!C36:E36, 'NY Waterway'!C36:G36,)</f>
        <v>58645</v>
      </c>
      <c r="I24" s="95"/>
      <c r="J24" s="438" t="s">
        <v>8</v>
      </c>
      <c r="K24" s="425">
        <f>SUM('Billy Bey'!C47:E47, 'NY Waterway'!C47:G47,)</f>
        <v>49517</v>
      </c>
      <c r="L24" s="95"/>
      <c r="M24" s="438" t="s">
        <v>8</v>
      </c>
      <c r="N24" s="425">
        <f>SUM('Billy Bey'!C58:E58, 'NY Waterway'!C58:G58,)</f>
        <v>43477</v>
      </c>
    </row>
    <row r="25" spans="1:17" ht="12.95" customHeight="1" thickBot="1" x14ac:dyDescent="0.3">
      <c r="A25" s="441"/>
      <c r="B25" s="436"/>
      <c r="C25" s="97"/>
      <c r="D25" s="441"/>
      <c r="E25" s="436"/>
      <c r="F25" s="95"/>
      <c r="G25" s="441"/>
      <c r="H25" s="447"/>
      <c r="I25" s="95"/>
      <c r="J25" s="441"/>
      <c r="K25" s="447"/>
      <c r="L25" s="95"/>
      <c r="M25" s="441"/>
      <c r="N25" s="447"/>
    </row>
    <row r="26" spans="1:17" ht="12.95" customHeight="1" x14ac:dyDescent="0.25">
      <c r="A26" s="442" t="s">
        <v>14</v>
      </c>
      <c r="B26" s="432">
        <f>SUM(SeaStreak!E14:F14,'New York Water Taxi'!G14,'NYC Ferry'!D14,'NYC Ferry'!X14, 'NYC Ferry'!AA14, 'NYC Ferry'!AG14)</f>
        <v>11981</v>
      </c>
      <c r="C26" s="7"/>
      <c r="D26" s="442" t="s">
        <v>14</v>
      </c>
      <c r="E26" s="432">
        <f>SUM(SeaStreak!E25:F25,'New York Water Taxi'!G25, 'NYC Ferry'!D25,'NYC Ferry'!X25, 'NYC Ferry'!AA25, 'NYC Ferry'!AG25)</f>
        <v>18648</v>
      </c>
      <c r="F26" s="95"/>
      <c r="G26" s="442" t="s">
        <v>14</v>
      </c>
      <c r="H26" s="432">
        <f>SUM(SeaStreak!E36:F36,'New York Water Taxi'!G36, 'NYC Ferry'!D36,'NYC Ferry'!X36,'NYC Ferry'!AA36, 'NYC Ferry'!AG36)</f>
        <v>17798</v>
      </c>
      <c r="I26" s="95"/>
      <c r="J26" s="442" t="s">
        <v>14</v>
      </c>
      <c r="K26" s="432">
        <f>SUM(SeaStreak!E47:F47,'New York Water Taxi'!G47, 'NYC Ferry'!D47,'NYC Ferry'!X47, 'NYC Ferry'!AA47, 'NYC Ferry'!AG47)</f>
        <v>14120</v>
      </c>
      <c r="L26" s="95"/>
      <c r="M26" s="442" t="s">
        <v>14</v>
      </c>
      <c r="N26" s="432">
        <f>SUM(SeaStreak!E58:F58,'New York Water Taxi'!G58,'NYC Ferry'!D58,'NYC Ferry'!X58,'NYC Ferry'!AA58, 'NYC Ferry'!AG58)</f>
        <v>12835</v>
      </c>
    </row>
    <row r="27" spans="1:17" ht="12.95" customHeight="1" thickBot="1" x14ac:dyDescent="0.3">
      <c r="A27" s="443"/>
      <c r="B27" s="437"/>
      <c r="C27" s="99"/>
      <c r="D27" s="443"/>
      <c r="E27" s="444"/>
      <c r="F27" s="95"/>
      <c r="G27" s="443"/>
      <c r="H27" s="444"/>
      <c r="I27" s="95"/>
      <c r="J27" s="443"/>
      <c r="K27" s="444"/>
      <c r="L27" s="95"/>
      <c r="M27" s="443"/>
      <c r="N27" s="444"/>
    </row>
    <row r="28" spans="1:17" ht="12.95" customHeight="1" x14ac:dyDescent="0.25">
      <c r="A28" s="438" t="s">
        <v>9</v>
      </c>
      <c r="B28" s="425">
        <f>SUM('Billy Bey'!F14:H14, 'Liberty Landing Ferry'!C14, 'NY Waterway'!H14)</f>
        <v>21391</v>
      </c>
      <c r="C28" s="9"/>
      <c r="D28" s="438" t="s">
        <v>9</v>
      </c>
      <c r="E28" s="415">
        <f>SUM('Billy Bey'!F25:H25, 'Liberty Landing Ferry'!C25, 'NY Waterway'!H25)</f>
        <v>36773</v>
      </c>
      <c r="F28" s="95"/>
      <c r="G28" s="438" t="s">
        <v>9</v>
      </c>
      <c r="H28" s="425">
        <f>SUM('Billy Bey'!F36:H36, 'Liberty Landing Ferry'!C36, 'NY Waterway'!H36)</f>
        <v>35673</v>
      </c>
      <c r="I28" s="95"/>
      <c r="J28" s="438" t="s">
        <v>9</v>
      </c>
      <c r="K28" s="425">
        <f>SUM('Billy Bey'!F47:H47, 'Liberty Landing Ferry'!C47, 'NY Waterway'!H47)</f>
        <v>29844</v>
      </c>
      <c r="L28" s="95"/>
      <c r="M28" s="438" t="s">
        <v>9</v>
      </c>
      <c r="N28" s="425">
        <f>SUM('Billy Bey'!F58:H58, 'Liberty Landing Ferry'!C58, 'NY Waterway'!H58)</f>
        <v>29401</v>
      </c>
    </row>
    <row r="29" spans="1:17" ht="12.95" customHeight="1" thickBot="1" x14ac:dyDescent="0.3">
      <c r="A29" s="439"/>
      <c r="B29" s="436"/>
      <c r="C29" s="100"/>
      <c r="D29" s="439"/>
      <c r="E29" s="426"/>
      <c r="F29" s="95"/>
      <c r="G29" s="439"/>
      <c r="H29" s="426"/>
      <c r="I29" s="95"/>
      <c r="J29" s="439"/>
      <c r="K29" s="426"/>
      <c r="L29" s="95"/>
      <c r="M29" s="439"/>
      <c r="N29" s="426"/>
      <c r="P29" s="109"/>
      <c r="Q29" s="109"/>
    </row>
    <row r="30" spans="1:17" s="109" customFormat="1" ht="12.95" customHeight="1" x14ac:dyDescent="0.2">
      <c r="A30" s="438" t="s">
        <v>7</v>
      </c>
      <c r="B30" s="415">
        <f>SUM('New York Water Taxi'!C14)</f>
        <v>363</v>
      </c>
      <c r="C30" s="10"/>
      <c r="D30" s="438" t="s">
        <v>7</v>
      </c>
      <c r="E30" s="415">
        <f>SUM('New York Water Taxi'!C25)</f>
        <v>131</v>
      </c>
      <c r="F30" s="108"/>
      <c r="G30" s="438" t="s">
        <v>7</v>
      </c>
      <c r="H30" s="415">
        <f>SUM('New York Water Taxi'!C36)</f>
        <v>207</v>
      </c>
      <c r="I30" s="108"/>
      <c r="J30" s="438" t="s">
        <v>7</v>
      </c>
      <c r="K30" s="415">
        <f>SUM('New York Water Taxi'!C47)</f>
        <v>84</v>
      </c>
      <c r="L30" s="108"/>
      <c r="M30" s="438" t="s">
        <v>7</v>
      </c>
      <c r="N30" s="415">
        <f>SUM('New York Water Taxi'!C58)</f>
        <v>42</v>
      </c>
    </row>
    <row r="31" spans="1:17" s="109" customFormat="1" ht="12.95" customHeight="1" thickBot="1" x14ac:dyDescent="0.3">
      <c r="A31" s="439"/>
      <c r="B31" s="416"/>
      <c r="C31" s="103"/>
      <c r="D31" s="439"/>
      <c r="E31" s="445"/>
      <c r="F31" s="108"/>
      <c r="G31" s="439"/>
      <c r="H31" s="445"/>
      <c r="I31" s="108"/>
      <c r="J31" s="439"/>
      <c r="K31" s="445"/>
      <c r="L31" s="108"/>
      <c r="M31" s="439"/>
      <c r="N31" s="445"/>
      <c r="P31" s="110"/>
      <c r="Q31" s="110"/>
    </row>
    <row r="32" spans="1:17" ht="12.75" customHeight="1" x14ac:dyDescent="0.25">
      <c r="A32" s="438" t="s">
        <v>106</v>
      </c>
      <c r="B32" s="415">
        <f>SUM('New York Water Taxi'!E14)</f>
        <v>506</v>
      </c>
      <c r="C32" s="95"/>
      <c r="D32" s="438" t="s">
        <v>106</v>
      </c>
      <c r="E32" s="415">
        <f>SUM('New York Water Taxi'!E25)</f>
        <v>214</v>
      </c>
      <c r="F32" s="95"/>
      <c r="G32" s="438" t="s">
        <v>106</v>
      </c>
      <c r="H32" s="415">
        <f>SUM('New York Water Taxi'!E36)</f>
        <v>203</v>
      </c>
      <c r="I32" s="95"/>
      <c r="J32" s="438" t="s">
        <v>106</v>
      </c>
      <c r="K32" s="415">
        <f>SUM('New York Water Taxi'!E47)</f>
        <v>101</v>
      </c>
      <c r="L32" s="95"/>
      <c r="M32" s="438" t="s">
        <v>106</v>
      </c>
      <c r="N32" s="415">
        <f>SUM('New York Water Taxi'!E58)</f>
        <v>58</v>
      </c>
    </row>
    <row r="33" spans="1:14" ht="14.25" thickBot="1" x14ac:dyDescent="0.3">
      <c r="A33" s="439"/>
      <c r="B33" s="416"/>
      <c r="C33" s="95"/>
      <c r="D33" s="439"/>
      <c r="E33" s="440"/>
      <c r="F33" s="95"/>
      <c r="G33" s="439"/>
      <c r="H33" s="440"/>
      <c r="I33" s="95"/>
      <c r="J33" s="439"/>
      <c r="K33" s="440"/>
      <c r="L33" s="95"/>
      <c r="M33" s="439"/>
      <c r="N33" s="440"/>
    </row>
    <row r="34" spans="1:14" ht="12.75" customHeight="1" x14ac:dyDescent="0.25">
      <c r="A34" s="438" t="s">
        <v>103</v>
      </c>
      <c r="B34" s="415">
        <f>('New York Water Taxi'!F14)</f>
        <v>982</v>
      </c>
      <c r="C34" s="95"/>
      <c r="D34" s="438" t="s">
        <v>103</v>
      </c>
      <c r="E34" s="415">
        <f>'New York Water Taxi'!F25</f>
        <v>357</v>
      </c>
      <c r="F34" s="95"/>
      <c r="G34" s="438" t="s">
        <v>103</v>
      </c>
      <c r="H34" s="415">
        <f>'New York Water Taxi'!F36</f>
        <v>394</v>
      </c>
      <c r="I34" s="95"/>
      <c r="J34" s="438" t="s">
        <v>103</v>
      </c>
      <c r="K34" s="415">
        <f>'New York Water Taxi'!F47</f>
        <v>195</v>
      </c>
      <c r="L34" s="95"/>
      <c r="M34" s="438" t="s">
        <v>103</v>
      </c>
      <c r="N34" s="415">
        <f>'New York Water Taxi'!F58</f>
        <v>137</v>
      </c>
    </row>
    <row r="35" spans="1:14" ht="14.25" customHeight="1" thickBot="1" x14ac:dyDescent="0.3">
      <c r="A35" s="439"/>
      <c r="B35" s="416"/>
      <c r="C35" s="95"/>
      <c r="D35" s="439"/>
      <c r="E35" s="420"/>
      <c r="F35" s="95"/>
      <c r="G35" s="439"/>
      <c r="H35" s="420"/>
      <c r="I35" s="95"/>
      <c r="J35" s="439"/>
      <c r="K35" s="416"/>
      <c r="L35" s="95"/>
      <c r="M35" s="439"/>
      <c r="N35" s="416"/>
    </row>
    <row r="36" spans="1:14" x14ac:dyDescent="0.25">
      <c r="A36" s="417" t="s">
        <v>63</v>
      </c>
      <c r="B36" s="415">
        <f>SUM('NYC Ferry'!E14+'NYC Ferry'!S14,'New York Water Taxi'!D14)</f>
        <v>4048</v>
      </c>
      <c r="C36" s="95"/>
      <c r="D36" s="417" t="s">
        <v>63</v>
      </c>
      <c r="E36" s="415">
        <f>SUM('NYC Ferry'!E25+'NYC Ferry'!S25,'New York Water Taxi'!D25)</f>
        <v>3170</v>
      </c>
      <c r="F36" s="95"/>
      <c r="G36" s="417" t="s">
        <v>63</v>
      </c>
      <c r="H36" s="415">
        <f>SUM('NYC Ferry'!E36+'NYC Ferry'!S36,'New York Water Taxi'!D36)</f>
        <v>3098</v>
      </c>
      <c r="I36" s="95"/>
      <c r="J36" s="417" t="s">
        <v>63</v>
      </c>
      <c r="K36" s="415">
        <f>SUM('NYC Ferry'!E47+'NYC Ferry'!S47,'New York Water Taxi'!D47)</f>
        <v>2290</v>
      </c>
      <c r="L36" s="95"/>
      <c r="M36" s="417" t="s">
        <v>63</v>
      </c>
      <c r="N36" s="415">
        <f>SUM('NYC Ferry'!E58+'NYC Ferry'!S58,'New York Water Taxi'!D58)</f>
        <v>1967</v>
      </c>
    </row>
    <row r="37" spans="1:14" ht="14.25" thickBot="1" x14ac:dyDescent="0.3">
      <c r="A37" s="418"/>
      <c r="B37" s="416"/>
      <c r="C37" s="95"/>
      <c r="D37" s="418"/>
      <c r="E37" s="416"/>
      <c r="F37" s="95"/>
      <c r="G37" s="418"/>
      <c r="H37" s="416"/>
      <c r="I37" s="95"/>
      <c r="J37" s="418"/>
      <c r="K37" s="416"/>
      <c r="L37" s="95"/>
      <c r="M37" s="418"/>
      <c r="N37" s="416"/>
    </row>
    <row r="38" spans="1:14" ht="12.75" customHeight="1" x14ac:dyDescent="0.25">
      <c r="A38" s="417" t="s">
        <v>64</v>
      </c>
      <c r="B38" s="415">
        <f>SUM('NYC Ferry'!F14)</f>
        <v>1239</v>
      </c>
      <c r="C38" s="95"/>
      <c r="D38" s="417" t="s">
        <v>64</v>
      </c>
      <c r="E38" s="415">
        <f>SUM('NYC Ferry'!F25)</f>
        <v>1772</v>
      </c>
      <c r="F38" s="95"/>
      <c r="G38" s="417" t="s">
        <v>64</v>
      </c>
      <c r="H38" s="415">
        <f>SUM('NYC Ferry'!F36)</f>
        <v>1757</v>
      </c>
      <c r="I38" s="95"/>
      <c r="J38" s="417" t="s">
        <v>64</v>
      </c>
      <c r="K38" s="415">
        <f>SUM('NYC Ferry'!F47)</f>
        <v>1489</v>
      </c>
      <c r="L38" s="95"/>
      <c r="M38" s="417" t="s">
        <v>64</v>
      </c>
      <c r="N38" s="415">
        <f>SUM('NYC Ferry'!F58)</f>
        <v>1325</v>
      </c>
    </row>
    <row r="39" spans="1:14" ht="13.5" customHeight="1" thickBot="1" x14ac:dyDescent="0.3">
      <c r="A39" s="418"/>
      <c r="B39" s="416"/>
      <c r="C39" s="95"/>
      <c r="D39" s="418"/>
      <c r="E39" s="416"/>
      <c r="F39" s="95"/>
      <c r="G39" s="418"/>
      <c r="H39" s="416"/>
      <c r="I39" s="95"/>
      <c r="J39" s="418"/>
      <c r="K39" s="416"/>
      <c r="L39" s="95"/>
      <c r="M39" s="418"/>
      <c r="N39" s="416"/>
    </row>
    <row r="40" spans="1:14" ht="12.75" customHeight="1" x14ac:dyDescent="0.25">
      <c r="A40" s="417" t="s">
        <v>11</v>
      </c>
      <c r="B40" s="415">
        <f>SUM('NYC Ferry'!G14)</f>
        <v>3291</v>
      </c>
      <c r="C40" s="95"/>
      <c r="D40" s="417" t="s">
        <v>11</v>
      </c>
      <c r="E40" s="415">
        <f>SUM('NYC Ferry'!G25)</f>
        <v>4644</v>
      </c>
      <c r="F40" s="95"/>
      <c r="G40" s="417" t="s">
        <v>11</v>
      </c>
      <c r="H40" s="415">
        <f>SUM('NYC Ferry'!G36)</f>
        <v>4616</v>
      </c>
      <c r="I40" s="95"/>
      <c r="J40" s="417" t="s">
        <v>11</v>
      </c>
      <c r="K40" s="415">
        <f>SUM('NYC Ferry'!G47)</f>
        <v>3822</v>
      </c>
      <c r="L40" s="95"/>
      <c r="M40" s="417" t="s">
        <v>11</v>
      </c>
      <c r="N40" s="415">
        <f>SUM('NYC Ferry'!G58)</f>
        <v>3221</v>
      </c>
    </row>
    <row r="41" spans="1:14" ht="13.5" customHeight="1" thickBot="1" x14ac:dyDescent="0.3">
      <c r="A41" s="418"/>
      <c r="B41" s="416"/>
      <c r="C41" s="95"/>
      <c r="D41" s="418"/>
      <c r="E41" s="416"/>
      <c r="F41" s="95"/>
      <c r="G41" s="418"/>
      <c r="H41" s="416"/>
      <c r="I41" s="95"/>
      <c r="J41" s="418"/>
      <c r="K41" s="416"/>
      <c r="L41" s="95"/>
      <c r="M41" s="418"/>
      <c r="N41" s="416"/>
    </row>
    <row r="42" spans="1:14" ht="12.75" customHeight="1" x14ac:dyDescent="0.25">
      <c r="A42" s="417" t="s">
        <v>12</v>
      </c>
      <c r="B42" s="415">
        <f>SUM('NYC Ferry'!H14)</f>
        <v>1501</v>
      </c>
      <c r="C42" s="95"/>
      <c r="D42" s="417" t="s">
        <v>12</v>
      </c>
      <c r="E42" s="415">
        <f>SUM('NYC Ferry'!H25)</f>
        <v>2414</v>
      </c>
      <c r="F42" s="95"/>
      <c r="G42" s="417" t="s">
        <v>12</v>
      </c>
      <c r="H42" s="415">
        <f>SUM('NYC Ferry'!H36)</f>
        <v>2483</v>
      </c>
      <c r="I42" s="95"/>
      <c r="J42" s="417" t="s">
        <v>12</v>
      </c>
      <c r="K42" s="415">
        <f>SUM('NYC Ferry'!H47)</f>
        <v>5311</v>
      </c>
      <c r="L42" s="95"/>
      <c r="M42" s="417" t="s">
        <v>12</v>
      </c>
      <c r="N42" s="415">
        <f>SUM('NYC Ferry'!H58)</f>
        <v>1683</v>
      </c>
    </row>
    <row r="43" spans="1:14" ht="13.5" customHeight="1" thickBot="1" x14ac:dyDescent="0.3">
      <c r="A43" s="418"/>
      <c r="B43" s="416"/>
      <c r="C43" s="95"/>
      <c r="D43" s="418"/>
      <c r="E43" s="416"/>
      <c r="F43" s="95"/>
      <c r="G43" s="418"/>
      <c r="H43" s="416"/>
      <c r="I43" s="95"/>
      <c r="J43" s="418"/>
      <c r="K43" s="416"/>
      <c r="L43" s="95"/>
      <c r="M43" s="418"/>
      <c r="N43" s="416"/>
    </row>
    <row r="44" spans="1:14" ht="12.75" customHeight="1" x14ac:dyDescent="0.25">
      <c r="A44" s="417" t="s">
        <v>99</v>
      </c>
      <c r="B44" s="415">
        <f>SUM('NYC Ferry'!I14,)</f>
        <v>957</v>
      </c>
      <c r="C44" s="95"/>
      <c r="D44" s="417" t="s">
        <v>99</v>
      </c>
      <c r="E44" s="415">
        <f>SUM('NYC Ferry'!I25)</f>
        <v>1079</v>
      </c>
      <c r="F44" s="95"/>
      <c r="G44" s="417" t="s">
        <v>99</v>
      </c>
      <c r="H44" s="415">
        <f>SUM('NYC Ferry'!I36)</f>
        <v>1027</v>
      </c>
      <c r="I44" s="95"/>
      <c r="J44" s="417" t="s">
        <v>99</v>
      </c>
      <c r="K44" s="415">
        <f>SUM('NYC Ferry'!I47)</f>
        <v>778</v>
      </c>
      <c r="L44" s="95"/>
      <c r="M44" s="417" t="s">
        <v>99</v>
      </c>
      <c r="N44" s="415">
        <f>SUM('NYC Ferry'!I58)</f>
        <v>681</v>
      </c>
    </row>
    <row r="45" spans="1:14" ht="13.5" customHeight="1" thickBot="1" x14ac:dyDescent="0.3">
      <c r="A45" s="418"/>
      <c r="B45" s="416"/>
      <c r="C45" s="95"/>
      <c r="D45" s="418"/>
      <c r="E45" s="416"/>
      <c r="F45" s="95"/>
      <c r="G45" s="418"/>
      <c r="H45" s="416"/>
      <c r="I45" s="95"/>
      <c r="J45" s="418"/>
      <c r="K45" s="416"/>
      <c r="L45" s="95"/>
      <c r="M45" s="418"/>
      <c r="N45" s="416"/>
    </row>
    <row r="46" spans="1:14" ht="12.75" customHeight="1" x14ac:dyDescent="0.25">
      <c r="A46" s="417" t="s">
        <v>78</v>
      </c>
      <c r="B46" s="415">
        <f>SUM('NYC Ferry'!P14)</f>
        <v>720</v>
      </c>
      <c r="C46" s="95"/>
      <c r="D46" s="417" t="s">
        <v>78</v>
      </c>
      <c r="E46" s="415">
        <f>SUM('NYC Ferry'!P25)</f>
        <v>596</v>
      </c>
      <c r="F46" s="95"/>
      <c r="G46" s="417" t="s">
        <v>78</v>
      </c>
      <c r="H46" s="415">
        <f>SUM('NYC Ferry'!P36)</f>
        <v>615</v>
      </c>
      <c r="I46" s="95"/>
      <c r="J46" s="417" t="s">
        <v>78</v>
      </c>
      <c r="K46" s="415">
        <f>SUM('NYC Ferry'!P47)</f>
        <v>539</v>
      </c>
      <c r="L46" s="95"/>
      <c r="M46" s="417" t="s">
        <v>78</v>
      </c>
      <c r="N46" s="415">
        <f>SUM('NYC Ferry'!P58)</f>
        <v>375</v>
      </c>
    </row>
    <row r="47" spans="1:14" ht="13.5" customHeight="1" thickBot="1" x14ac:dyDescent="0.3">
      <c r="A47" s="418"/>
      <c r="B47" s="416"/>
      <c r="C47" s="95"/>
      <c r="D47" s="418"/>
      <c r="E47" s="416"/>
      <c r="F47" s="95"/>
      <c r="G47" s="418"/>
      <c r="H47" s="416"/>
      <c r="I47" s="95"/>
      <c r="J47" s="418"/>
      <c r="K47" s="416"/>
      <c r="L47" s="95"/>
      <c r="M47" s="418"/>
      <c r="N47" s="416"/>
    </row>
    <row r="48" spans="1:14" ht="13.5" customHeight="1" x14ac:dyDescent="0.25">
      <c r="A48" s="417" t="s">
        <v>77</v>
      </c>
      <c r="B48" s="415">
        <f>SUM('NYC Ferry'!N14)</f>
        <v>410</v>
      </c>
      <c r="C48" s="95"/>
      <c r="D48" s="417" t="s">
        <v>77</v>
      </c>
      <c r="E48" s="415">
        <f>SUM('NYC Ferry'!N25)</f>
        <v>402</v>
      </c>
      <c r="F48" s="95"/>
      <c r="G48" s="417" t="s">
        <v>77</v>
      </c>
      <c r="H48" s="421">
        <f>SUM('NYC Ferry'!N36)</f>
        <v>462</v>
      </c>
      <c r="I48" s="95"/>
      <c r="J48" s="417" t="s">
        <v>77</v>
      </c>
      <c r="K48" s="421">
        <f>SUM('NYC Ferry'!N47)</f>
        <v>285</v>
      </c>
      <c r="L48" s="95"/>
      <c r="M48" s="417" t="s">
        <v>77</v>
      </c>
      <c r="N48" s="415">
        <f>SUM('NYC Ferry'!N58)</f>
        <v>273</v>
      </c>
    </row>
    <row r="49" spans="1:14" ht="13.5" customHeight="1" thickBot="1" x14ac:dyDescent="0.3">
      <c r="A49" s="418"/>
      <c r="B49" s="416"/>
      <c r="C49" s="95"/>
      <c r="D49" s="418"/>
      <c r="E49" s="416"/>
      <c r="F49" s="95"/>
      <c r="G49" s="418"/>
      <c r="H49" s="420"/>
      <c r="I49" s="95"/>
      <c r="J49" s="418"/>
      <c r="K49" s="420"/>
      <c r="L49" s="95"/>
      <c r="M49" s="418"/>
      <c r="N49" s="416"/>
    </row>
    <row r="50" spans="1:14" ht="13.5" customHeight="1" x14ac:dyDescent="0.25">
      <c r="A50" s="417" t="s">
        <v>87</v>
      </c>
      <c r="B50" s="415">
        <f>SUM('NYC Ferry'!AB14)</f>
        <v>493</v>
      </c>
      <c r="C50" s="95"/>
      <c r="D50" s="417" t="s">
        <v>87</v>
      </c>
      <c r="E50" s="415">
        <f>SUM('NYC Ferry'!AB25)</f>
        <v>772</v>
      </c>
      <c r="F50" s="95"/>
      <c r="G50" s="417" t="s">
        <v>87</v>
      </c>
      <c r="H50" s="419">
        <f>SUM('NYC Ferry'!AB36)</f>
        <v>760</v>
      </c>
      <c r="I50" s="95"/>
      <c r="J50" s="417" t="s">
        <v>87</v>
      </c>
      <c r="K50" s="419">
        <f>SUM('NYC Ferry'!AB47)</f>
        <v>618</v>
      </c>
      <c r="L50" s="95"/>
      <c r="M50" s="417" t="s">
        <v>87</v>
      </c>
      <c r="N50" s="415">
        <f>SUM('NYC Ferry'!AB58)</f>
        <v>537</v>
      </c>
    </row>
    <row r="51" spans="1:14" ht="13.5" customHeight="1" thickBot="1" x14ac:dyDescent="0.3">
      <c r="A51" s="418"/>
      <c r="B51" s="416"/>
      <c r="C51" s="95"/>
      <c r="D51" s="418"/>
      <c r="E51" s="416"/>
      <c r="F51" s="95"/>
      <c r="G51" s="418"/>
      <c r="H51" s="420"/>
      <c r="I51" s="95"/>
      <c r="J51" s="418"/>
      <c r="K51" s="420"/>
      <c r="L51" s="95"/>
      <c r="M51" s="418"/>
      <c r="N51" s="416"/>
    </row>
    <row r="52" spans="1:14" ht="13.5" customHeight="1" x14ac:dyDescent="0.25">
      <c r="A52" s="417" t="s">
        <v>88</v>
      </c>
      <c r="B52" s="415">
        <f>SUM('NYC Ferry'!AC14)</f>
        <v>168</v>
      </c>
      <c r="C52" s="95"/>
      <c r="D52" s="417" t="s">
        <v>88</v>
      </c>
      <c r="E52" s="415">
        <f>SUM('NYC Ferry'!AC25)</f>
        <v>210</v>
      </c>
      <c r="F52" s="95"/>
      <c r="G52" s="417" t="s">
        <v>88</v>
      </c>
      <c r="H52" s="419">
        <f>SUM('NYC Ferry'!AC36)</f>
        <v>216</v>
      </c>
      <c r="I52" s="95"/>
      <c r="J52" s="417" t="s">
        <v>88</v>
      </c>
      <c r="K52" s="419">
        <f>SUM('NYC Ferry'!AC47)</f>
        <v>174</v>
      </c>
      <c r="L52" s="95"/>
      <c r="M52" s="417" t="s">
        <v>88</v>
      </c>
      <c r="N52" s="415">
        <f>SUM('NYC Ferry'!AC58)</f>
        <v>144</v>
      </c>
    </row>
    <row r="53" spans="1:14" ht="13.5" customHeight="1" thickBot="1" x14ac:dyDescent="0.3">
      <c r="A53" s="418"/>
      <c r="B53" s="416"/>
      <c r="C53" s="95"/>
      <c r="D53" s="418"/>
      <c r="E53" s="416"/>
      <c r="F53" s="95"/>
      <c r="G53" s="418"/>
      <c r="H53" s="420"/>
      <c r="I53" s="95"/>
      <c r="J53" s="418"/>
      <c r="K53" s="420"/>
      <c r="L53" s="95"/>
      <c r="M53" s="418"/>
      <c r="N53" s="416"/>
    </row>
    <row r="54" spans="1:14" ht="13.5" customHeight="1" x14ac:dyDescent="0.25">
      <c r="A54" s="417" t="s">
        <v>90</v>
      </c>
      <c r="B54" s="415">
        <f>SUM('NYC Ferry'!AE14)</f>
        <v>1884</v>
      </c>
      <c r="C54" s="95"/>
      <c r="D54" s="417" t="s">
        <v>90</v>
      </c>
      <c r="E54" s="415">
        <f>SUM('NYC Ferry'!AE25)</f>
        <v>2284</v>
      </c>
      <c r="F54" s="95"/>
      <c r="G54" s="417" t="s">
        <v>90</v>
      </c>
      <c r="H54" s="419">
        <f>SUM('NYC Ferry'!AE36)</f>
        <v>2180</v>
      </c>
      <c r="I54" s="95"/>
      <c r="J54" s="417" t="s">
        <v>90</v>
      </c>
      <c r="K54" s="419">
        <f>SUM('NYC Ferry'!AE47)</f>
        <v>1681</v>
      </c>
      <c r="L54" s="95"/>
      <c r="M54" s="417" t="s">
        <v>90</v>
      </c>
      <c r="N54" s="415">
        <f>SUM('NYC Ferry'!AE58)</f>
        <v>1554</v>
      </c>
    </row>
    <row r="55" spans="1:14" ht="13.5" customHeight="1" thickBot="1" x14ac:dyDescent="0.3">
      <c r="A55" s="418"/>
      <c r="B55" s="416"/>
      <c r="C55" s="95"/>
      <c r="D55" s="418"/>
      <c r="E55" s="416"/>
      <c r="F55" s="95"/>
      <c r="G55" s="418"/>
      <c r="H55" s="420"/>
      <c r="I55" s="95"/>
      <c r="J55" s="418"/>
      <c r="K55" s="420"/>
      <c r="L55" s="95"/>
      <c r="M55" s="418"/>
      <c r="N55" s="416"/>
    </row>
    <row r="56" spans="1:14" ht="13.5" customHeight="1" x14ac:dyDescent="0.25">
      <c r="A56" s="417" t="s">
        <v>89</v>
      </c>
      <c r="B56" s="415">
        <f>SUM('NYC Ferry'!AF14)</f>
        <v>853</v>
      </c>
      <c r="C56" s="95"/>
      <c r="D56" s="417" t="s">
        <v>89</v>
      </c>
      <c r="E56" s="415">
        <f>SUM('NYC Ferry'!AF25)</f>
        <v>1140</v>
      </c>
      <c r="F56" s="95"/>
      <c r="G56" s="417" t="s">
        <v>89</v>
      </c>
      <c r="H56" s="419">
        <f>SUM('NYC Ferry'!AF36)</f>
        <v>1049</v>
      </c>
      <c r="I56" s="95"/>
      <c r="J56" s="417" t="s">
        <v>89</v>
      </c>
      <c r="K56" s="419">
        <f>SUM('NYC Ferry'!AF47)</f>
        <v>757</v>
      </c>
      <c r="L56" s="95"/>
      <c r="M56" s="417" t="s">
        <v>89</v>
      </c>
      <c r="N56" s="415">
        <f>SUM('NYC Ferry'!AF58)</f>
        <v>757</v>
      </c>
    </row>
    <row r="57" spans="1:14" ht="13.5" customHeight="1" thickBot="1" x14ac:dyDescent="0.3">
      <c r="A57" s="418"/>
      <c r="B57" s="416"/>
      <c r="C57" s="95"/>
      <c r="D57" s="418"/>
      <c r="E57" s="416"/>
      <c r="F57" s="95"/>
      <c r="G57" s="418"/>
      <c r="H57" s="420"/>
      <c r="I57" s="95"/>
      <c r="J57" s="418"/>
      <c r="K57" s="420"/>
      <c r="L57" s="95"/>
      <c r="M57" s="418"/>
      <c r="N57" s="416"/>
    </row>
    <row r="58" spans="1:14" ht="12.75" customHeight="1" x14ac:dyDescent="0.25">
      <c r="A58" s="417" t="s">
        <v>13</v>
      </c>
      <c r="B58" s="415">
        <f>SUM('NYC Ferry'!R14)</f>
        <v>322</v>
      </c>
      <c r="C58" s="95"/>
      <c r="D58" s="417" t="s">
        <v>13</v>
      </c>
      <c r="E58" s="415">
        <f>SUM('NYC Ferry'!R25)</f>
        <v>407</v>
      </c>
      <c r="F58" s="95"/>
      <c r="G58" s="417" t="s">
        <v>13</v>
      </c>
      <c r="H58" s="415">
        <f>SUM('NYC Ferry'!R36)</f>
        <v>405</v>
      </c>
      <c r="I58" s="95"/>
      <c r="J58" s="417" t="s">
        <v>13</v>
      </c>
      <c r="K58" s="415">
        <f>SUM('NYC Ferry'!R47)</f>
        <v>291</v>
      </c>
      <c r="L58" s="95"/>
      <c r="M58" s="417" t="s">
        <v>13</v>
      </c>
      <c r="N58" s="415">
        <f>SUM('NYC Ferry'!R58)</f>
        <v>260</v>
      </c>
    </row>
    <row r="59" spans="1:14" ht="13.5" customHeight="1" thickBot="1" x14ac:dyDescent="0.3">
      <c r="A59" s="418"/>
      <c r="B59" s="416"/>
      <c r="C59" s="95"/>
      <c r="D59" s="418"/>
      <c r="E59" s="416"/>
      <c r="F59" s="95"/>
      <c r="G59" s="418"/>
      <c r="H59" s="416"/>
      <c r="I59" s="95"/>
      <c r="J59" s="418"/>
      <c r="K59" s="416"/>
      <c r="L59" s="95"/>
      <c r="M59" s="418"/>
      <c r="N59" s="416"/>
    </row>
    <row r="60" spans="1:14" ht="13.5" customHeight="1" x14ac:dyDescent="0.25">
      <c r="A60" s="422" t="s">
        <v>31</v>
      </c>
      <c r="B60" s="415">
        <f>SUM('NYC Ferry'!J14)</f>
        <v>0</v>
      </c>
      <c r="C60" s="95"/>
      <c r="D60" s="422" t="s">
        <v>31</v>
      </c>
      <c r="E60" s="415">
        <f>SUM('NYC Ferry'!J25 + 'NYC Ferry'!Q25)</f>
        <v>0</v>
      </c>
      <c r="F60" s="95"/>
      <c r="G60" s="422" t="s">
        <v>31</v>
      </c>
      <c r="H60" s="421">
        <f>SUM('NYC Ferry'!J36)</f>
        <v>0</v>
      </c>
      <c r="I60" s="95"/>
      <c r="J60" s="422" t="s">
        <v>31</v>
      </c>
      <c r="K60" s="421">
        <f>SUM('NYC Ferry'!J47 + 'NYC Ferry'!Q47)</f>
        <v>0</v>
      </c>
      <c r="L60" s="95"/>
      <c r="M60" s="422" t="s">
        <v>31</v>
      </c>
      <c r="N60" s="421">
        <f>SUM('NYC Ferry'!J58,'NYC Ferry'!Q58)</f>
        <v>0</v>
      </c>
    </row>
    <row r="61" spans="1:14" ht="13.5" customHeight="1" thickBot="1" x14ac:dyDescent="0.3">
      <c r="A61" s="418"/>
      <c r="B61" s="416"/>
      <c r="C61" s="95"/>
      <c r="D61" s="418"/>
      <c r="E61" s="416"/>
      <c r="F61" s="95"/>
      <c r="G61" s="418"/>
      <c r="H61" s="416"/>
      <c r="I61" s="95"/>
      <c r="J61" s="418"/>
      <c r="K61" s="416"/>
      <c r="L61" s="95"/>
      <c r="M61" s="418"/>
      <c r="N61" s="416"/>
    </row>
    <row r="62" spans="1:14" ht="13.5" customHeight="1" x14ac:dyDescent="0.25">
      <c r="A62" s="417" t="s">
        <v>72</v>
      </c>
      <c r="B62" s="415">
        <f>'NYC Ferry'!L14+'NYC Ferry'!O14</f>
        <v>748</v>
      </c>
      <c r="C62" s="95"/>
      <c r="D62" s="422" t="s">
        <v>72</v>
      </c>
      <c r="E62" s="415">
        <f>'NYC Ferry'!L25+'NYC Ferry'!O25</f>
        <v>966</v>
      </c>
      <c r="F62" s="95"/>
      <c r="G62" s="422" t="s">
        <v>72</v>
      </c>
      <c r="H62" s="421">
        <f>'NYC Ferry'!L36 + 'NYC Ferry'!O36</f>
        <v>912</v>
      </c>
      <c r="I62" s="95"/>
      <c r="J62" s="422" t="s">
        <v>72</v>
      </c>
      <c r="K62" s="421">
        <f>'NYC Ferry'!L47 + 'NYC Ferry'!O47</f>
        <v>728</v>
      </c>
      <c r="L62" s="95"/>
      <c r="M62" s="422" t="s">
        <v>72</v>
      </c>
      <c r="N62" s="415">
        <f>'NYC Ferry'!L58 + 'NYC Ferry'!O58</f>
        <v>621</v>
      </c>
    </row>
    <row r="63" spans="1:14" ht="13.5" customHeight="1" thickBot="1" x14ac:dyDescent="0.3">
      <c r="A63" s="418"/>
      <c r="B63" s="416"/>
      <c r="C63" s="95"/>
      <c r="D63" s="418"/>
      <c r="E63" s="416"/>
      <c r="F63" s="95"/>
      <c r="G63" s="418"/>
      <c r="H63" s="416"/>
      <c r="I63" s="95"/>
      <c r="J63" s="418"/>
      <c r="K63" s="416"/>
      <c r="L63" s="95"/>
      <c r="M63" s="418"/>
      <c r="N63" s="416"/>
    </row>
    <row r="64" spans="1:14" ht="13.5" customHeight="1" x14ac:dyDescent="0.25">
      <c r="A64" s="422" t="s">
        <v>71</v>
      </c>
      <c r="B64" s="415">
        <f>'NYC Ferry'!K14</f>
        <v>1883</v>
      </c>
      <c r="C64" s="95"/>
      <c r="D64" s="422" t="s">
        <v>71</v>
      </c>
      <c r="E64" s="415">
        <f>'NYC Ferry'!K25</f>
        <v>2358</v>
      </c>
      <c r="F64" s="95"/>
      <c r="G64" s="422" t="s">
        <v>71</v>
      </c>
      <c r="H64" s="421">
        <f>'NYC Ferry'!K36</f>
        <v>2293</v>
      </c>
      <c r="I64" s="95"/>
      <c r="J64" s="422" t="s">
        <v>71</v>
      </c>
      <c r="K64" s="421">
        <f>'NYC Ferry'!K47</f>
        <v>1607</v>
      </c>
      <c r="L64" s="95"/>
      <c r="M64" s="422" t="s">
        <v>71</v>
      </c>
      <c r="N64" s="421">
        <f>'NYC Ferry'!K58</f>
        <v>1527</v>
      </c>
    </row>
    <row r="65" spans="1:14" ht="13.5" customHeight="1" thickBot="1" x14ac:dyDescent="0.3">
      <c r="A65" s="418"/>
      <c r="B65" s="416"/>
      <c r="C65" s="95"/>
      <c r="D65" s="418"/>
      <c r="E65" s="416"/>
      <c r="F65" s="95"/>
      <c r="G65" s="418"/>
      <c r="H65" s="416"/>
      <c r="I65" s="95"/>
      <c r="J65" s="418"/>
      <c r="K65" s="416"/>
      <c r="L65" s="95"/>
      <c r="M65" s="418"/>
      <c r="N65" s="416"/>
    </row>
    <row r="66" spans="1:14" ht="13.5" customHeight="1" x14ac:dyDescent="0.25">
      <c r="A66" s="422" t="s">
        <v>81</v>
      </c>
      <c r="B66" s="415">
        <f>SUM('NYC Ferry'!U14)</f>
        <v>1354</v>
      </c>
      <c r="C66" s="95"/>
      <c r="D66" s="422" t="s">
        <v>81</v>
      </c>
      <c r="E66" s="415">
        <f>SUM('NYC Ferry'!U25)</f>
        <v>1878</v>
      </c>
      <c r="F66" s="95"/>
      <c r="G66" s="422" t="s">
        <v>81</v>
      </c>
      <c r="H66" s="421">
        <f>SUM('NYC Ferry'!U36)</f>
        <v>1823</v>
      </c>
      <c r="I66" s="95"/>
      <c r="J66" s="422" t="s">
        <v>81</v>
      </c>
      <c r="K66" s="421">
        <f>SUM('NYC Ferry'!U47)</f>
        <v>1438</v>
      </c>
      <c r="L66" s="95"/>
      <c r="M66" s="422" t="s">
        <v>81</v>
      </c>
      <c r="N66" s="421">
        <f>SUM('NYC Ferry'!U58)</f>
        <v>1331</v>
      </c>
    </row>
    <row r="67" spans="1:14" ht="13.5" customHeight="1" thickBot="1" x14ac:dyDescent="0.3">
      <c r="A67" s="418"/>
      <c r="B67" s="416"/>
      <c r="C67" s="95"/>
      <c r="D67" s="418"/>
      <c r="E67" s="416"/>
      <c r="F67" s="95"/>
      <c r="G67" s="418"/>
      <c r="H67" s="416"/>
      <c r="I67" s="95"/>
      <c r="J67" s="418"/>
      <c r="K67" s="416"/>
      <c r="L67" s="95"/>
      <c r="M67" s="418"/>
      <c r="N67" s="416"/>
    </row>
    <row r="68" spans="1:14" ht="13.5" customHeight="1" x14ac:dyDescent="0.25">
      <c r="A68" s="422" t="s">
        <v>82</v>
      </c>
      <c r="B68" s="415">
        <f>SUM('NYC Ferry'!V14)</f>
        <v>1151</v>
      </c>
      <c r="C68" s="95"/>
      <c r="D68" s="422" t="s">
        <v>82</v>
      </c>
      <c r="E68" s="415">
        <f>SUM('NYC Ferry'!V25)</f>
        <v>1410</v>
      </c>
      <c r="F68" s="95"/>
      <c r="G68" s="422" t="s">
        <v>82</v>
      </c>
      <c r="H68" s="421">
        <f>SUM('NYC Ferry'!V36)</f>
        <v>1216</v>
      </c>
      <c r="I68" s="95"/>
      <c r="J68" s="422" t="s">
        <v>82</v>
      </c>
      <c r="K68" s="421">
        <f>SUM('NYC Ferry'!V47)</f>
        <v>1129</v>
      </c>
      <c r="L68" s="95"/>
      <c r="M68" s="422" t="s">
        <v>82</v>
      </c>
      <c r="N68" s="421">
        <f>SUM('NYC Ferry'!V58)</f>
        <v>983</v>
      </c>
    </row>
    <row r="69" spans="1:14" ht="13.5" customHeight="1" thickBot="1" x14ac:dyDescent="0.3">
      <c r="A69" s="418"/>
      <c r="B69" s="416"/>
      <c r="C69" s="95"/>
      <c r="D69" s="418"/>
      <c r="E69" s="416"/>
      <c r="F69" s="95"/>
      <c r="G69" s="418"/>
      <c r="H69" s="416"/>
      <c r="I69" s="95"/>
      <c r="J69" s="418"/>
      <c r="K69" s="416"/>
      <c r="L69" s="95"/>
      <c r="M69" s="418"/>
      <c r="N69" s="416"/>
    </row>
    <row r="70" spans="1:14" ht="13.5" customHeight="1" x14ac:dyDescent="0.25">
      <c r="A70" s="417" t="s">
        <v>65</v>
      </c>
      <c r="B70" s="415">
        <f>SUM('NYC Ferry'!W14,'NYC Ferry'!Z14)</f>
        <v>2219</v>
      </c>
      <c r="C70" s="95"/>
      <c r="D70" s="417" t="s">
        <v>65</v>
      </c>
      <c r="E70" s="415">
        <f>SUM(,'NYC Ferry'!W25, 'NYC Ferry'!Z25)</f>
        <v>3101</v>
      </c>
      <c r="F70" s="95"/>
      <c r="G70" s="417" t="s">
        <v>65</v>
      </c>
      <c r="H70" s="415">
        <f>SUM(,'NYC Ferry'!W36,'NYC Ferry'!Z36)</f>
        <v>3187</v>
      </c>
      <c r="I70" s="95"/>
      <c r="J70" s="417" t="s">
        <v>65</v>
      </c>
      <c r="K70" s="415">
        <f>SUM('NYC Ferry'!W47,'NYC Ferry'!Z47)</f>
        <v>2405</v>
      </c>
      <c r="L70" s="95"/>
      <c r="M70" s="417" t="s">
        <v>65</v>
      </c>
      <c r="N70" s="415">
        <f>SUM('NYC Ferry'!W58, 'NYC Ferry'!Z58)</f>
        <v>2096</v>
      </c>
    </row>
    <row r="71" spans="1:14" ht="13.5" customHeight="1" thickBot="1" x14ac:dyDescent="0.3">
      <c r="A71" s="418"/>
      <c r="B71" s="416"/>
      <c r="C71" s="95"/>
      <c r="D71" s="418"/>
      <c r="E71" s="416"/>
      <c r="F71" s="95"/>
      <c r="G71" s="418"/>
      <c r="H71" s="416"/>
      <c r="I71" s="95"/>
      <c r="J71" s="418"/>
      <c r="K71" s="416"/>
      <c r="L71" s="95"/>
      <c r="M71" s="418"/>
      <c r="N71" s="416"/>
    </row>
    <row r="72" spans="1:14" ht="13.5" customHeight="1" x14ac:dyDescent="0.25">
      <c r="A72" s="429" t="s">
        <v>19</v>
      </c>
      <c r="B72" s="427">
        <f>SUM(B20:B71)</f>
        <v>133392</v>
      </c>
      <c r="C72" s="95"/>
      <c r="D72" s="429" t="s">
        <v>19</v>
      </c>
      <c r="E72" s="427">
        <f>SUM(E20:E71)</f>
        <v>208062</v>
      </c>
      <c r="F72" s="95"/>
      <c r="G72" s="429" t="s">
        <v>19</v>
      </c>
      <c r="H72" s="427">
        <f>SUM(H20:H71)</f>
        <v>203941</v>
      </c>
      <c r="I72" s="95"/>
      <c r="J72" s="431" t="s">
        <v>19</v>
      </c>
      <c r="K72" s="427">
        <f>SUM(K20:K71)</f>
        <v>168948</v>
      </c>
      <c r="L72" s="95"/>
      <c r="M72" s="429" t="s">
        <v>19</v>
      </c>
      <c r="N72" s="427">
        <f>SUM(N20:N71)</f>
        <v>152122</v>
      </c>
    </row>
    <row r="73" spans="1:14" ht="13.5" customHeight="1" thickBot="1" x14ac:dyDescent="0.3">
      <c r="A73" s="430"/>
      <c r="B73" s="428"/>
      <c r="C73" s="95"/>
      <c r="D73" s="430"/>
      <c r="E73" s="428"/>
      <c r="F73" s="95"/>
      <c r="G73" s="430"/>
      <c r="H73" s="428"/>
      <c r="I73" s="95"/>
      <c r="J73" s="430"/>
      <c r="K73" s="428"/>
      <c r="L73" s="95"/>
      <c r="M73" s="430"/>
      <c r="N73" s="428"/>
    </row>
    <row r="74" spans="1:14" x14ac:dyDescent="0.25">
      <c r="C74" s="95"/>
      <c r="F74" s="95"/>
      <c r="I74" s="95"/>
      <c r="L74" s="95"/>
    </row>
    <row r="75" spans="1:14" x14ac:dyDescent="0.25">
      <c r="C75" s="95"/>
      <c r="F75" s="95"/>
      <c r="I75" s="95"/>
      <c r="L75" s="95"/>
    </row>
  </sheetData>
  <mergeCells count="360">
    <mergeCell ref="K66:K67"/>
    <mergeCell ref="M66:M67"/>
    <mergeCell ref="E22:E23"/>
    <mergeCell ref="H22:H23"/>
    <mergeCell ref="J22:J23"/>
    <mergeCell ref="K22:K23"/>
    <mergeCell ref="M22:M23"/>
    <mergeCell ref="N22:N23"/>
    <mergeCell ref="N66:N67"/>
    <mergeCell ref="N26:N27"/>
    <mergeCell ref="M28:M29"/>
    <mergeCell ref="N32:N33"/>
    <mergeCell ref="N38:N39"/>
    <mergeCell ref="N36:N37"/>
    <mergeCell ref="J36:J37"/>
    <mergeCell ref="K36:K37"/>
    <mergeCell ref="M36:M37"/>
    <mergeCell ref="E58:E59"/>
    <mergeCell ref="G58:G59"/>
    <mergeCell ref="H58:H59"/>
    <mergeCell ref="J58:J59"/>
    <mergeCell ref="K58:K59"/>
    <mergeCell ref="M58:M59"/>
    <mergeCell ref="N58:N59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  <mergeCell ref="N68:N69"/>
    <mergeCell ref="A66:A67"/>
    <mergeCell ref="B66:B67"/>
    <mergeCell ref="D66:D67"/>
    <mergeCell ref="E66:E67"/>
    <mergeCell ref="G66:G67"/>
    <mergeCell ref="H66:H67"/>
    <mergeCell ref="J66:J6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4:B65"/>
    <mergeCell ref="D48:D49"/>
    <mergeCell ref="E48:E49"/>
    <mergeCell ref="A46:A47"/>
    <mergeCell ref="B46:B47"/>
    <mergeCell ref="A48:A49"/>
    <mergeCell ref="B48:B49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N46:N47"/>
    <mergeCell ref="N72:N7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K64:K65"/>
    <mergeCell ref="M64:M65"/>
    <mergeCell ref="N64:N65"/>
    <mergeCell ref="A64:A65"/>
    <mergeCell ref="A62:A63"/>
    <mergeCell ref="B62:B63"/>
    <mergeCell ref="D62:D63"/>
    <mergeCell ref="E62:E63"/>
    <mergeCell ref="A58:A59"/>
    <mergeCell ref="B58:B59"/>
    <mergeCell ref="D58:D59"/>
    <mergeCell ref="M14:M15"/>
    <mergeCell ref="N14:N15"/>
    <mergeCell ref="G62:G63"/>
    <mergeCell ref="H62:H63"/>
    <mergeCell ref="J62:J63"/>
    <mergeCell ref="K62:K63"/>
    <mergeCell ref="M62:M63"/>
    <mergeCell ref="N62:N63"/>
    <mergeCell ref="M48:M49"/>
    <mergeCell ref="N48:N49"/>
    <mergeCell ref="G48:G49"/>
    <mergeCell ref="H48:H49"/>
    <mergeCell ref="J48:J49"/>
    <mergeCell ref="N34:N35"/>
    <mergeCell ref="N60:N61"/>
    <mergeCell ref="N44:N45"/>
    <mergeCell ref="M38:M39"/>
    <mergeCell ref="A54:A55"/>
    <mergeCell ref="A56:A57"/>
    <mergeCell ref="B54:B55"/>
    <mergeCell ref="B56:B57"/>
    <mergeCell ref="D54:D55"/>
    <mergeCell ref="D56:D57"/>
    <mergeCell ref="E54:E55"/>
    <mergeCell ref="E56:E57"/>
    <mergeCell ref="G54:G55"/>
    <mergeCell ref="G56:G57"/>
    <mergeCell ref="H54:H55"/>
    <mergeCell ref="H56:H57"/>
    <mergeCell ref="J54:J55"/>
    <mergeCell ref="J56:J57"/>
    <mergeCell ref="D64:D65"/>
    <mergeCell ref="E64:E65"/>
    <mergeCell ref="G64:G65"/>
    <mergeCell ref="H64:H65"/>
    <mergeCell ref="J64:J65"/>
    <mergeCell ref="N52:N53"/>
    <mergeCell ref="K52:K53"/>
    <mergeCell ref="K48:K49"/>
    <mergeCell ref="N50:N51"/>
    <mergeCell ref="K54:K55"/>
    <mergeCell ref="K56:K57"/>
    <mergeCell ref="M54:M55"/>
    <mergeCell ref="M56:M57"/>
    <mergeCell ref="N54:N55"/>
    <mergeCell ref="N56:N57"/>
    <mergeCell ref="D46:D47"/>
    <mergeCell ref="E46:E47"/>
    <mergeCell ref="G46:G47"/>
    <mergeCell ref="J46:J47"/>
    <mergeCell ref="M46:M47"/>
    <mergeCell ref="H46:H47"/>
    <mergeCell ref="K46:K47"/>
    <mergeCell ref="A50:A51"/>
    <mergeCell ref="D50:D51"/>
    <mergeCell ref="A52:A53"/>
    <mergeCell ref="G50:G51"/>
    <mergeCell ref="G52:G53"/>
    <mergeCell ref="J50:J51"/>
    <mergeCell ref="J52:J53"/>
    <mergeCell ref="M50:M51"/>
    <mergeCell ref="M52:M53"/>
    <mergeCell ref="D52:D53"/>
    <mergeCell ref="B50:B51"/>
    <mergeCell ref="E50:E51"/>
    <mergeCell ref="H50:H51"/>
    <mergeCell ref="K50:K51"/>
    <mergeCell ref="H52:H53"/>
    <mergeCell ref="E52:E53"/>
    <mergeCell ref="B52:B53"/>
    <mergeCell ref="N70:N71"/>
    <mergeCell ref="A70:A71"/>
    <mergeCell ref="D70:D71"/>
    <mergeCell ref="G70:G71"/>
    <mergeCell ref="J70:J71"/>
    <mergeCell ref="M70:M71"/>
    <mergeCell ref="K70:K71"/>
    <mergeCell ref="H70:H71"/>
    <mergeCell ref="E70:E71"/>
    <mergeCell ref="B70:B7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59 A58 A73:D73 A60 C20:D20 C26:D26 C36 E37:F37 E39:F39 F38 E41:F41 F40 E43:F43 F42 E45:F45 F44 A35 E35:F35 F36 H37:I37 H39:I39 I38 H41:I41 I40 H43:I43 I42 H45:I45 I44 H35:I35 I36 K37:L37 K39:L39 K41:L41 K43:L43 K45:L45 K35:L35 N37 N39 N41 N43 N45 N35 C40 C42 C58:D58 C60:D60 F20:G20 F26:G26 F58:G58 F60:G60 I20:J20 I26:J26 I58:J58 I60:J60 L58:M58 L60:M60 A61 I61:N61 A17 I17:N17 I73:J73 A25 A24 C24:D24 F24:G24 I24:J24 L24:M24 C17:G17 A72 C72:D72 F72:G72 I72:J72 L72:M72 C37 C39 C41 C43 C45 C21:N21 C27:N27 C59 C34:C35 C61:G61 C25:N25 C29:N29 C28:D28 F28:G28 C31:N31 C30:D30 F30:G30 I30:N30 F73:G73 L73:M73 L28:M28 I28:J28 E59:N59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4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9"/>
      <c r="B1" s="178"/>
      <c r="C1" s="499" t="s">
        <v>69</v>
      </c>
      <c r="D1" s="499" t="s">
        <v>8</v>
      </c>
      <c r="E1" s="545" t="s">
        <v>19</v>
      </c>
    </row>
    <row r="2" spans="1:6" ht="14.25" customHeight="1" thickBot="1" x14ac:dyDescent="0.3">
      <c r="A2" s="30"/>
      <c r="B2" s="179"/>
      <c r="C2" s="500"/>
      <c r="D2" s="500"/>
      <c r="E2" s="485"/>
    </row>
    <row r="3" spans="1:6" ht="14.25" customHeight="1" x14ac:dyDescent="0.25">
      <c r="A3" s="477" t="s">
        <v>52</v>
      </c>
      <c r="B3" s="496" t="s">
        <v>53</v>
      </c>
      <c r="C3" s="548" t="s">
        <v>66</v>
      </c>
      <c r="D3" s="548" t="s">
        <v>8</v>
      </c>
      <c r="E3" s="485"/>
    </row>
    <row r="4" spans="1:6" ht="15" customHeight="1" thickBot="1" x14ac:dyDescent="0.3">
      <c r="A4" s="507"/>
      <c r="B4" s="498"/>
      <c r="C4" s="549"/>
      <c r="D4" s="549"/>
      <c r="E4" s="485"/>
    </row>
    <row r="5" spans="1:6" s="52" customFormat="1" ht="14.25" thickBot="1" x14ac:dyDescent="0.3">
      <c r="A5" s="31" t="s">
        <v>3</v>
      </c>
      <c r="B5" s="180">
        <v>42856</v>
      </c>
      <c r="C5" s="12"/>
      <c r="D5" s="19"/>
      <c r="E5" s="18">
        <f t="shared" ref="E5:E11" si="0">SUM(C5:D5)</f>
        <v>0</v>
      </c>
    </row>
    <row r="6" spans="1:6" s="52" customFormat="1" ht="14.25" thickBot="1" x14ac:dyDescent="0.3">
      <c r="A6" s="31" t="s">
        <v>4</v>
      </c>
      <c r="B6" s="195">
        <v>42948</v>
      </c>
      <c r="C6" s="12"/>
      <c r="D6" s="19"/>
      <c r="E6" s="18">
        <f t="shared" si="0"/>
        <v>0</v>
      </c>
    </row>
    <row r="7" spans="1:6" s="52" customFormat="1" ht="14.25" thickBot="1" x14ac:dyDescent="0.3">
      <c r="A7" s="31" t="s">
        <v>5</v>
      </c>
      <c r="B7" s="195">
        <f>B6+1</f>
        <v>42949</v>
      </c>
      <c r="C7" s="12"/>
      <c r="D7" s="19"/>
      <c r="E7" s="18">
        <f t="shared" si="0"/>
        <v>0</v>
      </c>
    </row>
    <row r="8" spans="1:6" s="52" customFormat="1" ht="14.25" thickBot="1" x14ac:dyDescent="0.3">
      <c r="A8" s="31" t="s">
        <v>6</v>
      </c>
      <c r="B8" s="195">
        <f>B7+1</f>
        <v>42950</v>
      </c>
      <c r="C8" s="12"/>
      <c r="D8" s="19"/>
      <c r="E8" s="18">
        <f t="shared" si="0"/>
        <v>0</v>
      </c>
      <c r="F8" s="159"/>
    </row>
    <row r="9" spans="1:6" s="52" customFormat="1" ht="14.25" thickBot="1" x14ac:dyDescent="0.3">
      <c r="A9" s="31" t="s">
        <v>0</v>
      </c>
      <c r="B9" s="195">
        <f>B8+1</f>
        <v>42951</v>
      </c>
      <c r="C9" s="12"/>
      <c r="D9" s="19"/>
      <c r="E9" s="18">
        <f t="shared" si="0"/>
        <v>0</v>
      </c>
      <c r="F9" s="159"/>
    </row>
    <row r="10" spans="1:6" s="52" customFormat="1" ht="14.25" customHeight="1" outlineLevel="1" thickBot="1" x14ac:dyDescent="0.3">
      <c r="A10" s="31" t="s">
        <v>1</v>
      </c>
      <c r="B10" s="195">
        <f>B9+1</f>
        <v>42952</v>
      </c>
      <c r="C10" s="19"/>
      <c r="D10" s="19"/>
      <c r="E10" s="18">
        <f t="shared" si="0"/>
        <v>0</v>
      </c>
      <c r="F10" s="159"/>
    </row>
    <row r="11" spans="1:6" s="52" customFormat="1" ht="15" customHeight="1" outlineLevel="1" thickBot="1" x14ac:dyDescent="0.3">
      <c r="A11" s="31" t="s">
        <v>2</v>
      </c>
      <c r="B11" s="195">
        <f>B10+1</f>
        <v>42953</v>
      </c>
      <c r="C11" s="24"/>
      <c r="D11" s="24"/>
      <c r="E11" s="18">
        <f t="shared" si="0"/>
        <v>0</v>
      </c>
      <c r="F11" s="159"/>
    </row>
    <row r="12" spans="1:6" s="53" customFormat="1" ht="15" customHeight="1" outlineLevel="1" thickBot="1" x14ac:dyDescent="0.3">
      <c r="A12" s="167" t="s">
        <v>21</v>
      </c>
      <c r="B12" s="524" t="s">
        <v>24</v>
      </c>
      <c r="C12" s="121">
        <f>SUM(C5:C11)</f>
        <v>0</v>
      </c>
      <c r="D12" s="121">
        <f>SUM(D5:D11)</f>
        <v>0</v>
      </c>
      <c r="E12" s="124">
        <f>SUM(E5:E11)</f>
        <v>0</v>
      </c>
    </row>
    <row r="13" spans="1:6" s="53" customFormat="1" ht="15" customHeight="1" outlineLevel="1" thickBot="1" x14ac:dyDescent="0.3">
      <c r="A13" s="116" t="s">
        <v>23</v>
      </c>
      <c r="B13" s="525"/>
      <c r="C13" s="117" t="e">
        <f>AVERAGE(C5:C11)</f>
        <v>#DIV/0!</v>
      </c>
      <c r="D13" s="117" t="e">
        <f>AVERAGE(D5:D11)</f>
        <v>#DIV/0!</v>
      </c>
      <c r="E13" s="120">
        <f>AVERAGE(E5:E11)</f>
        <v>0</v>
      </c>
    </row>
    <row r="14" spans="1:6" s="53" customFormat="1" ht="15" customHeight="1" thickBot="1" x14ac:dyDescent="0.3">
      <c r="A14" s="32" t="s">
        <v>20</v>
      </c>
      <c r="B14" s="525"/>
      <c r="C14" s="33">
        <f>SUM(C5:C9)</f>
        <v>0</v>
      </c>
      <c r="D14" s="33">
        <f>SUM(D5:D9)</f>
        <v>0</v>
      </c>
      <c r="E14" s="33">
        <f>SUM(E5:E9)</f>
        <v>0</v>
      </c>
    </row>
    <row r="15" spans="1:6" s="53" customFormat="1" ht="15" customHeight="1" thickBot="1" x14ac:dyDescent="0.3">
      <c r="A15" s="32" t="s">
        <v>22</v>
      </c>
      <c r="B15" s="525"/>
      <c r="C15" s="37" t="e">
        <f>AVERAGE(C5:C9)</f>
        <v>#DIV/0!</v>
      </c>
      <c r="D15" s="37" t="e">
        <f>AVERAGE(D5:D9)</f>
        <v>#DIV/0!</v>
      </c>
      <c r="E15" s="37">
        <f>AVERAGE(E5:E9)</f>
        <v>0</v>
      </c>
    </row>
    <row r="16" spans="1:6" s="53" customFormat="1" ht="15" customHeight="1" thickBot="1" x14ac:dyDescent="0.3">
      <c r="A16" s="31" t="s">
        <v>3</v>
      </c>
      <c r="B16" s="180">
        <f>B11+1</f>
        <v>42954</v>
      </c>
      <c r="C16" s="12"/>
      <c r="D16" s="13"/>
      <c r="E16" s="16">
        <f t="shared" ref="E16:E22" si="1">SUM(C16:D16)</f>
        <v>0</v>
      </c>
    </row>
    <row r="17" spans="1:6" s="53" customFormat="1" ht="15" customHeight="1" thickBot="1" x14ac:dyDescent="0.3">
      <c r="A17" s="31" t="s">
        <v>4</v>
      </c>
      <c r="B17" s="181">
        <f t="shared" ref="B17:B22" si="2">B16+1</f>
        <v>42955</v>
      </c>
      <c r="C17" s="12"/>
      <c r="D17" s="20"/>
      <c r="E17" s="18">
        <f t="shared" si="1"/>
        <v>0</v>
      </c>
    </row>
    <row r="18" spans="1:6" s="53" customFormat="1" ht="15" customHeight="1" thickBot="1" x14ac:dyDescent="0.3">
      <c r="A18" s="31" t="s">
        <v>5</v>
      </c>
      <c r="B18" s="181">
        <f t="shared" si="2"/>
        <v>42956</v>
      </c>
      <c r="C18" s="12"/>
      <c r="D18" s="20"/>
      <c r="E18" s="18">
        <f t="shared" si="1"/>
        <v>0</v>
      </c>
    </row>
    <row r="19" spans="1:6" s="53" customFormat="1" ht="15" customHeight="1" thickBot="1" x14ac:dyDescent="0.3">
      <c r="A19" s="31" t="s">
        <v>6</v>
      </c>
      <c r="B19" s="182">
        <f t="shared" si="2"/>
        <v>42957</v>
      </c>
      <c r="C19" s="12"/>
      <c r="D19" s="20"/>
      <c r="E19" s="18">
        <f t="shared" si="1"/>
        <v>0</v>
      </c>
    </row>
    <row r="20" spans="1:6" s="53" customFormat="1" ht="15" customHeight="1" thickBot="1" x14ac:dyDescent="0.3">
      <c r="A20" s="31" t="s">
        <v>0</v>
      </c>
      <c r="B20" s="182">
        <f t="shared" si="2"/>
        <v>42958</v>
      </c>
      <c r="C20" s="12"/>
      <c r="D20" s="20"/>
      <c r="E20" s="18">
        <f t="shared" si="1"/>
        <v>0</v>
      </c>
    </row>
    <row r="21" spans="1:6" s="53" customFormat="1" ht="15" customHeight="1" outlineLevel="1" thickBot="1" x14ac:dyDescent="0.3">
      <c r="A21" s="31" t="s">
        <v>1</v>
      </c>
      <c r="B21" s="195">
        <f t="shared" si="2"/>
        <v>42959</v>
      </c>
      <c r="C21" s="19"/>
      <c r="D21" s="20"/>
      <c r="E21" s="18">
        <f t="shared" si="1"/>
        <v>0</v>
      </c>
      <c r="F21" s="162"/>
    </row>
    <row r="22" spans="1:6" s="53" customFormat="1" ht="15" customHeight="1" outlineLevel="1" thickBot="1" x14ac:dyDescent="0.3">
      <c r="A22" s="31" t="s">
        <v>2</v>
      </c>
      <c r="B22" s="181">
        <f t="shared" si="2"/>
        <v>42960</v>
      </c>
      <c r="C22" s="24"/>
      <c r="D22" s="25"/>
      <c r="E22" s="72">
        <f t="shared" si="1"/>
        <v>0</v>
      </c>
    </row>
    <row r="23" spans="1:6" s="53" customFormat="1" ht="15" customHeight="1" outlineLevel="1" thickBot="1" x14ac:dyDescent="0.3">
      <c r="A23" s="167" t="s">
        <v>21</v>
      </c>
      <c r="B23" s="524" t="s">
        <v>25</v>
      </c>
      <c r="C23" s="121">
        <f>SUM(C16:C22)</f>
        <v>0</v>
      </c>
      <c r="D23" s="121">
        <f>SUM(D16:D22)</f>
        <v>0</v>
      </c>
      <c r="E23" s="121">
        <f>SUM(E16:E22)</f>
        <v>0</v>
      </c>
    </row>
    <row r="24" spans="1:6" s="53" customFormat="1" ht="15" customHeight="1" outlineLevel="1" thickBot="1" x14ac:dyDescent="0.3">
      <c r="A24" s="116" t="s">
        <v>23</v>
      </c>
      <c r="B24" s="525"/>
      <c r="C24" s="117" t="e">
        <f>AVERAGE(C16:C22)</f>
        <v>#DIV/0!</v>
      </c>
      <c r="D24" s="117" t="e">
        <f>AVERAGE(D16:D22)</f>
        <v>#DIV/0!</v>
      </c>
      <c r="E24" s="117">
        <f>AVERAGE(E16:E22)</f>
        <v>0</v>
      </c>
    </row>
    <row r="25" spans="1:6" s="53" customFormat="1" ht="15" customHeight="1" thickBot="1" x14ac:dyDescent="0.3">
      <c r="A25" s="32" t="s">
        <v>20</v>
      </c>
      <c r="B25" s="525"/>
      <c r="C25" s="33">
        <f>SUM(C16:C20)</f>
        <v>0</v>
      </c>
      <c r="D25" s="33">
        <f>SUM(D16:D20)</f>
        <v>0</v>
      </c>
      <c r="E25" s="33">
        <f>SUM(E16:E20)</f>
        <v>0</v>
      </c>
    </row>
    <row r="26" spans="1:6" s="53" customFormat="1" ht="15" customHeight="1" thickBot="1" x14ac:dyDescent="0.3">
      <c r="A26" s="32" t="s">
        <v>22</v>
      </c>
      <c r="B26" s="526"/>
      <c r="C26" s="37" t="e">
        <f>AVERAGE(C16:C20)</f>
        <v>#DIV/0!</v>
      </c>
      <c r="D26" s="37" t="e">
        <f>AVERAGE(D16:D20)</f>
        <v>#DIV/0!</v>
      </c>
      <c r="E26" s="37">
        <f>AVERAGE(E16:E20)</f>
        <v>0</v>
      </c>
    </row>
    <row r="27" spans="1:6" s="53" customFormat="1" ht="15" customHeight="1" thickBot="1" x14ac:dyDescent="0.3">
      <c r="A27" s="31" t="s">
        <v>3</v>
      </c>
      <c r="B27" s="183">
        <f>B22+1</f>
        <v>42961</v>
      </c>
      <c r="C27" s="12"/>
      <c r="D27" s="12"/>
      <c r="E27" s="16">
        <f t="shared" ref="E27:E33" si="3">SUM(C27:D27)</f>
        <v>0</v>
      </c>
    </row>
    <row r="28" spans="1:6" s="53" customFormat="1" ht="15" customHeight="1" thickBot="1" x14ac:dyDescent="0.3">
      <c r="A28" s="31" t="s">
        <v>4</v>
      </c>
      <c r="B28" s="184">
        <f t="shared" ref="B28:B33" si="4">B27+1</f>
        <v>42962</v>
      </c>
      <c r="C28" s="12"/>
      <c r="D28" s="19"/>
      <c r="E28" s="18">
        <f t="shared" si="3"/>
        <v>0</v>
      </c>
    </row>
    <row r="29" spans="1:6" s="53" customFormat="1" ht="15" customHeight="1" thickBot="1" x14ac:dyDescent="0.3">
      <c r="A29" s="31" t="s">
        <v>5</v>
      </c>
      <c r="B29" s="184">
        <f t="shared" si="4"/>
        <v>42963</v>
      </c>
      <c r="C29" s="12"/>
      <c r="D29" s="19"/>
      <c r="E29" s="18">
        <f t="shared" si="3"/>
        <v>0</v>
      </c>
    </row>
    <row r="30" spans="1:6" s="53" customFormat="1" ht="15" customHeight="1" thickBot="1" x14ac:dyDescent="0.3">
      <c r="A30" s="31" t="s">
        <v>6</v>
      </c>
      <c r="B30" s="184">
        <f t="shared" si="4"/>
        <v>42964</v>
      </c>
      <c r="C30" s="12"/>
      <c r="D30" s="19"/>
      <c r="E30" s="18">
        <f t="shared" si="3"/>
        <v>0</v>
      </c>
    </row>
    <row r="31" spans="1:6" s="53" customFormat="1" ht="15" customHeight="1" thickBot="1" x14ac:dyDescent="0.3">
      <c r="A31" s="31" t="s">
        <v>0</v>
      </c>
      <c r="B31" s="184">
        <f t="shared" si="4"/>
        <v>42965</v>
      </c>
      <c r="C31" s="12"/>
      <c r="D31" s="19"/>
      <c r="E31" s="18">
        <f t="shared" si="3"/>
        <v>0</v>
      </c>
    </row>
    <row r="32" spans="1:6" s="53" customFormat="1" ht="15" customHeight="1" outlineLevel="1" thickBot="1" x14ac:dyDescent="0.3">
      <c r="A32" s="31" t="s">
        <v>1</v>
      </c>
      <c r="B32" s="184">
        <f t="shared" si="4"/>
        <v>42966</v>
      </c>
      <c r="C32" s="19"/>
      <c r="D32" s="19"/>
      <c r="E32" s="18">
        <f t="shared" si="3"/>
        <v>0</v>
      </c>
    </row>
    <row r="33" spans="1:6" s="53" customFormat="1" ht="15" customHeight="1" outlineLevel="1" thickBot="1" x14ac:dyDescent="0.3">
      <c r="A33" s="31" t="s">
        <v>2</v>
      </c>
      <c r="B33" s="184">
        <f t="shared" si="4"/>
        <v>42967</v>
      </c>
      <c r="C33" s="24"/>
      <c r="D33" s="24"/>
      <c r="E33" s="72">
        <f t="shared" si="3"/>
        <v>0</v>
      </c>
      <c r="F33" s="162"/>
    </row>
    <row r="34" spans="1:6" s="53" customFormat="1" ht="15" customHeight="1" outlineLevel="1" thickBot="1" x14ac:dyDescent="0.3">
      <c r="A34" s="167" t="s">
        <v>21</v>
      </c>
      <c r="B34" s="524" t="s">
        <v>26</v>
      </c>
      <c r="C34" s="121">
        <f>SUM(C27:C33)</f>
        <v>0</v>
      </c>
      <c r="D34" s="121">
        <f>SUM(D27:D33)</f>
        <v>0</v>
      </c>
      <c r="E34" s="121">
        <f>SUM(E27:E33)</f>
        <v>0</v>
      </c>
    </row>
    <row r="35" spans="1:6" s="53" customFormat="1" ht="15" customHeight="1" outlineLevel="1" thickBot="1" x14ac:dyDescent="0.3">
      <c r="A35" s="116" t="s">
        <v>23</v>
      </c>
      <c r="B35" s="525"/>
      <c r="C35" s="117" t="e">
        <f>AVERAGE(C27:C33)</f>
        <v>#DIV/0!</v>
      </c>
      <c r="D35" s="117" t="e">
        <f>AVERAGE(D27:D33)</f>
        <v>#DIV/0!</v>
      </c>
      <c r="E35" s="117">
        <f>AVERAGE(E27:E33)</f>
        <v>0</v>
      </c>
    </row>
    <row r="36" spans="1:6" s="53" customFormat="1" ht="15" customHeight="1" thickBot="1" x14ac:dyDescent="0.3">
      <c r="A36" s="32" t="s">
        <v>20</v>
      </c>
      <c r="B36" s="525"/>
      <c r="C36" s="33">
        <f>SUM(C27:C31)</f>
        <v>0</v>
      </c>
      <c r="D36" s="33">
        <f>SUM(D27:D31)</f>
        <v>0</v>
      </c>
      <c r="E36" s="33">
        <f>SUM(E27:E31)</f>
        <v>0</v>
      </c>
    </row>
    <row r="37" spans="1:6" s="53" customFormat="1" ht="15" customHeight="1" thickBot="1" x14ac:dyDescent="0.3">
      <c r="A37" s="32" t="s">
        <v>22</v>
      </c>
      <c r="B37" s="526"/>
      <c r="C37" s="37" t="e">
        <f>AVERAGE(C27:C31)</f>
        <v>#DIV/0!</v>
      </c>
      <c r="D37" s="37" t="e">
        <f>AVERAGE(D27:D31)</f>
        <v>#DIV/0!</v>
      </c>
      <c r="E37" s="37">
        <f>AVERAGE(E27:E31)</f>
        <v>0</v>
      </c>
    </row>
    <row r="38" spans="1:6" s="53" customFormat="1" ht="15" customHeight="1" thickBot="1" x14ac:dyDescent="0.3">
      <c r="A38" s="31" t="s">
        <v>3</v>
      </c>
      <c r="B38" s="185">
        <f>B33+1</f>
        <v>42968</v>
      </c>
      <c r="C38" s="12"/>
      <c r="D38" s="12"/>
      <c r="E38" s="16">
        <f t="shared" ref="E38:E44" si="5">SUM(C38:D38)</f>
        <v>0</v>
      </c>
      <c r="F38" s="162"/>
    </row>
    <row r="39" spans="1:6" s="53" customFormat="1" ht="15" customHeight="1" thickBot="1" x14ac:dyDescent="0.3">
      <c r="A39" s="31" t="s">
        <v>4</v>
      </c>
      <c r="B39" s="186">
        <f t="shared" ref="B39:B44" si="6">B38+1</f>
        <v>42969</v>
      </c>
      <c r="C39" s="12"/>
      <c r="D39" s="19"/>
      <c r="E39" s="18">
        <f t="shared" si="5"/>
        <v>0</v>
      </c>
      <c r="F39" s="162"/>
    </row>
    <row r="40" spans="1:6" s="53" customFormat="1" ht="15" customHeight="1" thickBot="1" x14ac:dyDescent="0.3">
      <c r="A40" s="31" t="s">
        <v>5</v>
      </c>
      <c r="B40" s="186">
        <f t="shared" si="6"/>
        <v>42970</v>
      </c>
      <c r="C40" s="12"/>
      <c r="D40" s="19"/>
      <c r="E40" s="18">
        <f t="shared" si="5"/>
        <v>0</v>
      </c>
      <c r="F40" s="162"/>
    </row>
    <row r="41" spans="1:6" s="53" customFormat="1" ht="15" customHeight="1" thickBot="1" x14ac:dyDescent="0.3">
      <c r="A41" s="31" t="s">
        <v>6</v>
      </c>
      <c r="B41" s="186">
        <f t="shared" si="6"/>
        <v>42971</v>
      </c>
      <c r="C41" s="12"/>
      <c r="D41" s="19"/>
      <c r="E41" s="18">
        <f t="shared" si="5"/>
        <v>0</v>
      </c>
      <c r="F41" s="162"/>
    </row>
    <row r="42" spans="1:6" s="53" customFormat="1" ht="15" customHeight="1" thickBot="1" x14ac:dyDescent="0.3">
      <c r="A42" s="31" t="s">
        <v>0</v>
      </c>
      <c r="B42" s="186">
        <f t="shared" si="6"/>
        <v>42972</v>
      </c>
      <c r="C42" s="12"/>
      <c r="D42" s="19"/>
      <c r="E42" s="18">
        <f t="shared" si="5"/>
        <v>0</v>
      </c>
      <c r="F42" s="162"/>
    </row>
    <row r="43" spans="1:6" s="53" customFormat="1" ht="15" customHeight="1" outlineLevel="1" thickBot="1" x14ac:dyDescent="0.3">
      <c r="A43" s="31" t="s">
        <v>1</v>
      </c>
      <c r="B43" s="186">
        <f t="shared" si="6"/>
        <v>42973</v>
      </c>
      <c r="C43" s="19"/>
      <c r="D43" s="19"/>
      <c r="E43" s="18">
        <f t="shared" si="5"/>
        <v>0</v>
      </c>
      <c r="F43" s="162"/>
    </row>
    <row r="44" spans="1:6" s="53" customFormat="1" ht="15" customHeight="1" outlineLevel="1" thickBot="1" x14ac:dyDescent="0.3">
      <c r="A44" s="31" t="s">
        <v>2</v>
      </c>
      <c r="B44" s="186">
        <f t="shared" si="6"/>
        <v>42974</v>
      </c>
      <c r="C44" s="24"/>
      <c r="D44" s="24"/>
      <c r="E44" s="72">
        <f t="shared" si="5"/>
        <v>0</v>
      </c>
      <c r="F44" s="162"/>
    </row>
    <row r="45" spans="1:6" s="53" customFormat="1" ht="15" customHeight="1" outlineLevel="1" thickBot="1" x14ac:dyDescent="0.3">
      <c r="A45" s="167" t="s">
        <v>21</v>
      </c>
      <c r="B45" s="524" t="s">
        <v>27</v>
      </c>
      <c r="C45" s="121">
        <f>SUM(C38:C44)</f>
        <v>0</v>
      </c>
      <c r="D45" s="121">
        <f>SUM(D38:D44)</f>
        <v>0</v>
      </c>
      <c r="E45" s="121">
        <f>SUM(E38:E44)</f>
        <v>0</v>
      </c>
    </row>
    <row r="46" spans="1:6" s="53" customFormat="1" ht="15" customHeight="1" outlineLevel="1" thickBot="1" x14ac:dyDescent="0.3">
      <c r="A46" s="116" t="s">
        <v>23</v>
      </c>
      <c r="B46" s="525"/>
      <c r="C46" s="117" t="e">
        <f>AVERAGE(C38:C44)</f>
        <v>#DIV/0!</v>
      </c>
      <c r="D46" s="117" t="e">
        <f>AVERAGE(D38:D44)</f>
        <v>#DIV/0!</v>
      </c>
      <c r="E46" s="117">
        <f>AVERAGE(E38:E44)</f>
        <v>0</v>
      </c>
    </row>
    <row r="47" spans="1:6" s="53" customFormat="1" ht="15" customHeight="1" thickBot="1" x14ac:dyDescent="0.3">
      <c r="A47" s="32" t="s">
        <v>20</v>
      </c>
      <c r="B47" s="525"/>
      <c r="C47" s="33">
        <f>SUM(C38:C42)</f>
        <v>0</v>
      </c>
      <c r="D47" s="33">
        <f>SUM(D38:D42)</f>
        <v>0</v>
      </c>
      <c r="E47" s="33">
        <f>SUM(E38:E42)</f>
        <v>0</v>
      </c>
    </row>
    <row r="48" spans="1:6" s="53" customFormat="1" ht="15" customHeight="1" thickBot="1" x14ac:dyDescent="0.3">
      <c r="A48" s="32" t="s">
        <v>22</v>
      </c>
      <c r="B48" s="526"/>
      <c r="C48" s="37" t="e">
        <f>AVERAGE(C38:C42)</f>
        <v>#DIV/0!</v>
      </c>
      <c r="D48" s="37" t="e">
        <f>AVERAGE(D38:D42)</f>
        <v>#DIV/0!</v>
      </c>
      <c r="E48" s="37">
        <f>AVERAGE(E38:E42)</f>
        <v>0</v>
      </c>
    </row>
    <row r="49" spans="1:6" s="53" customFormat="1" ht="15" customHeight="1" thickBot="1" x14ac:dyDescent="0.3">
      <c r="A49" s="31" t="s">
        <v>3</v>
      </c>
      <c r="B49" s="185">
        <f>B44+1</f>
        <v>42975</v>
      </c>
      <c r="C49" s="57"/>
      <c r="D49" s="60"/>
      <c r="E49" s="18">
        <f t="shared" ref="E49:E55" si="7">SUM(C49:D49)</f>
        <v>0</v>
      </c>
      <c r="F49" s="162"/>
    </row>
    <row r="50" spans="1:6" s="53" customFormat="1" ht="15" customHeight="1" thickBot="1" x14ac:dyDescent="0.3">
      <c r="A50" s="158" t="s">
        <v>4</v>
      </c>
      <c r="B50" s="186">
        <f t="shared" ref="B50:B55" si="8">B49+1</f>
        <v>42976</v>
      </c>
      <c r="C50" s="12"/>
      <c r="D50" s="15"/>
      <c r="E50" s="18">
        <f t="shared" si="7"/>
        <v>0</v>
      </c>
      <c r="F50" s="162"/>
    </row>
    <row r="51" spans="1:6" s="53" customFormat="1" ht="13.5" customHeight="1" thickBot="1" x14ac:dyDescent="0.3">
      <c r="A51" s="158" t="s">
        <v>5</v>
      </c>
      <c r="B51" s="186">
        <f t="shared" si="8"/>
        <v>42977</v>
      </c>
      <c r="C51" s="12"/>
      <c r="D51" s="15"/>
      <c r="E51" s="18">
        <f t="shared" si="7"/>
        <v>0</v>
      </c>
      <c r="F51" s="162"/>
    </row>
    <row r="52" spans="1:6" s="53" customFormat="1" ht="15" customHeight="1" thickBot="1" x14ac:dyDescent="0.3">
      <c r="A52" s="158" t="s">
        <v>6</v>
      </c>
      <c r="B52" s="186">
        <f t="shared" si="8"/>
        <v>42978</v>
      </c>
      <c r="C52" s="12"/>
      <c r="D52" s="15"/>
      <c r="E52" s="18">
        <f t="shared" si="7"/>
        <v>0</v>
      </c>
      <c r="F52" s="162"/>
    </row>
    <row r="53" spans="1:6" s="53" customFormat="1" ht="14.25" thickBot="1" x14ac:dyDescent="0.3">
      <c r="A53" s="31" t="s">
        <v>0</v>
      </c>
      <c r="B53" s="188">
        <f t="shared" si="8"/>
        <v>42979</v>
      </c>
      <c r="C53" s="12"/>
      <c r="D53" s="15"/>
      <c r="E53" s="18">
        <f t="shared" si="7"/>
        <v>0</v>
      </c>
      <c r="F53" s="162"/>
    </row>
    <row r="54" spans="1:6" s="53" customFormat="1" ht="14.25" outlineLevel="1" thickBot="1" x14ac:dyDescent="0.3">
      <c r="A54" s="31" t="s">
        <v>1</v>
      </c>
      <c r="B54" s="188">
        <f t="shared" si="8"/>
        <v>42980</v>
      </c>
      <c r="C54" s="19"/>
      <c r="D54" s="19"/>
      <c r="E54" s="18">
        <f t="shared" si="7"/>
        <v>0</v>
      </c>
      <c r="F54" s="162"/>
    </row>
    <row r="55" spans="1:6" s="53" customFormat="1" ht="14.25" outlineLevel="1" thickBot="1" x14ac:dyDescent="0.3">
      <c r="A55" s="158" t="s">
        <v>2</v>
      </c>
      <c r="B55" s="188">
        <f t="shared" si="8"/>
        <v>42981</v>
      </c>
      <c r="C55" s="24"/>
      <c r="D55" s="24"/>
      <c r="E55" s="18">
        <f t="shared" si="7"/>
        <v>0</v>
      </c>
    </row>
    <row r="56" spans="1:6" s="53" customFormat="1" ht="15" customHeight="1" outlineLevel="1" thickBot="1" x14ac:dyDescent="0.3">
      <c r="A56" s="167" t="s">
        <v>21</v>
      </c>
      <c r="B56" s="524" t="s">
        <v>28</v>
      </c>
      <c r="C56" s="121">
        <f>SUM(C49:C55)</f>
        <v>0</v>
      </c>
      <c r="D56" s="121">
        <f>SUM(D49:D55)</f>
        <v>0</v>
      </c>
      <c r="E56" s="124">
        <f>SUM(E49:E55)</f>
        <v>0</v>
      </c>
    </row>
    <row r="57" spans="1:6" s="53" customFormat="1" ht="15" customHeight="1" outlineLevel="1" thickBot="1" x14ac:dyDescent="0.3">
      <c r="A57" s="116" t="s">
        <v>23</v>
      </c>
      <c r="B57" s="525"/>
      <c r="C57" s="117" t="e">
        <f>AVERAGE(C49:C55)</f>
        <v>#DIV/0!</v>
      </c>
      <c r="D57" s="117" t="e">
        <f>AVERAGE(D49:D55)</f>
        <v>#DIV/0!</v>
      </c>
      <c r="E57" s="120">
        <f>AVERAGE(E49:E55)</f>
        <v>0</v>
      </c>
    </row>
    <row r="58" spans="1:6" s="53" customFormat="1" ht="15" customHeight="1" thickBot="1" x14ac:dyDescent="0.3">
      <c r="A58" s="32" t="s">
        <v>20</v>
      </c>
      <c r="B58" s="525"/>
      <c r="C58" s="33">
        <f>SUM(C49:C53)</f>
        <v>0</v>
      </c>
      <c r="D58" s="33">
        <f>SUM(D49:D53)</f>
        <v>0</v>
      </c>
      <c r="E58" s="33">
        <f>SUM(E49:E53)</f>
        <v>0</v>
      </c>
    </row>
    <row r="59" spans="1:6" s="53" customFormat="1" ht="14.25" thickBot="1" x14ac:dyDescent="0.3">
      <c r="A59" s="32" t="s">
        <v>22</v>
      </c>
      <c r="B59" s="526"/>
      <c r="C59" s="37" t="e">
        <f>AVERAGE(C49:C53)</f>
        <v>#DIV/0!</v>
      </c>
      <c r="D59" s="37" t="e">
        <f>AVERAGE(D49:D53)</f>
        <v>#DIV/0!</v>
      </c>
      <c r="E59" s="37">
        <f>AVERAGE(E49:E53)</f>
        <v>0</v>
      </c>
    </row>
    <row r="60" spans="1:6" s="53" customFormat="1" ht="14.25" thickBot="1" x14ac:dyDescent="0.3">
      <c r="A60" s="158" t="s">
        <v>3</v>
      </c>
      <c r="B60" s="185">
        <f>B55+1</f>
        <v>42982</v>
      </c>
      <c r="C60" s="12"/>
      <c r="D60" s="12"/>
      <c r="E60" s="18">
        <f>SUM(C60:D60)</f>
        <v>0</v>
      </c>
    </row>
    <row r="61" spans="1:6" s="53" customFormat="1" ht="14.25" thickBot="1" x14ac:dyDescent="0.3">
      <c r="A61" s="158" t="s">
        <v>4</v>
      </c>
      <c r="B61" s="186">
        <f>B60+1</f>
        <v>42983</v>
      </c>
      <c r="C61" s="12"/>
      <c r="D61" s="19"/>
      <c r="E61" s="18"/>
    </row>
    <row r="62" spans="1:6" s="53" customFormat="1" ht="14.25" thickBot="1" x14ac:dyDescent="0.3">
      <c r="A62" s="158"/>
      <c r="B62" s="187"/>
      <c r="C62" s="12"/>
      <c r="D62" s="19"/>
      <c r="E62" s="18"/>
    </row>
    <row r="63" spans="1:6" s="53" customFormat="1" ht="14.25" thickBot="1" x14ac:dyDescent="0.3">
      <c r="A63" s="158"/>
      <c r="B63" s="187"/>
      <c r="C63" s="12"/>
      <c r="D63" s="19"/>
      <c r="E63" s="18"/>
    </row>
    <row r="64" spans="1:6" s="53" customFormat="1" ht="14.25" thickBot="1" x14ac:dyDescent="0.3">
      <c r="A64" s="31"/>
      <c r="B64" s="187"/>
      <c r="C64" s="12"/>
      <c r="D64" s="19"/>
      <c r="E64" s="18"/>
    </row>
    <row r="65" spans="1:6" s="53" customFormat="1" ht="14.25" thickBot="1" x14ac:dyDescent="0.3">
      <c r="A65" s="31"/>
      <c r="B65" s="187"/>
      <c r="C65" s="19"/>
      <c r="D65" s="19"/>
      <c r="E65" s="18"/>
    </row>
    <row r="66" spans="1:6" s="53" customFormat="1" ht="14.25" thickBot="1" x14ac:dyDescent="0.3">
      <c r="A66" s="31"/>
      <c r="B66" s="189"/>
      <c r="C66" s="24"/>
      <c r="D66" s="24"/>
      <c r="E66" s="72"/>
    </row>
    <row r="67" spans="1:6" s="53" customFormat="1" ht="14.25" thickBot="1" x14ac:dyDescent="0.3">
      <c r="A67" s="167" t="s">
        <v>21</v>
      </c>
      <c r="B67" s="524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</row>
    <row r="68" spans="1:6" s="53" customFormat="1" ht="14.25" thickBot="1" x14ac:dyDescent="0.3">
      <c r="A68" s="116" t="s">
        <v>23</v>
      </c>
      <c r="B68" s="525"/>
      <c r="C68" s="117" t="e">
        <f>AVERAGE(C60:C66)</f>
        <v>#DIV/0!</v>
      </c>
      <c r="D68" s="117" t="e">
        <f>AVERAGE(D60:D66)</f>
        <v>#DIV/0!</v>
      </c>
      <c r="E68" s="117">
        <f>AVERAGE(E60:E66)</f>
        <v>0</v>
      </c>
    </row>
    <row r="69" spans="1:6" s="53" customFormat="1" ht="14.25" thickBot="1" x14ac:dyDescent="0.3">
      <c r="A69" s="32" t="s">
        <v>20</v>
      </c>
      <c r="B69" s="525"/>
      <c r="C69" s="33">
        <f>SUM(C60:C64)</f>
        <v>0</v>
      </c>
      <c r="D69" s="33">
        <f>SUM(D60:D64)</f>
        <v>0</v>
      </c>
      <c r="E69" s="33">
        <f>SUM(E60:E64)</f>
        <v>0</v>
      </c>
    </row>
    <row r="70" spans="1:6" s="53" customFormat="1" ht="14.25" thickBot="1" x14ac:dyDescent="0.3">
      <c r="A70" s="32" t="s">
        <v>22</v>
      </c>
      <c r="B70" s="526"/>
      <c r="C70" s="37" t="e">
        <f>AVERAGE(C60:C64)</f>
        <v>#DIV/0!</v>
      </c>
      <c r="D70" s="37" t="e">
        <f>AVERAGE(D60:D64)</f>
        <v>#DIV/0!</v>
      </c>
      <c r="E70" s="37">
        <f>AVERAGE(E60:E64)</f>
        <v>0</v>
      </c>
    </row>
    <row r="71" spans="1:6" s="53" customFormat="1" x14ac:dyDescent="0.25">
      <c r="A71" s="4"/>
      <c r="B71" s="139"/>
      <c r="C71" s="56"/>
      <c r="D71" s="56"/>
      <c r="E71" s="56"/>
    </row>
    <row r="72" spans="1:6" s="53" customFormat="1" x14ac:dyDescent="0.25">
      <c r="B72" s="199"/>
      <c r="C72" s="45" t="s">
        <v>68</v>
      </c>
      <c r="D72" s="45" t="s">
        <v>8</v>
      </c>
      <c r="E72" s="528" t="s">
        <v>75</v>
      </c>
      <c r="F72" s="530"/>
    </row>
    <row r="73" spans="1:6" ht="25.5" x14ac:dyDescent="0.25">
      <c r="A73" s="11"/>
      <c r="B73" s="48" t="s">
        <v>30</v>
      </c>
      <c r="C73" s="201">
        <f>SUM(C58:C58, C47:C47, C36:C36, C25:C25, C14:C14, C69:C69)</f>
        <v>0</v>
      </c>
      <c r="D73" s="43">
        <f>SUM(D69:D69, D58:D58, D47:D47, D36:D36, D25:D25, D14:D14)</f>
        <v>0</v>
      </c>
      <c r="E73" s="235" t="s">
        <v>30</v>
      </c>
      <c r="F73" s="112">
        <f>SUM(E14, E25, E36, E47, E58, E69)</f>
        <v>0</v>
      </c>
    </row>
    <row r="74" spans="1:6" ht="25.5" x14ac:dyDescent="0.25">
      <c r="A74" s="11"/>
      <c r="B74" s="48" t="s">
        <v>29</v>
      </c>
      <c r="C74" s="201">
        <f>SUM(C56:C56, C45:C45, C34:C34, C23:C23, C12:C12, C67:C67)</f>
        <v>0</v>
      </c>
      <c r="D74" s="43">
        <f>SUM(D67:D67, D56:D56, D45:D45, D34:D34, D23:D23, D12:D12)</f>
        <v>0</v>
      </c>
      <c r="E74" s="235" t="s">
        <v>29</v>
      </c>
      <c r="F74" s="113">
        <f>SUM(E56, E45, E34, E23, E12, E67)</f>
        <v>0</v>
      </c>
    </row>
    <row r="75" spans="1:6" x14ac:dyDescent="0.25">
      <c r="C75" s="140"/>
      <c r="E75" s="235" t="s">
        <v>22</v>
      </c>
      <c r="F75" s="113">
        <f>AVERAGE(E14, E25, E36, E47, E58, E69)</f>
        <v>0</v>
      </c>
    </row>
    <row r="76" spans="1:6" x14ac:dyDescent="0.25">
      <c r="C76" s="140"/>
      <c r="E76" s="235" t="s">
        <v>62</v>
      </c>
      <c r="F76" s="112">
        <f>AVERAGE(E56, E45, E34, E23, E12, E67)</f>
        <v>0</v>
      </c>
    </row>
    <row r="78" spans="1:6" x14ac:dyDescent="0.25">
      <c r="C78" s="160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3" bestFit="1" customWidth="1"/>
    <col min="2" max="2" width="10.140625" style="73" bestFit="1" customWidth="1"/>
    <col min="3" max="7" width="15.7109375" style="73" customWidth="1"/>
    <col min="8" max="8" width="16.28515625" style="73" bestFit="1" customWidth="1"/>
    <col min="9" max="16384" width="9.140625" style="73"/>
  </cols>
  <sheetData>
    <row r="1" spans="1:7" ht="15" customHeight="1" x14ac:dyDescent="0.25">
      <c r="B1" s="141"/>
      <c r="C1" s="499" t="s">
        <v>47</v>
      </c>
      <c r="D1" s="540"/>
      <c r="E1" s="499"/>
      <c r="F1" s="503"/>
      <c r="G1" s="545" t="s">
        <v>19</v>
      </c>
    </row>
    <row r="2" spans="1:7" ht="15" customHeight="1" thickBot="1" x14ac:dyDescent="0.3">
      <c r="B2" s="141"/>
      <c r="C2" s="500"/>
      <c r="D2" s="541"/>
      <c r="E2" s="500"/>
      <c r="F2" s="504"/>
      <c r="G2" s="485"/>
    </row>
    <row r="3" spans="1:7" x14ac:dyDescent="0.25">
      <c r="A3" s="555" t="s">
        <v>52</v>
      </c>
      <c r="B3" s="556" t="s">
        <v>53</v>
      </c>
      <c r="C3" s="548" t="s">
        <v>50</v>
      </c>
      <c r="D3" s="546" t="s">
        <v>51</v>
      </c>
      <c r="E3" s="548"/>
      <c r="F3" s="546"/>
      <c r="G3" s="485"/>
    </row>
    <row r="4" spans="1:7" ht="14.25" customHeight="1" thickBot="1" x14ac:dyDescent="0.3">
      <c r="A4" s="549"/>
      <c r="B4" s="557"/>
      <c r="C4" s="549"/>
      <c r="D4" s="547"/>
      <c r="E4" s="549"/>
      <c r="F4" s="547"/>
      <c r="G4" s="485"/>
    </row>
    <row r="5" spans="1:7" s="79" customFormat="1" ht="12.75" customHeight="1" thickBot="1" x14ac:dyDescent="0.3">
      <c r="A5" s="156"/>
      <c r="B5" s="138"/>
      <c r="C5" s="74"/>
      <c r="D5" s="75"/>
      <c r="E5" s="76"/>
      <c r="F5" s="77"/>
      <c r="G5" s="78"/>
    </row>
    <row r="6" spans="1:7" s="79" customFormat="1" ht="12.75" customHeight="1" thickBot="1" x14ac:dyDescent="0.3">
      <c r="A6" s="156"/>
      <c r="B6" s="131"/>
      <c r="C6" s="74"/>
      <c r="D6" s="75"/>
      <c r="E6" s="76"/>
      <c r="F6" s="77"/>
      <c r="G6" s="78"/>
    </row>
    <row r="7" spans="1:7" s="79" customFormat="1" ht="12.75" customHeight="1" thickBot="1" x14ac:dyDescent="0.3">
      <c r="A7" s="156"/>
      <c r="B7" s="131"/>
      <c r="C7" s="74"/>
      <c r="D7" s="75"/>
      <c r="E7" s="76"/>
      <c r="F7" s="77"/>
      <c r="G7" s="78"/>
    </row>
    <row r="8" spans="1:7" s="79" customFormat="1" ht="12.75" customHeight="1" thickBot="1" x14ac:dyDescent="0.3">
      <c r="A8" s="161"/>
      <c r="B8" s="131"/>
      <c r="C8" s="74"/>
      <c r="D8" s="75"/>
      <c r="E8" s="76"/>
      <c r="F8" s="77"/>
      <c r="G8" s="78"/>
    </row>
    <row r="9" spans="1:7" s="79" customFormat="1" ht="12.75" customHeight="1" thickBot="1" x14ac:dyDescent="0.3">
      <c r="A9" s="161"/>
      <c r="B9" s="131"/>
      <c r="C9" s="74"/>
      <c r="D9" s="75"/>
      <c r="E9" s="76"/>
      <c r="F9" s="77"/>
      <c r="G9" s="78"/>
    </row>
    <row r="10" spans="1:7" s="79" customFormat="1" ht="12.75" customHeight="1" outlineLevel="1" thickBot="1" x14ac:dyDescent="0.3">
      <c r="A10" s="161"/>
      <c r="B10" s="166"/>
      <c r="C10" s="76"/>
      <c r="D10" s="80"/>
      <c r="E10" s="76"/>
      <c r="F10" s="77"/>
      <c r="G10" s="78">
        <f>SUM(C10:F10)</f>
        <v>0</v>
      </c>
    </row>
    <row r="11" spans="1:7" s="79" customFormat="1" ht="14.25" outlineLevel="1" thickBot="1" x14ac:dyDescent="0.3">
      <c r="A11" s="161"/>
      <c r="B11" s="131"/>
      <c r="C11" s="81"/>
      <c r="D11" s="82"/>
      <c r="E11" s="81"/>
      <c r="F11" s="83"/>
      <c r="G11" s="78">
        <f>SUM(C11:F11)</f>
        <v>0</v>
      </c>
    </row>
    <row r="12" spans="1:7" s="85" customFormat="1" ht="14.25" customHeight="1" outlineLevel="1" thickBot="1" x14ac:dyDescent="0.3">
      <c r="A12" s="115" t="s">
        <v>21</v>
      </c>
      <c r="B12" s="524" t="s">
        <v>24</v>
      </c>
      <c r="C12" s="127">
        <f>SUM(C5:C11)</f>
        <v>0</v>
      </c>
      <c r="D12" s="127">
        <f>SUM(D5:D11)</f>
        <v>0</v>
      </c>
      <c r="E12" s="127">
        <f>SUM(E5:E11)</f>
        <v>0</v>
      </c>
      <c r="F12" s="127">
        <f>SUM(F5:F11)</f>
        <v>0</v>
      </c>
      <c r="G12" s="127">
        <f>SUM(G5:G11)</f>
        <v>0</v>
      </c>
    </row>
    <row r="13" spans="1:7" s="85" customFormat="1" ht="14.25" customHeight="1" outlineLevel="1" thickBot="1" x14ac:dyDescent="0.3">
      <c r="A13" s="116" t="s">
        <v>23</v>
      </c>
      <c r="B13" s="525"/>
      <c r="C13" s="128" t="e">
        <f>AVERAGE(C5:C11)</f>
        <v>#DIV/0!</v>
      </c>
      <c r="D13" s="128" t="e">
        <f>AVERAGE(D5:D11)</f>
        <v>#DIV/0!</v>
      </c>
      <c r="E13" s="128" t="e">
        <f>AVERAGE(E5:E11)</f>
        <v>#DIV/0!</v>
      </c>
      <c r="F13" s="128" t="e">
        <f>AVERAGE(F5:F11)</f>
        <v>#DIV/0!</v>
      </c>
      <c r="G13" s="128">
        <f>AVERAGE(G5:G11)</f>
        <v>0</v>
      </c>
    </row>
    <row r="14" spans="1:7" s="85" customFormat="1" ht="14.25" customHeight="1" thickBot="1" x14ac:dyDescent="0.3">
      <c r="A14" s="32" t="s">
        <v>20</v>
      </c>
      <c r="B14" s="525"/>
      <c r="C14" s="92">
        <f>SUM(C5:C9)</f>
        <v>0</v>
      </c>
      <c r="D14" s="92">
        <f>SUM(D5:D9)</f>
        <v>0</v>
      </c>
      <c r="E14" s="92">
        <f>SUM(E5:E9)</f>
        <v>0</v>
      </c>
      <c r="F14" s="92">
        <f>SUM(F5:F9)</f>
        <v>0</v>
      </c>
      <c r="G14" s="92">
        <f>SUM(G5:G9)</f>
        <v>0</v>
      </c>
    </row>
    <row r="15" spans="1:7" s="85" customFormat="1" ht="14.25" customHeight="1" thickBot="1" x14ac:dyDescent="0.3">
      <c r="A15" s="32" t="s">
        <v>22</v>
      </c>
      <c r="B15" s="526"/>
      <c r="C15" s="93" t="e">
        <f>AVERAGE(C5:C9)</f>
        <v>#DIV/0!</v>
      </c>
      <c r="D15" s="93" t="e">
        <f>AVERAGE(D5:D9)</f>
        <v>#DIV/0!</v>
      </c>
      <c r="E15" s="93" t="e">
        <f>AVERAGE(E5:E9)</f>
        <v>#DIV/0!</v>
      </c>
      <c r="F15" s="93" t="e">
        <f>AVERAGE(F5:F9)</f>
        <v>#DIV/0!</v>
      </c>
      <c r="G15" s="93" t="e">
        <f>AVERAGE(G5:G9)</f>
        <v>#DIV/0!</v>
      </c>
    </row>
    <row r="16" spans="1:7" s="85" customFormat="1" ht="13.5" customHeight="1" thickBot="1" x14ac:dyDescent="0.3">
      <c r="A16" s="31"/>
      <c r="B16" s="132"/>
      <c r="C16" s="74"/>
      <c r="D16" s="75"/>
      <c r="E16" s="74"/>
      <c r="F16" s="86"/>
      <c r="G16" s="163"/>
    </row>
    <row r="17" spans="1:7" s="85" customFormat="1" ht="13.5" customHeight="1" thickBot="1" x14ac:dyDescent="0.3">
      <c r="A17" s="31"/>
      <c r="B17" s="133"/>
      <c r="C17" s="74"/>
      <c r="D17" s="75"/>
      <c r="E17" s="76"/>
      <c r="F17" s="77"/>
      <c r="G17" s="163"/>
    </row>
    <row r="18" spans="1:7" s="85" customFormat="1" ht="15" customHeight="1" thickBot="1" x14ac:dyDescent="0.3">
      <c r="A18" s="31"/>
      <c r="B18" s="133"/>
      <c r="C18" s="74"/>
      <c r="D18" s="75"/>
      <c r="E18" s="76"/>
      <c r="F18" s="77"/>
      <c r="G18" s="163"/>
    </row>
    <row r="19" spans="1:7" s="85" customFormat="1" ht="14.25" customHeight="1" thickBot="1" x14ac:dyDescent="0.3">
      <c r="A19" s="31"/>
      <c r="B19" s="133"/>
      <c r="C19" s="74"/>
      <c r="D19" s="75"/>
      <c r="E19" s="76"/>
      <c r="F19" s="77"/>
      <c r="G19" s="163"/>
    </row>
    <row r="20" spans="1:7" s="85" customFormat="1" ht="14.25" customHeight="1" thickBot="1" x14ac:dyDescent="0.3">
      <c r="A20" s="31"/>
      <c r="B20" s="133"/>
      <c r="C20" s="74"/>
      <c r="D20" s="75"/>
      <c r="E20" s="76"/>
      <c r="F20" s="77"/>
      <c r="G20" s="163"/>
    </row>
    <row r="21" spans="1:7" s="85" customFormat="1" ht="14.25" customHeight="1" outlineLevel="1" thickBot="1" x14ac:dyDescent="0.3">
      <c r="A21" s="158"/>
      <c r="B21" s="133"/>
      <c r="C21" s="76"/>
      <c r="D21" s="80"/>
      <c r="E21" s="76"/>
      <c r="F21" s="77"/>
      <c r="G21" s="163">
        <f>SUM(C21:F21)</f>
        <v>0</v>
      </c>
    </row>
    <row r="22" spans="1:7" s="85" customFormat="1" ht="14.25" customHeight="1" outlineLevel="1" thickBot="1" x14ac:dyDescent="0.3">
      <c r="A22" s="158"/>
      <c r="B22" s="133"/>
      <c r="C22" s="81"/>
      <c r="D22" s="82"/>
      <c r="E22" s="81"/>
      <c r="F22" s="83"/>
      <c r="G22" s="163">
        <f>SUM(C22:F22)</f>
        <v>0</v>
      </c>
    </row>
    <row r="23" spans="1:7" s="85" customFormat="1" ht="14.25" customHeight="1" outlineLevel="1" thickBot="1" x14ac:dyDescent="0.3">
      <c r="A23" s="115" t="s">
        <v>21</v>
      </c>
      <c r="B23" s="524" t="s">
        <v>25</v>
      </c>
      <c r="C23" s="127">
        <f>SUM(C16:C22)</f>
        <v>0</v>
      </c>
      <c r="D23" s="127">
        <f>SUM(D16:D22)</f>
        <v>0</v>
      </c>
      <c r="E23" s="127">
        <f>SUM(E16:E22)</f>
        <v>0</v>
      </c>
      <c r="F23" s="127">
        <f>SUM(F16:F22)</f>
        <v>0</v>
      </c>
      <c r="G23" s="127">
        <f>SUM(G16:G22)</f>
        <v>0</v>
      </c>
    </row>
    <row r="24" spans="1:7" s="85" customFormat="1" ht="14.25" customHeight="1" outlineLevel="1" thickBot="1" x14ac:dyDescent="0.3">
      <c r="A24" s="116" t="s">
        <v>23</v>
      </c>
      <c r="B24" s="525"/>
      <c r="C24" s="128" t="e">
        <f>AVERAGE(C16:C22)</f>
        <v>#DIV/0!</v>
      </c>
      <c r="D24" s="128" t="e">
        <f>AVERAGE(D16:D22)</f>
        <v>#DIV/0!</v>
      </c>
      <c r="E24" s="128" t="e">
        <f>AVERAGE(E16:E22)</f>
        <v>#DIV/0!</v>
      </c>
      <c r="F24" s="128" t="e">
        <f>AVERAGE(F16:F22)</f>
        <v>#DIV/0!</v>
      </c>
      <c r="G24" s="128">
        <f>AVERAGE(G16:G22)</f>
        <v>0</v>
      </c>
    </row>
    <row r="25" spans="1:7" s="85" customFormat="1" ht="14.25" customHeight="1" thickBot="1" x14ac:dyDescent="0.3">
      <c r="A25" s="32" t="s">
        <v>20</v>
      </c>
      <c r="B25" s="525"/>
      <c r="C25" s="92">
        <f>SUM(C16:C20)</f>
        <v>0</v>
      </c>
      <c r="D25" s="92">
        <f>SUM(D16:D20)</f>
        <v>0</v>
      </c>
      <c r="E25" s="92">
        <f>SUM(E16:E20)</f>
        <v>0</v>
      </c>
      <c r="F25" s="92">
        <f>SUM(F16:F20)</f>
        <v>0</v>
      </c>
      <c r="G25" s="92">
        <f>SUM(G16:G20)</f>
        <v>0</v>
      </c>
    </row>
    <row r="26" spans="1:7" s="85" customFormat="1" ht="14.25" customHeight="1" thickBot="1" x14ac:dyDescent="0.3">
      <c r="A26" s="32" t="s">
        <v>22</v>
      </c>
      <c r="B26" s="526"/>
      <c r="C26" s="93" t="e">
        <f>AVERAGE(C16:C20)</f>
        <v>#DIV/0!</v>
      </c>
      <c r="D26" s="93" t="e">
        <f>AVERAGE(D16:D20)</f>
        <v>#DIV/0!</v>
      </c>
      <c r="E26" s="93" t="e">
        <f>AVERAGE(E16:E20)</f>
        <v>#DIV/0!</v>
      </c>
      <c r="F26" s="93" t="e">
        <f>AVERAGE(F16:F20)</f>
        <v>#DIV/0!</v>
      </c>
      <c r="G26" s="93" t="e">
        <f>AVERAGE(G16:G20)</f>
        <v>#DIV/0!</v>
      </c>
    </row>
    <row r="27" spans="1:7" s="85" customFormat="1" ht="14.25" customHeight="1" thickBot="1" x14ac:dyDescent="0.3">
      <c r="A27" s="31"/>
      <c r="B27" s="157"/>
      <c r="C27" s="74"/>
      <c r="D27" s="75"/>
      <c r="E27" s="74"/>
      <c r="F27" s="86"/>
      <c r="G27" s="163"/>
    </row>
    <row r="28" spans="1:7" s="85" customFormat="1" ht="15.75" customHeight="1" thickBot="1" x14ac:dyDescent="0.3">
      <c r="A28" s="31"/>
      <c r="B28" s="135"/>
      <c r="C28" s="74"/>
      <c r="D28" s="75"/>
      <c r="E28" s="76"/>
      <c r="F28" s="77"/>
      <c r="G28" s="163"/>
    </row>
    <row r="29" spans="1:7" s="85" customFormat="1" ht="13.5" customHeight="1" thickBot="1" x14ac:dyDescent="0.3">
      <c r="A29" s="31"/>
      <c r="B29" s="135"/>
      <c r="C29" s="74"/>
      <c r="D29" s="75"/>
      <c r="E29" s="76"/>
      <c r="F29" s="77"/>
      <c r="G29" s="163"/>
    </row>
    <row r="30" spans="1:7" s="85" customFormat="1" ht="12.75" customHeight="1" thickBot="1" x14ac:dyDescent="0.3">
      <c r="A30" s="31"/>
      <c r="B30" s="135"/>
      <c r="C30" s="74"/>
      <c r="D30" s="75"/>
      <c r="E30" s="76"/>
      <c r="F30" s="77"/>
      <c r="G30" s="163"/>
    </row>
    <row r="31" spans="1:7" s="85" customFormat="1" ht="14.25" thickBot="1" x14ac:dyDescent="0.3">
      <c r="A31" s="31"/>
      <c r="B31" s="135"/>
      <c r="C31" s="74"/>
      <c r="D31" s="75"/>
      <c r="E31" s="76"/>
      <c r="F31" s="77"/>
      <c r="G31" s="163"/>
    </row>
    <row r="32" spans="1:7" s="85" customFormat="1" ht="14.25" customHeight="1" outlineLevel="1" thickBot="1" x14ac:dyDescent="0.3">
      <c r="A32" s="158"/>
      <c r="B32" s="133"/>
      <c r="C32" s="76"/>
      <c r="D32" s="80"/>
      <c r="E32" s="76"/>
      <c r="F32" s="77"/>
      <c r="G32" s="163">
        <f>SUM(C32:F32)</f>
        <v>0</v>
      </c>
    </row>
    <row r="33" spans="1:8" s="85" customFormat="1" ht="14.25" customHeight="1" outlineLevel="1" thickBot="1" x14ac:dyDescent="0.3">
      <c r="A33" s="158"/>
      <c r="B33" s="133"/>
      <c r="C33" s="81"/>
      <c r="D33" s="82"/>
      <c r="E33" s="81"/>
      <c r="F33" s="83"/>
      <c r="G33" s="163">
        <f>SUM(C33:F33)</f>
        <v>0</v>
      </c>
    </row>
    <row r="34" spans="1:8" s="85" customFormat="1" ht="14.25" customHeight="1" outlineLevel="1" thickBot="1" x14ac:dyDescent="0.3">
      <c r="A34" s="115" t="s">
        <v>21</v>
      </c>
      <c r="B34" s="524" t="s">
        <v>26</v>
      </c>
      <c r="C34" s="127">
        <f>SUM(C27:C33)</f>
        <v>0</v>
      </c>
      <c r="D34" s="127">
        <f>SUM(D27:D33)</f>
        <v>0</v>
      </c>
      <c r="E34" s="127">
        <f>SUM(E27:E33)</f>
        <v>0</v>
      </c>
      <c r="F34" s="127">
        <f>SUM(F27:F33)</f>
        <v>0</v>
      </c>
      <c r="G34" s="127">
        <f>SUM(G27:G33)</f>
        <v>0</v>
      </c>
    </row>
    <row r="35" spans="1:8" s="85" customFormat="1" ht="14.25" customHeight="1" outlineLevel="1" thickBot="1" x14ac:dyDescent="0.3">
      <c r="A35" s="116" t="s">
        <v>23</v>
      </c>
      <c r="B35" s="525"/>
      <c r="C35" s="128" t="e">
        <f>AVERAGE(C27:C33)</f>
        <v>#DIV/0!</v>
      </c>
      <c r="D35" s="128" t="e">
        <f>AVERAGE(D27:D33)</f>
        <v>#DIV/0!</v>
      </c>
      <c r="E35" s="128" t="e">
        <f>AVERAGE(E27:E33)</f>
        <v>#DIV/0!</v>
      </c>
      <c r="F35" s="128" t="e">
        <f>AVERAGE(F27:F33)</f>
        <v>#DIV/0!</v>
      </c>
      <c r="G35" s="128">
        <f>AVERAGE(G27:G33)</f>
        <v>0</v>
      </c>
    </row>
    <row r="36" spans="1:8" s="85" customFormat="1" ht="14.25" customHeight="1" thickBot="1" x14ac:dyDescent="0.3">
      <c r="A36" s="32" t="s">
        <v>20</v>
      </c>
      <c r="B36" s="525"/>
      <c r="C36" s="92">
        <f>SUM(C27:C31)</f>
        <v>0</v>
      </c>
      <c r="D36" s="92">
        <f>SUM(D27:D31)</f>
        <v>0</v>
      </c>
      <c r="E36" s="92">
        <f>SUM(E27:E31)</f>
        <v>0</v>
      </c>
      <c r="F36" s="92">
        <f>SUM(F27:F31)</f>
        <v>0</v>
      </c>
      <c r="G36" s="92">
        <f>SUM(G27:G31)</f>
        <v>0</v>
      </c>
    </row>
    <row r="37" spans="1:8" s="85" customFormat="1" ht="15.75" customHeight="1" thickBot="1" x14ac:dyDescent="0.3">
      <c r="A37" s="32" t="s">
        <v>22</v>
      </c>
      <c r="B37" s="526"/>
      <c r="C37" s="93" t="e">
        <f>AVERAGE(C27:C31)</f>
        <v>#DIV/0!</v>
      </c>
      <c r="D37" s="93" t="e">
        <f>AVERAGE(D27:D31)</f>
        <v>#DIV/0!</v>
      </c>
      <c r="E37" s="93" t="e">
        <f>AVERAGE(E27:E31)</f>
        <v>#DIV/0!</v>
      </c>
      <c r="F37" s="93" t="e">
        <f>AVERAGE(F27:F31)</f>
        <v>#DIV/0!</v>
      </c>
      <c r="G37" s="93" t="e">
        <f>AVERAGE(G27:G31)</f>
        <v>#DIV/0!</v>
      </c>
    </row>
    <row r="38" spans="1:8" s="85" customFormat="1" ht="12.75" customHeight="1" thickBot="1" x14ac:dyDescent="0.3">
      <c r="A38" s="31"/>
      <c r="B38" s="157"/>
      <c r="C38" s="74"/>
      <c r="D38" s="75"/>
      <c r="E38" s="74"/>
      <c r="F38" s="86"/>
      <c r="G38" s="87"/>
    </row>
    <row r="39" spans="1:8" s="85" customFormat="1" ht="15.75" customHeight="1" thickBot="1" x14ac:dyDescent="0.3">
      <c r="A39" s="31"/>
      <c r="B39" s="135"/>
      <c r="C39" s="74"/>
      <c r="D39" s="75"/>
      <c r="E39" s="76"/>
      <c r="F39" s="77"/>
      <c r="G39" s="78"/>
    </row>
    <row r="40" spans="1:8" s="85" customFormat="1" ht="17.25" customHeight="1" thickBot="1" x14ac:dyDescent="0.3">
      <c r="A40" s="31"/>
      <c r="B40" s="135"/>
      <c r="C40" s="74"/>
      <c r="D40" s="75"/>
      <c r="E40" s="76"/>
      <c r="F40" s="77"/>
      <c r="G40" s="78"/>
    </row>
    <row r="41" spans="1:8" s="85" customFormat="1" ht="14.25" customHeight="1" thickBot="1" x14ac:dyDescent="0.3">
      <c r="A41" s="31"/>
      <c r="B41" s="135"/>
      <c r="C41" s="74"/>
      <c r="D41" s="75"/>
      <c r="E41" s="76"/>
      <c r="F41" s="77"/>
      <c r="G41" s="78"/>
    </row>
    <row r="42" spans="1:8" s="85" customFormat="1" ht="17.25" customHeight="1" thickBot="1" x14ac:dyDescent="0.3">
      <c r="A42" s="31"/>
      <c r="B42" s="135"/>
      <c r="C42" s="74"/>
      <c r="D42" s="75"/>
      <c r="E42" s="76"/>
      <c r="F42" s="77"/>
      <c r="G42" s="78"/>
    </row>
    <row r="43" spans="1:8" s="85" customFormat="1" ht="14.25" customHeight="1" outlineLevel="1" thickBot="1" x14ac:dyDescent="0.3">
      <c r="A43" s="158"/>
      <c r="B43" s="133"/>
      <c r="C43" s="76"/>
      <c r="D43" s="80"/>
      <c r="E43" s="76"/>
      <c r="F43" s="77"/>
      <c r="G43" s="78">
        <f>SUM(C43:F43)</f>
        <v>0</v>
      </c>
      <c r="H43" s="130"/>
    </row>
    <row r="44" spans="1:8" s="85" customFormat="1" ht="14.25" customHeight="1" outlineLevel="1" thickBot="1" x14ac:dyDescent="0.3">
      <c r="A44" s="158"/>
      <c r="B44" s="133"/>
      <c r="C44" s="81"/>
      <c r="D44" s="82"/>
      <c r="E44" s="81"/>
      <c r="F44" s="83"/>
      <c r="G44" s="84">
        <f>SUM(C44:F44)</f>
        <v>0</v>
      </c>
      <c r="H44" s="130"/>
    </row>
    <row r="45" spans="1:8" s="85" customFormat="1" ht="14.25" customHeight="1" outlineLevel="1" thickBot="1" x14ac:dyDescent="0.3">
      <c r="A45" s="115" t="s">
        <v>21</v>
      </c>
      <c r="B45" s="524" t="s">
        <v>27</v>
      </c>
      <c r="C45" s="127">
        <f>SUM(C38:C44)</f>
        <v>0</v>
      </c>
      <c r="D45" s="127">
        <f>SUM(D38:D44)</f>
        <v>0</v>
      </c>
      <c r="E45" s="127">
        <f>SUM(E38:E44)</f>
        <v>0</v>
      </c>
      <c r="F45" s="127">
        <f>SUM(F38:F44)</f>
        <v>0</v>
      </c>
      <c r="G45" s="127">
        <f>SUM(G38:G44)</f>
        <v>0</v>
      </c>
    </row>
    <row r="46" spans="1:8" s="85" customFormat="1" ht="14.25" customHeight="1" outlineLevel="1" thickBot="1" x14ac:dyDescent="0.3">
      <c r="A46" s="116" t="s">
        <v>23</v>
      </c>
      <c r="B46" s="525"/>
      <c r="C46" s="128" t="e">
        <f>AVERAGE(C38:C44)</f>
        <v>#DIV/0!</v>
      </c>
      <c r="D46" s="128" t="e">
        <f>AVERAGE(D38:D44)</f>
        <v>#DIV/0!</v>
      </c>
      <c r="E46" s="128" t="e">
        <f>AVERAGE(E38:E44)</f>
        <v>#DIV/0!</v>
      </c>
      <c r="F46" s="128" t="e">
        <f>AVERAGE(F38:F44)</f>
        <v>#DIV/0!</v>
      </c>
      <c r="G46" s="128">
        <f>AVERAGE(G38:G44)</f>
        <v>0</v>
      </c>
    </row>
    <row r="47" spans="1:8" s="85" customFormat="1" ht="14.25" customHeight="1" thickBot="1" x14ac:dyDescent="0.3">
      <c r="A47" s="32" t="s">
        <v>20</v>
      </c>
      <c r="B47" s="525"/>
      <c r="C47" s="92">
        <f>SUM(C38:C42)</f>
        <v>0</v>
      </c>
      <c r="D47" s="92">
        <f>SUM(D38:D42)</f>
        <v>0</v>
      </c>
      <c r="E47" s="92">
        <f>SUM(E38:E42)</f>
        <v>0</v>
      </c>
      <c r="F47" s="92">
        <f>SUM(F38:F42)</f>
        <v>0</v>
      </c>
      <c r="G47" s="92">
        <f>SUM(G38:G42)</f>
        <v>0</v>
      </c>
    </row>
    <row r="48" spans="1:8" s="85" customFormat="1" ht="13.5" customHeight="1" thickBot="1" x14ac:dyDescent="0.3">
      <c r="A48" s="32" t="s">
        <v>22</v>
      </c>
      <c r="B48" s="526"/>
      <c r="C48" s="93" t="e">
        <f>AVERAGE(C38:C42)</f>
        <v>#DIV/0!</v>
      </c>
      <c r="D48" s="93" t="e">
        <f>AVERAGE(D38:D42)</f>
        <v>#DIV/0!</v>
      </c>
      <c r="E48" s="93" t="e">
        <f>AVERAGE(E38:E42)</f>
        <v>#DIV/0!</v>
      </c>
      <c r="F48" s="93" t="e">
        <f>AVERAGE(F38:F42)</f>
        <v>#DIV/0!</v>
      </c>
      <c r="G48" s="93" t="e">
        <f>AVERAGE(G38:G42)</f>
        <v>#DIV/0!</v>
      </c>
    </row>
    <row r="49" spans="1:7" s="85" customFormat="1" ht="13.5" customHeight="1" thickBot="1" x14ac:dyDescent="0.3">
      <c r="A49" s="31"/>
      <c r="B49" s="134"/>
      <c r="C49" s="152"/>
      <c r="D49" s="153"/>
      <c r="E49" s="74"/>
      <c r="F49" s="86"/>
      <c r="G49" s="87"/>
    </row>
    <row r="50" spans="1:7" s="85" customFormat="1" ht="14.25" customHeight="1" thickBot="1" x14ac:dyDescent="0.3">
      <c r="A50" s="31"/>
      <c r="B50" s="151"/>
      <c r="C50" s="154"/>
      <c r="D50" s="155"/>
      <c r="E50" s="76"/>
      <c r="F50" s="77"/>
      <c r="G50" s="78"/>
    </row>
    <row r="51" spans="1:7" s="85" customFormat="1" ht="13.5" customHeight="1" thickBot="1" x14ac:dyDescent="0.3">
      <c r="A51" s="31"/>
      <c r="B51" s="151"/>
      <c r="C51" s="74"/>
      <c r="D51" s="86"/>
      <c r="E51" s="76"/>
      <c r="F51" s="77"/>
      <c r="G51" s="78"/>
    </row>
    <row r="52" spans="1:7" s="85" customFormat="1" ht="13.5" customHeight="1" thickBot="1" x14ac:dyDescent="0.3">
      <c r="A52" s="158"/>
      <c r="B52" s="151"/>
      <c r="C52" s="74"/>
      <c r="D52" s="86"/>
      <c r="E52" s="76"/>
      <c r="F52" s="77"/>
      <c r="G52" s="78"/>
    </row>
    <row r="53" spans="1:7" s="85" customFormat="1" ht="12" customHeight="1" x14ac:dyDescent="0.25">
      <c r="A53" s="158"/>
      <c r="B53" s="151"/>
      <c r="C53" s="152"/>
      <c r="D53" s="190"/>
      <c r="E53" s="81"/>
      <c r="F53" s="83"/>
      <c r="G53" s="84"/>
    </row>
    <row r="54" spans="1:7" s="85" customFormat="1" ht="14.25" customHeight="1" outlineLevel="1" thickBot="1" x14ac:dyDescent="0.3">
      <c r="A54" s="193"/>
      <c r="B54" s="204"/>
      <c r="C54" s="76"/>
      <c r="D54" s="77"/>
      <c r="E54" s="76"/>
      <c r="F54" s="77"/>
      <c r="G54" s="76">
        <f>SUM(C54:F54)</f>
        <v>0</v>
      </c>
    </row>
    <row r="55" spans="1:7" s="85" customFormat="1" ht="16.5" hidden="1" customHeight="1" outlineLevel="1" thickBot="1" x14ac:dyDescent="0.3">
      <c r="A55" s="158" t="s">
        <v>2</v>
      </c>
      <c r="B55" s="133">
        <f>B54+1</f>
        <v>1</v>
      </c>
      <c r="C55" s="191"/>
      <c r="D55" s="192"/>
      <c r="E55" s="152"/>
      <c r="F55" s="190"/>
      <c r="G55" s="76">
        <f>SUM(C55:F55)</f>
        <v>0</v>
      </c>
    </row>
    <row r="56" spans="1:7" s="85" customFormat="1" ht="16.5" customHeight="1" outlineLevel="1" thickBot="1" x14ac:dyDescent="0.3">
      <c r="A56" s="115" t="s">
        <v>21</v>
      </c>
      <c r="B56" s="524" t="s">
        <v>28</v>
      </c>
      <c r="C56" s="127">
        <f>SUM(C49:C55)</f>
        <v>0</v>
      </c>
      <c r="D56" s="127">
        <f>SUM(D49:D55)</f>
        <v>0</v>
      </c>
      <c r="E56" s="127">
        <f>SUM(E49:E55)</f>
        <v>0</v>
      </c>
      <c r="F56" s="127">
        <f>SUM(F49:F55)</f>
        <v>0</v>
      </c>
      <c r="G56" s="127">
        <f>SUM(G49:G55)</f>
        <v>0</v>
      </c>
    </row>
    <row r="57" spans="1:7" s="85" customFormat="1" ht="14.25" customHeight="1" outlineLevel="1" thickBot="1" x14ac:dyDescent="0.3">
      <c r="A57" s="116" t="s">
        <v>23</v>
      </c>
      <c r="B57" s="525"/>
      <c r="C57" s="128" t="e">
        <f>AVERAGE(C49:C55)</f>
        <v>#DIV/0!</v>
      </c>
      <c r="D57" s="128" t="e">
        <f>AVERAGE(D49:D55)</f>
        <v>#DIV/0!</v>
      </c>
      <c r="E57" s="128" t="e">
        <f>AVERAGE(E49:E55)</f>
        <v>#DIV/0!</v>
      </c>
      <c r="F57" s="128" t="e">
        <f>AVERAGE(F49:F55)</f>
        <v>#DIV/0!</v>
      </c>
      <c r="G57" s="128">
        <f>AVERAGE(G49:G55)</f>
        <v>0</v>
      </c>
    </row>
    <row r="58" spans="1:7" s="85" customFormat="1" ht="15.75" customHeight="1" thickBot="1" x14ac:dyDescent="0.3">
      <c r="A58" s="32" t="s">
        <v>20</v>
      </c>
      <c r="B58" s="525"/>
      <c r="C58" s="92">
        <f>SUM(C49:C53)</f>
        <v>0</v>
      </c>
      <c r="D58" s="92">
        <f>SUM(D49:D53)</f>
        <v>0</v>
      </c>
      <c r="E58" s="92">
        <f>SUM(E49:E53)</f>
        <v>0</v>
      </c>
      <c r="F58" s="92">
        <f>SUM(F49:F53)</f>
        <v>0</v>
      </c>
      <c r="G58" s="92">
        <f>SUM(G49:G53)</f>
        <v>0</v>
      </c>
    </row>
    <row r="59" spans="1:7" s="85" customFormat="1" ht="14.25" customHeight="1" thickBot="1" x14ac:dyDescent="0.3">
      <c r="A59" s="32" t="s">
        <v>22</v>
      </c>
      <c r="B59" s="526"/>
      <c r="C59" s="93" t="e">
        <f>AVERAGE(C49:C53)</f>
        <v>#DIV/0!</v>
      </c>
      <c r="D59" s="93" t="e">
        <f>AVERAGE(D49:D53)</f>
        <v>#DIV/0!</v>
      </c>
      <c r="E59" s="93" t="e">
        <f>AVERAGE(E49:E53)</f>
        <v>#DIV/0!</v>
      </c>
      <c r="F59" s="93" t="e">
        <f>AVERAGE(F49:F53)</f>
        <v>#DIV/0!</v>
      </c>
      <c r="G59" s="93" t="e">
        <f>AVERAGE(G49:G53)</f>
        <v>#DIV/0!</v>
      </c>
    </row>
    <row r="60" spans="1:7" s="85" customFormat="1" ht="1.5" hidden="1" customHeight="1" x14ac:dyDescent="0.25">
      <c r="A60" s="147"/>
      <c r="B60" s="137"/>
      <c r="C60" s="74"/>
      <c r="D60" s="75"/>
      <c r="E60" s="74"/>
      <c r="F60" s="86"/>
      <c r="G60" s="87"/>
    </row>
    <row r="61" spans="1:7" s="85" customFormat="1" ht="17.25" hidden="1" customHeight="1" x14ac:dyDescent="0.25">
      <c r="A61" s="148"/>
      <c r="B61" s="135"/>
      <c r="C61" s="74"/>
      <c r="D61" s="75"/>
      <c r="E61" s="76"/>
      <c r="F61" s="77"/>
      <c r="G61" s="78"/>
    </row>
    <row r="62" spans="1:7" s="85" customFormat="1" ht="18" hidden="1" customHeight="1" x14ac:dyDescent="0.25">
      <c r="A62" s="142"/>
      <c r="B62" s="135"/>
      <c r="C62" s="74"/>
      <c r="D62" s="75"/>
      <c r="E62" s="76"/>
      <c r="F62" s="77"/>
      <c r="G62" s="78"/>
    </row>
    <row r="63" spans="1:7" s="85" customFormat="1" ht="16.5" hidden="1" customHeight="1" x14ac:dyDescent="0.25">
      <c r="A63" s="142"/>
      <c r="B63" s="135"/>
      <c r="C63" s="74"/>
      <c r="D63" s="75"/>
      <c r="E63" s="76"/>
      <c r="F63" s="77"/>
      <c r="G63" s="78"/>
    </row>
    <row r="64" spans="1:7" s="85" customFormat="1" ht="15" hidden="1" customHeight="1" x14ac:dyDescent="0.25">
      <c r="A64" s="142"/>
      <c r="B64" s="135"/>
      <c r="C64" s="74"/>
      <c r="D64" s="75"/>
      <c r="E64" s="76"/>
      <c r="F64" s="77"/>
      <c r="G64" s="78"/>
    </row>
    <row r="65" spans="1:7" s="85" customFormat="1" ht="17.25" hidden="1" customHeight="1" outlineLevel="1" x14ac:dyDescent="0.25">
      <c r="A65" s="142"/>
      <c r="B65" s="135"/>
      <c r="C65" s="76"/>
      <c r="D65" s="80"/>
      <c r="E65" s="76"/>
      <c r="F65" s="77"/>
      <c r="G65" s="78"/>
    </row>
    <row r="66" spans="1:7" s="85" customFormat="1" ht="12" hidden="1" customHeight="1" outlineLevel="1" thickBot="1" x14ac:dyDescent="0.3">
      <c r="A66" s="142"/>
      <c r="B66" s="136"/>
      <c r="C66" s="81"/>
      <c r="D66" s="82"/>
      <c r="E66" s="81"/>
      <c r="F66" s="83"/>
      <c r="G66" s="84"/>
    </row>
    <row r="67" spans="1:7" s="85" customFormat="1" ht="15" hidden="1" customHeight="1" outlineLevel="1" thickBot="1" x14ac:dyDescent="0.3">
      <c r="A67" s="115" t="s">
        <v>21</v>
      </c>
      <c r="B67" s="524" t="s">
        <v>32</v>
      </c>
      <c r="C67" s="127">
        <f>SUM(C60:C66)</f>
        <v>0</v>
      </c>
      <c r="D67" s="127">
        <f>SUM(D60:D66)</f>
        <v>0</v>
      </c>
      <c r="E67" s="127">
        <f>SUM(E60:E66)</f>
        <v>0</v>
      </c>
      <c r="F67" s="127">
        <f>SUM(F60:F66)</f>
        <v>0</v>
      </c>
      <c r="G67" s="127">
        <f>SUM(G60:G66)</f>
        <v>0</v>
      </c>
    </row>
    <row r="68" spans="1:7" s="85" customFormat="1" ht="14.25" hidden="1" customHeight="1" outlineLevel="1" thickBot="1" x14ac:dyDescent="0.3">
      <c r="A68" s="116" t="s">
        <v>23</v>
      </c>
      <c r="B68" s="525"/>
      <c r="C68" s="128" t="e">
        <f>AVERAGE(C60:C66)</f>
        <v>#DIV/0!</v>
      </c>
      <c r="D68" s="128" t="e">
        <f>AVERAGE(D60:D66)</f>
        <v>#DIV/0!</v>
      </c>
      <c r="E68" s="128" t="e">
        <f>AVERAGE(E60:E66)</f>
        <v>#DIV/0!</v>
      </c>
      <c r="F68" s="128" t="e">
        <f>AVERAGE(F60:F66)</f>
        <v>#DIV/0!</v>
      </c>
      <c r="G68" s="128" t="e">
        <f>AVERAGE(G60:G66)</f>
        <v>#DIV/0!</v>
      </c>
    </row>
    <row r="69" spans="1:7" s="85" customFormat="1" ht="15.75" hidden="1" customHeight="1" thickBot="1" x14ac:dyDescent="0.3">
      <c r="A69" s="32" t="s">
        <v>20</v>
      </c>
      <c r="B69" s="525"/>
      <c r="C69" s="92">
        <f>SUM(C60:C64)</f>
        <v>0</v>
      </c>
      <c r="D69" s="92">
        <f>SUM(D60:D64)</f>
        <v>0</v>
      </c>
      <c r="E69" s="92">
        <f>SUM(E60:E64)</f>
        <v>0</v>
      </c>
      <c r="F69" s="92">
        <f>SUM(F60:F64)</f>
        <v>0</v>
      </c>
      <c r="G69" s="92">
        <f>SUM(G60:G64)</f>
        <v>0</v>
      </c>
    </row>
    <row r="70" spans="1:7" s="85" customFormat="1" ht="17.25" hidden="1" customHeight="1" thickBot="1" x14ac:dyDescent="0.3">
      <c r="A70" s="32" t="s">
        <v>22</v>
      </c>
      <c r="B70" s="526"/>
      <c r="C70" s="93" t="e">
        <f>AVERAGE(C60:C64)</f>
        <v>#DIV/0!</v>
      </c>
      <c r="D70" s="93" t="e">
        <f>AVERAGE(D60:D64)</f>
        <v>#DIV/0!</v>
      </c>
      <c r="E70" s="93" t="e">
        <f>AVERAGE(E60:E64)</f>
        <v>#DIV/0!</v>
      </c>
      <c r="F70" s="93" t="e">
        <f>AVERAGE(F60:F64)</f>
        <v>#DIV/0!</v>
      </c>
      <c r="G70" s="93" t="e">
        <f>AVERAGE(G60:G64)</f>
        <v>#DIV/0!</v>
      </c>
    </row>
    <row r="71" spans="1:7" s="85" customFormat="1" ht="14.25" customHeight="1" x14ac:dyDescent="0.25">
      <c r="A71" s="54"/>
      <c r="B71" s="55"/>
      <c r="C71" s="88"/>
      <c r="D71" s="88"/>
      <c r="E71" s="88"/>
      <c r="F71" s="88"/>
      <c r="G71" s="88"/>
    </row>
    <row r="72" spans="1:7" s="85" customFormat="1" ht="30" customHeight="1" x14ac:dyDescent="0.25">
      <c r="B72" s="89"/>
      <c r="C72" s="45" t="s">
        <v>50</v>
      </c>
      <c r="D72" s="45" t="s">
        <v>51</v>
      </c>
      <c r="E72" s="528" t="s">
        <v>61</v>
      </c>
      <c r="F72" s="529"/>
      <c r="G72" s="530"/>
    </row>
    <row r="73" spans="1:7" ht="30" customHeight="1" x14ac:dyDescent="0.25">
      <c r="B73" s="48" t="s">
        <v>29</v>
      </c>
      <c r="C73" s="90">
        <f>SUM(C56:D56, C45:D45, C34:D34, C23:D23, C12:D12, C67:D67)</f>
        <v>0</v>
      </c>
      <c r="D73" s="90">
        <f>SUM(E67:F67, E56:F56, E45:F45, E34:F34, E23:F23, E12:F12)</f>
        <v>0</v>
      </c>
      <c r="E73" s="516" t="s">
        <v>29</v>
      </c>
      <c r="F73" s="517"/>
      <c r="G73" s="112">
        <f>SUM(G12, G23, G34, G45, G56, G67)</f>
        <v>0</v>
      </c>
    </row>
    <row r="74" spans="1:7" ht="30" customHeight="1" x14ac:dyDescent="0.25">
      <c r="B74" s="48" t="s">
        <v>30</v>
      </c>
      <c r="C74" s="90">
        <f>SUM(C58:D58, C47:D47, C36:D36, C25:D25, C14:D14, C69:D69)</f>
        <v>0</v>
      </c>
      <c r="D74" s="90">
        <f>SUM(E69:F69, E58:F58, E47:F47, E36:F36, E25:F25, E14:F14)</f>
        <v>0</v>
      </c>
      <c r="E74" s="558" t="s">
        <v>30</v>
      </c>
      <c r="F74" s="558"/>
      <c r="G74" s="113">
        <f>SUM(G58, G47, G36, G25, G14, G69)</f>
        <v>0</v>
      </c>
    </row>
    <row r="75" spans="1:7" ht="30" customHeight="1" x14ac:dyDescent="0.25">
      <c r="E75" s="516" t="s">
        <v>62</v>
      </c>
      <c r="F75" s="517"/>
      <c r="G75" s="113">
        <f>AVERAGE(G12, G23, G34, G45, G56, G67)</f>
        <v>0</v>
      </c>
    </row>
    <row r="76" spans="1:7" ht="30" customHeight="1" x14ac:dyDescent="0.25">
      <c r="E76" s="558" t="s">
        <v>22</v>
      </c>
      <c r="F76" s="558"/>
      <c r="G76" s="112">
        <f>AVERAGE(G58, G47, G36, G25, G14, G69)</f>
        <v>0</v>
      </c>
    </row>
    <row r="86" spans="2:2" x14ac:dyDescent="0.25">
      <c r="B86" s="91"/>
    </row>
    <row r="87" spans="2:2" x14ac:dyDescent="0.25">
      <c r="B87" s="91"/>
    </row>
    <row r="88" spans="2:2" x14ac:dyDescent="0.25">
      <c r="B88" s="91"/>
    </row>
    <row r="89" spans="2:2" x14ac:dyDescent="0.25">
      <c r="B89" s="91"/>
    </row>
    <row r="90" spans="2:2" x14ac:dyDescent="0.25">
      <c r="B90" s="91"/>
    </row>
    <row r="91" spans="2:2" x14ac:dyDescent="0.25">
      <c r="B91" s="91"/>
    </row>
    <row r="92" spans="2:2" x14ac:dyDescent="0.25">
      <c r="B92" s="91"/>
    </row>
    <row r="97" spans="2:2" x14ac:dyDescent="0.25">
      <c r="B97" s="91"/>
    </row>
    <row r="98" spans="2:2" x14ac:dyDescent="0.25">
      <c r="B98" s="91"/>
    </row>
    <row r="99" spans="2:2" x14ac:dyDescent="0.25">
      <c r="B99" s="91"/>
    </row>
    <row r="100" spans="2:2" x14ac:dyDescent="0.25">
      <c r="B100" s="91"/>
    </row>
    <row r="101" spans="2:2" x14ac:dyDescent="0.25">
      <c r="B101" s="91"/>
    </row>
    <row r="102" spans="2:2" x14ac:dyDescent="0.25">
      <c r="B102" s="91"/>
    </row>
    <row r="103" spans="2:2" x14ac:dyDescent="0.25">
      <c r="B103" s="91"/>
    </row>
    <row r="104" spans="2:2" x14ac:dyDescent="0.25">
      <c r="B104" s="91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1"/>
  <sheetViews>
    <sheetView zoomScaleNormal="100" workbookViewId="0">
      <selection activeCell="B18" sqref="B18:B19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73" t="s">
        <v>91</v>
      </c>
      <c r="B1" s="474"/>
    </row>
    <row r="2" spans="1:2" ht="15.75" thickBot="1" x14ac:dyDescent="0.3">
      <c r="A2" s="475"/>
      <c r="B2" s="476"/>
    </row>
    <row r="3" spans="1:2" ht="15.75" thickBot="1" x14ac:dyDescent="0.3">
      <c r="A3" s="448" t="s">
        <v>44</v>
      </c>
      <c r="B3" s="471"/>
    </row>
    <row r="4" spans="1:2" ht="12.75" customHeight="1" x14ac:dyDescent="0.25">
      <c r="A4" s="442" t="s">
        <v>45</v>
      </c>
      <c r="B4" s="432">
        <f>SUM('NY Waterway'!H74)</f>
        <v>363044</v>
      </c>
    </row>
    <row r="5" spans="1:2" ht="13.5" customHeight="1" thickBot="1" x14ac:dyDescent="0.3">
      <c r="A5" s="446"/>
      <c r="B5" s="437"/>
    </row>
    <row r="6" spans="1:2" ht="12.75" customHeight="1" x14ac:dyDescent="0.25">
      <c r="A6" s="438" t="s">
        <v>46</v>
      </c>
      <c r="B6" s="425">
        <f>SUM('Billy Bey'!F77)</f>
        <v>305913</v>
      </c>
    </row>
    <row r="7" spans="1:2" ht="13.5" customHeight="1" thickBot="1" x14ac:dyDescent="0.3">
      <c r="A7" s="468"/>
      <c r="B7" s="436"/>
    </row>
    <row r="8" spans="1:2" ht="12.75" customHeight="1" x14ac:dyDescent="0.25">
      <c r="A8" s="442" t="s">
        <v>47</v>
      </c>
      <c r="B8" s="432">
        <f>SUM(SeaStreak!G74)</f>
        <v>88114</v>
      </c>
    </row>
    <row r="9" spans="1:2" ht="13.5" customHeight="1" thickBot="1" x14ac:dyDescent="0.3">
      <c r="A9" s="466"/>
      <c r="B9" s="437"/>
    </row>
    <row r="10" spans="1:2" ht="12.75" customHeight="1" x14ac:dyDescent="0.25">
      <c r="A10" s="438" t="s">
        <v>48</v>
      </c>
      <c r="B10" s="425">
        <f>SUM('New York Water Taxi'!K74)</f>
        <v>22251</v>
      </c>
    </row>
    <row r="11" spans="1:2" ht="13.5" customHeight="1" thickBot="1" x14ac:dyDescent="0.3">
      <c r="A11" s="464"/>
      <c r="B11" s="436"/>
    </row>
    <row r="12" spans="1:2" ht="12.75" customHeight="1" x14ac:dyDescent="0.25">
      <c r="A12" s="423" t="s">
        <v>33</v>
      </c>
      <c r="B12" s="425">
        <f>SUM('Liberty Landing Ferry'!F74)</f>
        <v>15645</v>
      </c>
    </row>
    <row r="13" spans="1:2" ht="13.5" customHeight="1" thickBot="1" x14ac:dyDescent="0.3">
      <c r="A13" s="472"/>
      <c r="B13" s="436"/>
    </row>
    <row r="14" spans="1:2" ht="13.5" customHeight="1" x14ac:dyDescent="0.25">
      <c r="A14" s="423" t="s">
        <v>73</v>
      </c>
      <c r="B14" s="425">
        <f>'NYC Ferry'!F78</f>
        <v>239676</v>
      </c>
    </row>
    <row r="15" spans="1:2" ht="13.5" customHeight="1" thickBot="1" x14ac:dyDescent="0.3">
      <c r="A15" s="472"/>
      <c r="B15" s="436"/>
    </row>
    <row r="16" spans="1:2" ht="13.5" hidden="1" customHeight="1" x14ac:dyDescent="0.25">
      <c r="A16" s="423" t="s">
        <v>67</v>
      </c>
      <c r="B16" s="425">
        <f>'Water Tours'!F74</f>
        <v>0</v>
      </c>
    </row>
    <row r="17" spans="1:2" ht="13.5" hidden="1" customHeight="1" thickBot="1" x14ac:dyDescent="0.3">
      <c r="A17" s="472"/>
      <c r="B17" s="436"/>
    </row>
    <row r="18" spans="1:2" x14ac:dyDescent="0.25">
      <c r="A18" s="451" t="s">
        <v>19</v>
      </c>
      <c r="B18" s="427">
        <f>SUM(B4:B17)</f>
        <v>1034643</v>
      </c>
    </row>
    <row r="19" spans="1:2" ht="15.75" thickBot="1" x14ac:dyDescent="0.3">
      <c r="A19" s="470"/>
      <c r="B19" s="461"/>
    </row>
    <row r="20" spans="1:2" ht="15.75" thickBot="1" x14ac:dyDescent="0.3">
      <c r="A20" s="49"/>
      <c r="B20" s="50"/>
    </row>
    <row r="21" spans="1:2" ht="15.75" thickBot="1" x14ac:dyDescent="0.3">
      <c r="A21" s="448" t="s">
        <v>49</v>
      </c>
      <c r="B21" s="471"/>
    </row>
    <row r="22" spans="1:2" x14ac:dyDescent="0.25">
      <c r="A22" s="442" t="s">
        <v>10</v>
      </c>
      <c r="B22" s="432">
        <f>SUM('Billy Bey'!G73,'NY Waterway'!D74, SeaStreak!B74,'NYC Ferry'!C73,'New York Water Taxi'!H74)</f>
        <v>267494</v>
      </c>
    </row>
    <row r="23" spans="1:2" ht="15.75" thickBot="1" x14ac:dyDescent="0.3">
      <c r="A23" s="446"/>
      <c r="B23" s="433"/>
    </row>
    <row r="24" spans="1:2" x14ac:dyDescent="0.25">
      <c r="A24" s="442" t="s">
        <v>68</v>
      </c>
      <c r="B24" s="432">
        <f xml:space="preserve"> 'Billy Bey'!E73</f>
        <v>8322</v>
      </c>
    </row>
    <row r="25" spans="1:2" ht="15.75" thickBot="1" x14ac:dyDescent="0.3">
      <c r="A25" s="446"/>
      <c r="B25" s="433"/>
    </row>
    <row r="26" spans="1:2" x14ac:dyDescent="0.25">
      <c r="A26" s="438" t="s">
        <v>8</v>
      </c>
      <c r="B26" s="425">
        <f>SUM('Billy Bey'!D73, 'NY Waterway'!B74)</f>
        <v>278395</v>
      </c>
    </row>
    <row r="27" spans="1:2" ht="15.75" thickBot="1" x14ac:dyDescent="0.3">
      <c r="A27" s="468"/>
      <c r="B27" s="469"/>
    </row>
    <row r="28" spans="1:2" x14ac:dyDescent="0.25">
      <c r="A28" s="442" t="s">
        <v>14</v>
      </c>
      <c r="B28" s="432">
        <f>SUM(SeaStreak!C74, 'NYC Ferry'!D73,'New York Water Taxi'!G74)</f>
        <v>82890</v>
      </c>
    </row>
    <row r="29" spans="1:2" ht="15.75" thickBot="1" x14ac:dyDescent="0.3">
      <c r="A29" s="466"/>
      <c r="B29" s="465"/>
    </row>
    <row r="30" spans="1:2" ht="12.75" customHeight="1" x14ac:dyDescent="0.25">
      <c r="A30" s="438" t="s">
        <v>9</v>
      </c>
      <c r="B30" s="432">
        <f>SUM('Billy Bey'!F73, 'Liberty Landing Ferry'!B74, 'NY Waterway'!C74)</f>
        <v>245877</v>
      </c>
    </row>
    <row r="31" spans="1:2" ht="15.75" thickBot="1" x14ac:dyDescent="0.3">
      <c r="A31" s="464"/>
      <c r="B31" s="465"/>
    </row>
    <row r="32" spans="1:2" x14ac:dyDescent="0.25">
      <c r="A32" s="438" t="s">
        <v>7</v>
      </c>
      <c r="B32" s="415">
        <f>SUM('New York Water Taxi'!C74)</f>
        <v>1441</v>
      </c>
    </row>
    <row r="33" spans="1:6" ht="15.75" thickBot="1" x14ac:dyDescent="0.3">
      <c r="A33" s="464"/>
      <c r="B33" s="445"/>
    </row>
    <row r="34" spans="1:6" x14ac:dyDescent="0.25">
      <c r="A34" s="442" t="s">
        <v>106</v>
      </c>
      <c r="B34" s="415">
        <f>SUM('New York Water Taxi'!E74)</f>
        <v>1497</v>
      </c>
    </row>
    <row r="35" spans="1:6" ht="15.75" thickBot="1" x14ac:dyDescent="0.3">
      <c r="A35" s="466"/>
      <c r="B35" s="467"/>
    </row>
    <row r="36" spans="1:6" ht="13.5" customHeight="1" x14ac:dyDescent="0.25">
      <c r="A36" s="417" t="s">
        <v>63</v>
      </c>
      <c r="B36" s="415">
        <f>SUM('NYC Ferry'!E73,'New York Water Taxi'!D74)</f>
        <v>18548</v>
      </c>
    </row>
    <row r="37" spans="1:6" ht="14.25" customHeight="1" thickBot="1" x14ac:dyDescent="0.3">
      <c r="A37" s="418"/>
      <c r="B37" s="416"/>
    </row>
    <row r="38" spans="1:6" ht="14.25" customHeight="1" x14ac:dyDescent="0.25">
      <c r="A38" s="417" t="s">
        <v>103</v>
      </c>
      <c r="B38" s="415">
        <f>'New York Water Taxi'!F74</f>
        <v>3176</v>
      </c>
    </row>
    <row r="39" spans="1:6" ht="14.25" customHeight="1" thickBot="1" x14ac:dyDescent="0.3">
      <c r="A39" s="418"/>
      <c r="B39" s="420"/>
    </row>
    <row r="40" spans="1:6" ht="13.5" customHeight="1" x14ac:dyDescent="0.25">
      <c r="A40" s="417" t="s">
        <v>64</v>
      </c>
      <c r="B40" s="415">
        <f>SUM('NYC Ferry'!F73)</f>
        <v>8517</v>
      </c>
    </row>
    <row r="41" spans="1:6" ht="14.25" customHeight="1" thickBot="1" x14ac:dyDescent="0.3">
      <c r="A41" s="418"/>
      <c r="B41" s="416"/>
    </row>
    <row r="42" spans="1:6" ht="13.5" customHeight="1" x14ac:dyDescent="0.25">
      <c r="A42" s="417" t="s">
        <v>11</v>
      </c>
      <c r="B42" s="421">
        <f>SUM('NYC Ferry'!G73)</f>
        <v>22094</v>
      </c>
    </row>
    <row r="43" spans="1:6" ht="14.25" customHeight="1" thickBot="1" x14ac:dyDescent="0.3">
      <c r="A43" s="418"/>
      <c r="B43" s="421"/>
    </row>
    <row r="44" spans="1:6" ht="13.5" customHeight="1" x14ac:dyDescent="0.25">
      <c r="A44" s="417" t="s">
        <v>12</v>
      </c>
      <c r="B44" s="415">
        <f>SUM('NYC Ferry'!H73)</f>
        <v>15344</v>
      </c>
    </row>
    <row r="45" spans="1:6" ht="14.25" customHeight="1" thickBot="1" x14ac:dyDescent="0.3">
      <c r="A45" s="418"/>
      <c r="B45" s="416"/>
    </row>
    <row r="46" spans="1:6" ht="13.5" customHeight="1" x14ac:dyDescent="0.25">
      <c r="A46" s="417" t="s">
        <v>110</v>
      </c>
      <c r="B46" s="421">
        <f>SUM('NYC Ferry'!J73)</f>
        <v>6273</v>
      </c>
    </row>
    <row r="47" spans="1:6" ht="14.25" customHeight="1" thickBot="1" x14ac:dyDescent="0.3">
      <c r="A47" s="418"/>
      <c r="B47" s="416"/>
    </row>
    <row r="48" spans="1:6" ht="14.25" customHeight="1" x14ac:dyDescent="0.25">
      <c r="A48" s="417" t="s">
        <v>31</v>
      </c>
      <c r="B48" s="421">
        <f>SUM('NYC Ferry'!K73)</f>
        <v>0</v>
      </c>
      <c r="F48" s="6"/>
    </row>
    <row r="49" spans="1:2" ht="14.25" customHeight="1" thickBot="1" x14ac:dyDescent="0.3">
      <c r="A49" s="418"/>
      <c r="B49" s="416"/>
    </row>
    <row r="50" spans="1:2" ht="14.25" customHeight="1" x14ac:dyDescent="0.25">
      <c r="A50" s="417" t="s">
        <v>78</v>
      </c>
      <c r="B50" s="421">
        <f>SUM('NYC Ferry'!O73)</f>
        <v>3141</v>
      </c>
    </row>
    <row r="51" spans="1:2" ht="14.25" customHeight="1" thickBot="1" x14ac:dyDescent="0.3">
      <c r="A51" s="418"/>
      <c r="B51" s="416"/>
    </row>
    <row r="52" spans="1:2" ht="14.25" customHeight="1" x14ac:dyDescent="0.25">
      <c r="A52" s="417" t="s">
        <v>77</v>
      </c>
      <c r="B52" s="421">
        <f>'NYC Ferry'!N73</f>
        <v>2312</v>
      </c>
    </row>
    <row r="53" spans="1:2" ht="14.25" customHeight="1" thickBot="1" x14ac:dyDescent="0.3">
      <c r="A53" s="418"/>
      <c r="B53" s="416"/>
    </row>
    <row r="54" spans="1:2" ht="14.25" customHeight="1" x14ac:dyDescent="0.25">
      <c r="A54" s="417" t="s">
        <v>87</v>
      </c>
      <c r="B54" s="421">
        <f>'NYC Ferry'!S73</f>
        <v>3483</v>
      </c>
    </row>
    <row r="55" spans="1:2" ht="14.25" customHeight="1" thickBot="1" x14ac:dyDescent="0.3">
      <c r="A55" s="418"/>
      <c r="B55" s="416"/>
    </row>
    <row r="56" spans="1:2" ht="14.25" customHeight="1" x14ac:dyDescent="0.25">
      <c r="A56" s="417" t="s">
        <v>88</v>
      </c>
      <c r="B56" s="421">
        <f>'NYC Ferry'!T73</f>
        <v>1044</v>
      </c>
    </row>
    <row r="57" spans="1:2" ht="14.25" customHeight="1" thickBot="1" x14ac:dyDescent="0.3">
      <c r="A57" s="418"/>
      <c r="B57" s="416"/>
    </row>
    <row r="58" spans="1:2" ht="14.25" customHeight="1" x14ac:dyDescent="0.25">
      <c r="A58" s="417" t="s">
        <v>90</v>
      </c>
      <c r="B58" s="415">
        <f>'NYC Ferry'!U73</f>
        <v>10429</v>
      </c>
    </row>
    <row r="59" spans="1:2" ht="14.25" customHeight="1" thickBot="1" x14ac:dyDescent="0.3">
      <c r="A59" s="418"/>
      <c r="B59" s="416"/>
    </row>
    <row r="60" spans="1:2" ht="14.25" customHeight="1" x14ac:dyDescent="0.25">
      <c r="A60" s="417" t="s">
        <v>89</v>
      </c>
      <c r="B60" s="415">
        <f>'NYC Ferry'!V73</f>
        <v>5075</v>
      </c>
    </row>
    <row r="61" spans="1:2" ht="14.25" customHeight="1" thickBot="1" x14ac:dyDescent="0.3">
      <c r="A61" s="418"/>
      <c r="B61" s="416"/>
    </row>
    <row r="62" spans="1:2" ht="14.25" customHeight="1" x14ac:dyDescent="0.25">
      <c r="A62" s="462" t="s">
        <v>112</v>
      </c>
      <c r="B62" s="421">
        <f>SUM('NYC Ferry'!P73)</f>
        <v>1860</v>
      </c>
    </row>
    <row r="63" spans="1:2" ht="14.25" customHeight="1" thickBot="1" x14ac:dyDescent="0.3">
      <c r="A63" s="463"/>
      <c r="B63" s="416"/>
    </row>
    <row r="64" spans="1:2" ht="14.25" customHeight="1" x14ac:dyDescent="0.25">
      <c r="A64" s="417" t="s">
        <v>72</v>
      </c>
      <c r="B64" s="421">
        <f>SUM('NYC Ferry'!M73)</f>
        <v>4442</v>
      </c>
    </row>
    <row r="65" spans="1:10" ht="14.25" customHeight="1" thickBot="1" x14ac:dyDescent="0.3">
      <c r="A65" s="418"/>
      <c r="B65" s="416"/>
    </row>
    <row r="66" spans="1:10" ht="14.25" customHeight="1" x14ac:dyDescent="0.25">
      <c r="A66" s="417" t="s">
        <v>71</v>
      </c>
      <c r="B66" s="421">
        <f>SUM('NYC Ferry'!L73)</f>
        <v>11583</v>
      </c>
    </row>
    <row r="67" spans="1:10" ht="14.25" customHeight="1" thickBot="1" x14ac:dyDescent="0.3">
      <c r="A67" s="418"/>
      <c r="B67" s="416"/>
    </row>
    <row r="68" spans="1:10" ht="14.25" customHeight="1" x14ac:dyDescent="0.25">
      <c r="A68" s="417" t="s">
        <v>81</v>
      </c>
      <c r="B68" s="421">
        <f>SUM('NYC Ferry'!Q73)</f>
        <v>8881</v>
      </c>
    </row>
    <row r="69" spans="1:10" ht="14.25" customHeight="1" thickBot="1" x14ac:dyDescent="0.3">
      <c r="A69" s="418"/>
      <c r="B69" s="416"/>
    </row>
    <row r="70" spans="1:10" ht="14.25" customHeight="1" x14ac:dyDescent="0.25">
      <c r="A70" s="417" t="s">
        <v>82</v>
      </c>
      <c r="B70" s="421">
        <f>SUM('NYC Ferry'!R73)</f>
        <v>7059</v>
      </c>
    </row>
    <row r="71" spans="1:10" ht="14.25" customHeight="1" thickBot="1" x14ac:dyDescent="0.3">
      <c r="A71" s="418"/>
      <c r="B71" s="416"/>
    </row>
    <row r="72" spans="1:10" ht="14.25" customHeight="1" x14ac:dyDescent="0.25">
      <c r="A72" s="417" t="s">
        <v>65</v>
      </c>
      <c r="B72" s="415">
        <f>SUM('NYC Ferry'!I73)</f>
        <v>15466</v>
      </c>
    </row>
    <row r="73" spans="1:10" ht="14.25" customHeight="1" thickBot="1" x14ac:dyDescent="0.3">
      <c r="A73" s="418"/>
      <c r="B73" s="416"/>
    </row>
    <row r="74" spans="1:10" x14ac:dyDescent="0.25">
      <c r="A74" s="429" t="s">
        <v>19</v>
      </c>
      <c r="B74" s="427">
        <f>SUM(B22:B73)</f>
        <v>1034643</v>
      </c>
    </row>
    <row r="75" spans="1:10" ht="15.75" thickBot="1" x14ac:dyDescent="0.3">
      <c r="A75" s="460"/>
      <c r="B75" s="461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J90" s="6"/>
    </row>
    <row r="91" spans="9:10" x14ac:dyDescent="0.25"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  <c r="J109" s="6"/>
    </row>
    <row r="110" spans="9:10" x14ac:dyDescent="0.25">
      <c r="I110" s="6"/>
      <c r="J110" s="6"/>
    </row>
    <row r="111" spans="9:10" x14ac:dyDescent="0.25">
      <c r="I111" s="6"/>
      <c r="J111" s="6"/>
    </row>
  </sheetData>
  <mergeCells count="74"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74:A75"/>
    <mergeCell ref="B74:B75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54:A55"/>
    <mergeCell ref="A56:A57"/>
    <mergeCell ref="B54:B55"/>
    <mergeCell ref="B56:B57"/>
    <mergeCell ref="A58:A59"/>
    <mergeCell ref="A72:A73"/>
    <mergeCell ref="B72:B73"/>
    <mergeCell ref="A60:A61"/>
    <mergeCell ref="B58:B59"/>
    <mergeCell ref="B60:B61"/>
    <mergeCell ref="A68:A69"/>
    <mergeCell ref="B68:B69"/>
    <mergeCell ref="A70:A71"/>
    <mergeCell ref="B70:B7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81"/>
  <sheetViews>
    <sheetView workbookViewId="0">
      <pane xSplit="2" ySplit="4" topLeftCell="D37" activePane="bottomRight" state="frozen"/>
      <selection pane="topRight" activeCell="C1" sqref="C1"/>
      <selection pane="bottomLeft" activeCell="A5" sqref="A5"/>
      <selection pane="bottomRight" activeCell="M75" sqref="M75"/>
    </sheetView>
  </sheetViews>
  <sheetFormatPr defaultRowHeight="15" x14ac:dyDescent="0.25"/>
  <cols>
    <col min="1" max="1" width="18.7109375" style="1" bestFit="1" customWidth="1"/>
    <col min="2" max="2" width="10.7109375" style="140" bestFit="1" customWidth="1"/>
    <col min="3" max="3" width="10.7109375" style="140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296" customWidth="1"/>
    <col min="15" max="18" width="11.7109375" style="1" customWidth="1"/>
    <col min="19" max="25" width="11.7109375" style="296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5" ht="15" customHeight="1" x14ac:dyDescent="0.25">
      <c r="A1" s="493" t="s">
        <v>52</v>
      </c>
      <c r="B1" s="496" t="s">
        <v>53</v>
      </c>
      <c r="C1" s="510" t="s">
        <v>70</v>
      </c>
      <c r="D1" s="511"/>
      <c r="E1" s="511"/>
      <c r="F1" s="511"/>
      <c r="G1" s="511"/>
      <c r="H1" s="511"/>
      <c r="I1" s="511"/>
      <c r="J1" s="512"/>
      <c r="K1" s="477" t="s">
        <v>71</v>
      </c>
      <c r="L1" s="505"/>
      <c r="M1" s="506"/>
      <c r="N1" s="477" t="s">
        <v>76</v>
      </c>
      <c r="O1" s="478"/>
      <c r="P1" s="478"/>
      <c r="Q1" s="478"/>
      <c r="R1" s="478"/>
      <c r="S1" s="478"/>
      <c r="T1" s="479"/>
      <c r="U1" s="477" t="s">
        <v>81</v>
      </c>
      <c r="V1" s="478"/>
      <c r="W1" s="478"/>
      <c r="X1" s="478"/>
      <c r="Y1" s="479"/>
      <c r="Z1" s="477" t="s">
        <v>86</v>
      </c>
      <c r="AA1" s="478"/>
      <c r="AB1" s="478"/>
      <c r="AC1" s="478"/>
      <c r="AD1" s="479"/>
      <c r="AE1" s="477" t="s">
        <v>90</v>
      </c>
      <c r="AF1" s="478"/>
      <c r="AG1" s="478"/>
      <c r="AH1" s="479"/>
      <c r="AI1" s="485"/>
    </row>
    <row r="2" spans="1:35" ht="15.75" customHeight="1" thickBot="1" x14ac:dyDescent="0.3">
      <c r="A2" s="494"/>
      <c r="B2" s="497"/>
      <c r="C2" s="513"/>
      <c r="D2" s="514"/>
      <c r="E2" s="514"/>
      <c r="F2" s="514"/>
      <c r="G2" s="514"/>
      <c r="H2" s="514"/>
      <c r="I2" s="514"/>
      <c r="J2" s="515"/>
      <c r="K2" s="507"/>
      <c r="L2" s="508"/>
      <c r="M2" s="509"/>
      <c r="N2" s="480"/>
      <c r="O2" s="481"/>
      <c r="P2" s="481"/>
      <c r="Q2" s="481"/>
      <c r="R2" s="481"/>
      <c r="S2" s="481"/>
      <c r="T2" s="482"/>
      <c r="U2" s="480"/>
      <c r="V2" s="481"/>
      <c r="W2" s="481"/>
      <c r="X2" s="481"/>
      <c r="Y2" s="482"/>
      <c r="Z2" s="480"/>
      <c r="AA2" s="481"/>
      <c r="AB2" s="481"/>
      <c r="AC2" s="481"/>
      <c r="AD2" s="482"/>
      <c r="AE2" s="480"/>
      <c r="AF2" s="481"/>
      <c r="AG2" s="481"/>
      <c r="AH2" s="482"/>
      <c r="AI2" s="485"/>
    </row>
    <row r="3" spans="1:35" ht="15" customHeight="1" x14ac:dyDescent="0.25">
      <c r="A3" s="494"/>
      <c r="B3" s="497"/>
      <c r="C3" s="499" t="s">
        <v>10</v>
      </c>
      <c r="D3" s="501" t="s">
        <v>14</v>
      </c>
      <c r="E3" s="501" t="s">
        <v>63</v>
      </c>
      <c r="F3" s="501" t="s">
        <v>64</v>
      </c>
      <c r="G3" s="501" t="s">
        <v>11</v>
      </c>
      <c r="H3" s="501" t="s">
        <v>12</v>
      </c>
      <c r="I3" s="501" t="s">
        <v>110</v>
      </c>
      <c r="J3" s="503" t="s">
        <v>31</v>
      </c>
      <c r="K3" s="499" t="s">
        <v>71</v>
      </c>
      <c r="L3" s="501" t="s">
        <v>72</v>
      </c>
      <c r="M3" s="503" t="s">
        <v>10</v>
      </c>
      <c r="N3" s="491" t="s">
        <v>77</v>
      </c>
      <c r="O3" s="489" t="s">
        <v>72</v>
      </c>
      <c r="P3" s="489" t="s">
        <v>78</v>
      </c>
      <c r="Q3" s="489" t="s">
        <v>79</v>
      </c>
      <c r="R3" s="489" t="s">
        <v>111</v>
      </c>
      <c r="S3" s="489" t="s">
        <v>63</v>
      </c>
      <c r="T3" s="483" t="s">
        <v>10</v>
      </c>
      <c r="U3" s="491" t="s">
        <v>81</v>
      </c>
      <c r="V3" s="489" t="s">
        <v>82</v>
      </c>
      <c r="W3" s="489" t="s">
        <v>65</v>
      </c>
      <c r="X3" s="489" t="s">
        <v>14</v>
      </c>
      <c r="Y3" s="483" t="s">
        <v>10</v>
      </c>
      <c r="Z3" s="491" t="s">
        <v>65</v>
      </c>
      <c r="AA3" s="489" t="s">
        <v>14</v>
      </c>
      <c r="AB3" s="489" t="s">
        <v>87</v>
      </c>
      <c r="AC3" s="489" t="s">
        <v>88</v>
      </c>
      <c r="AD3" s="483" t="s">
        <v>10</v>
      </c>
      <c r="AE3" s="487" t="s">
        <v>90</v>
      </c>
      <c r="AF3" s="489" t="s">
        <v>89</v>
      </c>
      <c r="AG3" s="489" t="s">
        <v>14</v>
      </c>
      <c r="AH3" s="483" t="s">
        <v>10</v>
      </c>
      <c r="AI3" s="485"/>
    </row>
    <row r="4" spans="1:35" ht="29.25" customHeight="1" thickBot="1" x14ac:dyDescent="0.3">
      <c r="A4" s="495"/>
      <c r="B4" s="498"/>
      <c r="C4" s="500"/>
      <c r="D4" s="502"/>
      <c r="E4" s="502"/>
      <c r="F4" s="502"/>
      <c r="G4" s="502"/>
      <c r="H4" s="502"/>
      <c r="I4" s="502"/>
      <c r="J4" s="504"/>
      <c r="K4" s="500"/>
      <c r="L4" s="502"/>
      <c r="M4" s="504"/>
      <c r="N4" s="492"/>
      <c r="O4" s="490"/>
      <c r="P4" s="490"/>
      <c r="Q4" s="490"/>
      <c r="R4" s="490"/>
      <c r="S4" s="490"/>
      <c r="T4" s="484"/>
      <c r="U4" s="492"/>
      <c r="V4" s="490"/>
      <c r="W4" s="490"/>
      <c r="X4" s="490"/>
      <c r="Y4" s="484"/>
      <c r="Z4" s="492"/>
      <c r="AA4" s="490"/>
      <c r="AB4" s="490"/>
      <c r="AC4" s="490"/>
      <c r="AD4" s="484"/>
      <c r="AE4" s="488"/>
      <c r="AF4" s="490"/>
      <c r="AG4" s="490"/>
      <c r="AH4" s="484"/>
      <c r="AI4" s="486"/>
    </row>
    <row r="5" spans="1:35" ht="15.75" hidden="1" customHeight="1" thickBot="1" x14ac:dyDescent="0.3">
      <c r="A5" s="158" t="s">
        <v>3</v>
      </c>
      <c r="B5" s="205">
        <v>43465</v>
      </c>
      <c r="C5" s="386"/>
      <c r="D5" s="287"/>
      <c r="E5" s="287"/>
      <c r="F5" s="287"/>
      <c r="G5" s="287"/>
      <c r="H5" s="287"/>
      <c r="I5" s="287"/>
      <c r="J5" s="382"/>
      <c r="K5" s="386"/>
      <c r="L5" s="287"/>
      <c r="M5" s="271"/>
      <c r="N5" s="294"/>
      <c r="O5" s="241"/>
      <c r="P5" s="241"/>
      <c r="Q5" s="241"/>
      <c r="R5" s="241"/>
      <c r="S5" s="241"/>
      <c r="T5" s="271"/>
      <c r="U5" s="294"/>
      <c r="V5" s="241"/>
      <c r="W5" s="241"/>
      <c r="X5" s="241"/>
      <c r="Y5" s="271"/>
      <c r="Z5" s="315"/>
      <c r="AA5" s="241"/>
      <c r="AB5" s="241"/>
      <c r="AC5" s="241"/>
      <c r="AD5" s="271"/>
      <c r="AE5" s="315">
        <v>259</v>
      </c>
      <c r="AF5" s="241"/>
      <c r="AG5" s="241"/>
      <c r="AH5" s="271"/>
      <c r="AI5" s="208">
        <f t="shared" ref="AI5" si="0">SUM(O5:AH5)</f>
        <v>259</v>
      </c>
    </row>
    <row r="6" spans="1:35" ht="17.25" thickBot="1" x14ac:dyDescent="0.3">
      <c r="A6" s="158" t="s">
        <v>4</v>
      </c>
      <c r="B6" s="387">
        <f t="shared" ref="B6:B11" si="1">B5+1</f>
        <v>43466</v>
      </c>
      <c r="C6" s="392">
        <v>397</v>
      </c>
      <c r="D6" s="393">
        <v>426</v>
      </c>
      <c r="E6" s="393">
        <v>886</v>
      </c>
      <c r="F6" s="393">
        <v>195</v>
      </c>
      <c r="G6" s="394">
        <v>463</v>
      </c>
      <c r="H6" s="395">
        <v>153</v>
      </c>
      <c r="I6" s="393">
        <v>276</v>
      </c>
      <c r="J6" s="293"/>
      <c r="K6" s="292">
        <v>296</v>
      </c>
      <c r="L6" s="393">
        <v>59</v>
      </c>
      <c r="M6" s="293">
        <v>294</v>
      </c>
      <c r="N6" s="292">
        <v>8</v>
      </c>
      <c r="O6" s="243">
        <v>46</v>
      </c>
      <c r="P6" s="243">
        <v>50</v>
      </c>
      <c r="Q6" s="243"/>
      <c r="R6" s="243">
        <v>41</v>
      </c>
      <c r="S6" s="243">
        <v>157</v>
      </c>
      <c r="T6" s="293">
        <v>189</v>
      </c>
      <c r="U6" s="292">
        <v>181</v>
      </c>
      <c r="V6" s="243">
        <v>244</v>
      </c>
      <c r="W6" s="243">
        <v>174</v>
      </c>
      <c r="X6" s="243">
        <v>171</v>
      </c>
      <c r="Y6" s="293">
        <v>188</v>
      </c>
      <c r="Z6" s="396">
        <v>180</v>
      </c>
      <c r="AA6" s="243">
        <v>38</v>
      </c>
      <c r="AB6" s="243">
        <v>67</v>
      </c>
      <c r="AC6" s="243">
        <v>38</v>
      </c>
      <c r="AD6" s="293">
        <v>73</v>
      </c>
      <c r="AE6" s="392">
        <v>259</v>
      </c>
      <c r="AF6" s="243">
        <v>145</v>
      </c>
      <c r="AG6" s="243">
        <v>175</v>
      </c>
      <c r="AH6" s="276">
        <v>167</v>
      </c>
      <c r="AI6" s="208">
        <f t="shared" ref="AI6:AI11" si="2">SUM(C6:AH6)</f>
        <v>6036</v>
      </c>
    </row>
    <row r="7" spans="1:35" ht="15.75" thickBot="1" x14ac:dyDescent="0.3">
      <c r="A7" s="158" t="s">
        <v>5</v>
      </c>
      <c r="B7" s="387">
        <f t="shared" si="1"/>
        <v>43467</v>
      </c>
      <c r="C7" s="397">
        <v>707</v>
      </c>
      <c r="D7" s="398">
        <v>659</v>
      </c>
      <c r="E7" s="398">
        <v>722</v>
      </c>
      <c r="F7" s="398">
        <v>381</v>
      </c>
      <c r="G7" s="399">
        <v>934</v>
      </c>
      <c r="H7" s="400">
        <v>448</v>
      </c>
      <c r="I7" s="398">
        <v>215</v>
      </c>
      <c r="J7" s="268"/>
      <c r="K7" s="281">
        <v>517</v>
      </c>
      <c r="L7" s="398">
        <v>145</v>
      </c>
      <c r="M7" s="268">
        <v>511</v>
      </c>
      <c r="N7" s="281">
        <v>122</v>
      </c>
      <c r="O7" s="240">
        <v>53</v>
      </c>
      <c r="P7" s="240">
        <v>148</v>
      </c>
      <c r="Q7" s="240"/>
      <c r="R7" s="240">
        <v>81</v>
      </c>
      <c r="S7" s="240">
        <v>232</v>
      </c>
      <c r="T7" s="268">
        <v>351</v>
      </c>
      <c r="U7" s="281">
        <v>400</v>
      </c>
      <c r="V7" s="240">
        <v>318</v>
      </c>
      <c r="W7" s="240">
        <v>313</v>
      </c>
      <c r="X7" s="240">
        <v>395</v>
      </c>
      <c r="Y7" s="268">
        <v>549</v>
      </c>
      <c r="Z7" s="281">
        <v>304</v>
      </c>
      <c r="AA7" s="240">
        <v>184</v>
      </c>
      <c r="AB7" s="240">
        <v>141</v>
      </c>
      <c r="AC7" s="240">
        <v>53</v>
      </c>
      <c r="AD7" s="268">
        <v>117</v>
      </c>
      <c r="AE7" s="397">
        <v>444</v>
      </c>
      <c r="AF7" s="240">
        <v>221</v>
      </c>
      <c r="AG7" s="240">
        <v>324</v>
      </c>
      <c r="AH7" s="270">
        <v>337</v>
      </c>
      <c r="AI7" s="208">
        <f t="shared" si="2"/>
        <v>10326</v>
      </c>
    </row>
    <row r="8" spans="1:35" ht="15.75" thickBot="1" x14ac:dyDescent="0.3">
      <c r="A8" s="158" t="s">
        <v>6</v>
      </c>
      <c r="B8" s="387">
        <f t="shared" si="1"/>
        <v>43468</v>
      </c>
      <c r="C8" s="397">
        <v>738</v>
      </c>
      <c r="D8" s="398">
        <v>749</v>
      </c>
      <c r="E8" s="398">
        <v>724</v>
      </c>
      <c r="F8" s="398">
        <v>341</v>
      </c>
      <c r="G8" s="399">
        <v>945</v>
      </c>
      <c r="H8" s="400">
        <v>453</v>
      </c>
      <c r="I8" s="398">
        <v>256</v>
      </c>
      <c r="J8" s="268"/>
      <c r="K8" s="281">
        <v>534</v>
      </c>
      <c r="L8" s="398">
        <v>166</v>
      </c>
      <c r="M8" s="268">
        <v>595</v>
      </c>
      <c r="N8" s="281">
        <v>155</v>
      </c>
      <c r="O8" s="240">
        <v>90</v>
      </c>
      <c r="P8" s="240">
        <v>381</v>
      </c>
      <c r="Q8" s="240"/>
      <c r="R8" s="240">
        <v>125</v>
      </c>
      <c r="S8" s="240">
        <v>230</v>
      </c>
      <c r="T8" s="268">
        <v>599</v>
      </c>
      <c r="U8" s="281">
        <v>372</v>
      </c>
      <c r="V8" s="240">
        <v>308</v>
      </c>
      <c r="W8" s="240">
        <v>325</v>
      </c>
      <c r="X8" s="240">
        <v>440</v>
      </c>
      <c r="Y8" s="268">
        <v>544</v>
      </c>
      <c r="Z8" s="281">
        <v>288</v>
      </c>
      <c r="AA8" s="240">
        <v>186</v>
      </c>
      <c r="AB8" s="240">
        <v>156</v>
      </c>
      <c r="AC8" s="240">
        <v>39</v>
      </c>
      <c r="AD8" s="268">
        <v>154</v>
      </c>
      <c r="AE8" s="397">
        <v>465</v>
      </c>
      <c r="AF8" s="240">
        <v>233</v>
      </c>
      <c r="AG8" s="240">
        <v>295</v>
      </c>
      <c r="AH8" s="270">
        <v>379</v>
      </c>
      <c r="AI8" s="208">
        <f t="shared" si="2"/>
        <v>11265</v>
      </c>
    </row>
    <row r="9" spans="1:35" ht="15.75" thickBot="1" x14ac:dyDescent="0.3">
      <c r="A9" s="158" t="s">
        <v>0</v>
      </c>
      <c r="B9" s="387">
        <f t="shared" si="1"/>
        <v>43469</v>
      </c>
      <c r="C9" s="397">
        <v>720</v>
      </c>
      <c r="D9" s="398">
        <v>786</v>
      </c>
      <c r="E9" s="398">
        <v>654</v>
      </c>
      <c r="F9" s="398">
        <v>322</v>
      </c>
      <c r="G9" s="399">
        <v>949</v>
      </c>
      <c r="H9" s="400">
        <v>447</v>
      </c>
      <c r="I9" s="398">
        <v>210</v>
      </c>
      <c r="J9" s="268"/>
      <c r="K9" s="281">
        <v>536</v>
      </c>
      <c r="L9" s="398">
        <v>133</v>
      </c>
      <c r="M9" s="268">
        <v>578</v>
      </c>
      <c r="N9" s="281">
        <v>125</v>
      </c>
      <c r="O9" s="240">
        <v>56</v>
      </c>
      <c r="P9" s="240">
        <v>141</v>
      </c>
      <c r="Q9" s="240"/>
      <c r="R9" s="240">
        <v>75</v>
      </c>
      <c r="S9" s="240">
        <v>198</v>
      </c>
      <c r="T9" s="268">
        <v>372</v>
      </c>
      <c r="U9" s="281">
        <v>401</v>
      </c>
      <c r="V9" s="240">
        <v>281</v>
      </c>
      <c r="W9" s="240">
        <v>360</v>
      </c>
      <c r="X9" s="240">
        <v>408</v>
      </c>
      <c r="Y9" s="268">
        <v>488</v>
      </c>
      <c r="Z9" s="281">
        <v>275</v>
      </c>
      <c r="AA9" s="240">
        <v>183</v>
      </c>
      <c r="AB9" s="240">
        <v>129</v>
      </c>
      <c r="AC9" s="240">
        <v>38</v>
      </c>
      <c r="AD9" s="268">
        <v>126</v>
      </c>
      <c r="AE9" s="397">
        <v>457</v>
      </c>
      <c r="AF9" s="240">
        <v>254</v>
      </c>
      <c r="AG9" s="240">
        <v>294</v>
      </c>
      <c r="AH9" s="270">
        <v>360</v>
      </c>
      <c r="AI9" s="208">
        <f t="shared" si="2"/>
        <v>10356</v>
      </c>
    </row>
    <row r="10" spans="1:35" ht="15.75" thickBot="1" x14ac:dyDescent="0.3">
      <c r="A10" s="158" t="s">
        <v>1</v>
      </c>
      <c r="B10" s="387">
        <f t="shared" si="1"/>
        <v>43470</v>
      </c>
      <c r="C10" s="397">
        <v>133</v>
      </c>
      <c r="D10" s="398">
        <v>264</v>
      </c>
      <c r="E10" s="398">
        <v>195</v>
      </c>
      <c r="F10" s="398">
        <v>13</v>
      </c>
      <c r="G10" s="399">
        <v>222</v>
      </c>
      <c r="H10" s="400">
        <v>118</v>
      </c>
      <c r="I10" s="398">
        <v>123</v>
      </c>
      <c r="J10" s="268"/>
      <c r="K10" s="281">
        <v>183</v>
      </c>
      <c r="L10" s="398">
        <v>19</v>
      </c>
      <c r="M10" s="268">
        <v>147</v>
      </c>
      <c r="N10" s="281">
        <v>42</v>
      </c>
      <c r="O10" s="240">
        <v>6</v>
      </c>
      <c r="P10" s="240">
        <v>26</v>
      </c>
      <c r="Q10" s="240"/>
      <c r="R10" s="240">
        <v>17</v>
      </c>
      <c r="S10" s="240">
        <v>43</v>
      </c>
      <c r="T10" s="268">
        <v>59</v>
      </c>
      <c r="U10" s="281">
        <v>108</v>
      </c>
      <c r="V10" s="240">
        <v>93</v>
      </c>
      <c r="W10" s="240">
        <v>112</v>
      </c>
      <c r="X10" s="240">
        <v>116</v>
      </c>
      <c r="Y10" s="268">
        <v>62</v>
      </c>
      <c r="Z10" s="281">
        <v>124</v>
      </c>
      <c r="AA10" s="240">
        <v>23</v>
      </c>
      <c r="AB10" s="240">
        <v>44</v>
      </c>
      <c r="AC10" s="240">
        <v>18</v>
      </c>
      <c r="AD10" s="268">
        <v>15</v>
      </c>
      <c r="AE10" s="397">
        <v>98</v>
      </c>
      <c r="AF10" s="240">
        <v>55</v>
      </c>
      <c r="AG10" s="240">
        <v>37</v>
      </c>
      <c r="AH10" s="270">
        <v>50</v>
      </c>
      <c r="AI10" s="208">
        <f t="shared" si="2"/>
        <v>2565</v>
      </c>
    </row>
    <row r="11" spans="1:35" ht="15.75" thickBot="1" x14ac:dyDescent="0.3">
      <c r="A11" s="158" t="s">
        <v>2</v>
      </c>
      <c r="B11" s="387">
        <f t="shared" si="1"/>
        <v>43471</v>
      </c>
      <c r="C11" s="397">
        <v>335</v>
      </c>
      <c r="D11" s="398">
        <v>411</v>
      </c>
      <c r="E11" s="398">
        <v>613</v>
      </c>
      <c r="F11" s="398">
        <v>191</v>
      </c>
      <c r="G11" s="399">
        <v>420</v>
      </c>
      <c r="H11" s="400">
        <v>167</v>
      </c>
      <c r="I11" s="398">
        <v>332</v>
      </c>
      <c r="J11" s="268"/>
      <c r="K11" s="281">
        <v>335</v>
      </c>
      <c r="L11" s="398">
        <v>55</v>
      </c>
      <c r="M11" s="268">
        <v>301</v>
      </c>
      <c r="N11" s="281">
        <v>76</v>
      </c>
      <c r="O11" s="240">
        <v>6</v>
      </c>
      <c r="P11" s="240">
        <v>54</v>
      </c>
      <c r="Q11" s="240"/>
      <c r="R11" s="240">
        <v>29</v>
      </c>
      <c r="S11" s="240">
        <v>108</v>
      </c>
      <c r="T11" s="268">
        <v>144</v>
      </c>
      <c r="U11" s="281">
        <v>166</v>
      </c>
      <c r="V11" s="240">
        <v>230</v>
      </c>
      <c r="W11" s="240">
        <v>181</v>
      </c>
      <c r="X11" s="240">
        <v>203</v>
      </c>
      <c r="Y11" s="268">
        <v>127</v>
      </c>
      <c r="Z11" s="281">
        <v>186</v>
      </c>
      <c r="AA11" s="240">
        <v>48</v>
      </c>
      <c r="AB11" s="240">
        <v>53</v>
      </c>
      <c r="AC11" s="240">
        <v>28</v>
      </c>
      <c r="AD11" s="268">
        <v>32</v>
      </c>
      <c r="AE11" s="397">
        <v>127</v>
      </c>
      <c r="AF11" s="240">
        <v>108</v>
      </c>
      <c r="AG11" s="240">
        <v>100</v>
      </c>
      <c r="AH11" s="270">
        <v>107</v>
      </c>
      <c r="AI11" s="208">
        <f t="shared" si="2"/>
        <v>5273</v>
      </c>
    </row>
    <row r="12" spans="1:35" ht="15.75" thickBot="1" x14ac:dyDescent="0.3">
      <c r="A12" s="167" t="s">
        <v>21</v>
      </c>
      <c r="B12" s="521" t="s">
        <v>24</v>
      </c>
      <c r="C12" s="282">
        <f t="shared" ref="C12:I12" si="3">SUM(C5:C11)</f>
        <v>3030</v>
      </c>
      <c r="D12" s="260">
        <f t="shared" si="3"/>
        <v>3295</v>
      </c>
      <c r="E12" s="260">
        <f t="shared" si="3"/>
        <v>3794</v>
      </c>
      <c r="F12" s="260">
        <f t="shared" si="3"/>
        <v>1443</v>
      </c>
      <c r="G12" s="283">
        <f t="shared" si="3"/>
        <v>3933</v>
      </c>
      <c r="H12" s="383">
        <f t="shared" si="3"/>
        <v>1786</v>
      </c>
      <c r="I12" s="260">
        <f t="shared" si="3"/>
        <v>1412</v>
      </c>
      <c r="J12" s="343">
        <f t="shared" ref="J12" si="4">SUM(J5:J11)</f>
        <v>0</v>
      </c>
      <c r="K12" s="282">
        <f t="shared" ref="K12:P12" si="5">SUM(K5:K11)</f>
        <v>2401</v>
      </c>
      <c r="L12" s="260">
        <f t="shared" si="5"/>
        <v>577</v>
      </c>
      <c r="M12" s="343">
        <f t="shared" si="5"/>
        <v>2426</v>
      </c>
      <c r="N12" s="282">
        <f t="shared" si="5"/>
        <v>528</v>
      </c>
      <c r="O12" s="260">
        <f t="shared" si="5"/>
        <v>257</v>
      </c>
      <c r="P12" s="260">
        <f t="shared" si="5"/>
        <v>800</v>
      </c>
      <c r="Q12" s="260">
        <f t="shared" ref="Q12" si="6">SUM(Q5:Q11)</f>
        <v>0</v>
      </c>
      <c r="R12" s="260">
        <f t="shared" ref="R12:AI12" si="7">SUM(R5:R11)</f>
        <v>368</v>
      </c>
      <c r="S12" s="260">
        <f t="shared" si="7"/>
        <v>968</v>
      </c>
      <c r="T12" s="343">
        <f t="shared" si="7"/>
        <v>1714</v>
      </c>
      <c r="U12" s="282">
        <f t="shared" si="7"/>
        <v>1628</v>
      </c>
      <c r="V12" s="260">
        <f t="shared" si="7"/>
        <v>1474</v>
      </c>
      <c r="W12" s="260">
        <f t="shared" si="7"/>
        <v>1465</v>
      </c>
      <c r="X12" s="260">
        <f t="shared" si="7"/>
        <v>1733</v>
      </c>
      <c r="Y12" s="343">
        <f t="shared" si="7"/>
        <v>1958</v>
      </c>
      <c r="Z12" s="282">
        <f t="shared" si="7"/>
        <v>1357</v>
      </c>
      <c r="AA12" s="260">
        <f t="shared" si="7"/>
        <v>662</v>
      </c>
      <c r="AB12" s="260">
        <f t="shared" si="7"/>
        <v>590</v>
      </c>
      <c r="AC12" s="260">
        <f t="shared" si="7"/>
        <v>214</v>
      </c>
      <c r="AD12" s="343">
        <f t="shared" si="7"/>
        <v>517</v>
      </c>
      <c r="AE12" s="282">
        <f t="shared" si="7"/>
        <v>2109</v>
      </c>
      <c r="AF12" s="260">
        <f t="shared" si="7"/>
        <v>1016</v>
      </c>
      <c r="AG12" s="260">
        <f t="shared" si="7"/>
        <v>1225</v>
      </c>
      <c r="AH12" s="283">
        <f t="shared" si="7"/>
        <v>1400</v>
      </c>
      <c r="AI12" s="168">
        <f t="shared" si="7"/>
        <v>46080</v>
      </c>
    </row>
    <row r="13" spans="1:35" ht="15.75" thickBot="1" x14ac:dyDescent="0.3">
      <c r="A13" s="116" t="s">
        <v>23</v>
      </c>
      <c r="B13" s="522"/>
      <c r="C13" s="282">
        <f>AVERAGE(C5:C11)</f>
        <v>505</v>
      </c>
      <c r="D13" s="260">
        <f t="shared" ref="D13:M13" si="8">AVERAGE(D5:D11)</f>
        <v>549.16666666666663</v>
      </c>
      <c r="E13" s="260">
        <f t="shared" si="8"/>
        <v>632.33333333333337</v>
      </c>
      <c r="F13" s="260">
        <f t="shared" si="8"/>
        <v>240.5</v>
      </c>
      <c r="G13" s="283">
        <f t="shared" si="8"/>
        <v>655.5</v>
      </c>
      <c r="H13" s="383">
        <f t="shared" si="8"/>
        <v>297.66666666666669</v>
      </c>
      <c r="I13" s="260">
        <f t="shared" si="8"/>
        <v>235.33333333333334</v>
      </c>
      <c r="J13" s="343" t="e">
        <f t="shared" si="8"/>
        <v>#DIV/0!</v>
      </c>
      <c r="K13" s="282">
        <f t="shared" si="8"/>
        <v>400.16666666666669</v>
      </c>
      <c r="L13" s="260">
        <f t="shared" si="8"/>
        <v>96.166666666666671</v>
      </c>
      <c r="M13" s="343">
        <f t="shared" si="8"/>
        <v>404.33333333333331</v>
      </c>
      <c r="N13" s="282">
        <f t="shared" ref="N13:T13" si="9">AVERAGE(N5:N11)</f>
        <v>88</v>
      </c>
      <c r="O13" s="260">
        <f t="shared" si="9"/>
        <v>42.833333333333336</v>
      </c>
      <c r="P13" s="260">
        <f t="shared" si="9"/>
        <v>133.33333333333334</v>
      </c>
      <c r="Q13" s="260" t="e">
        <f t="shared" si="9"/>
        <v>#DIV/0!</v>
      </c>
      <c r="R13" s="260">
        <f t="shared" si="9"/>
        <v>61.333333333333336</v>
      </c>
      <c r="S13" s="260">
        <f t="shared" si="9"/>
        <v>161.33333333333334</v>
      </c>
      <c r="T13" s="343">
        <f t="shared" si="9"/>
        <v>285.66666666666669</v>
      </c>
      <c r="U13" s="282">
        <f t="shared" ref="U13:AH13" si="10">AVERAGE(U5:U11)</f>
        <v>271.33333333333331</v>
      </c>
      <c r="V13" s="260">
        <f t="shared" si="10"/>
        <v>245.66666666666666</v>
      </c>
      <c r="W13" s="260">
        <f t="shared" si="10"/>
        <v>244.16666666666666</v>
      </c>
      <c r="X13" s="260">
        <f t="shared" si="10"/>
        <v>288.83333333333331</v>
      </c>
      <c r="Y13" s="343">
        <f t="shared" si="10"/>
        <v>326.33333333333331</v>
      </c>
      <c r="Z13" s="282">
        <f t="shared" si="10"/>
        <v>226.16666666666666</v>
      </c>
      <c r="AA13" s="260">
        <f t="shared" si="10"/>
        <v>110.33333333333333</v>
      </c>
      <c r="AB13" s="260">
        <f t="shared" si="10"/>
        <v>98.333333333333329</v>
      </c>
      <c r="AC13" s="260">
        <f t="shared" si="10"/>
        <v>35.666666666666664</v>
      </c>
      <c r="AD13" s="343">
        <f t="shared" si="10"/>
        <v>86.166666666666671</v>
      </c>
      <c r="AE13" s="282">
        <f t="shared" si="10"/>
        <v>301.28571428571428</v>
      </c>
      <c r="AF13" s="260">
        <f t="shared" si="10"/>
        <v>169.33333333333334</v>
      </c>
      <c r="AG13" s="260">
        <f t="shared" si="10"/>
        <v>204.16666666666666</v>
      </c>
      <c r="AH13" s="283">
        <f t="shared" si="10"/>
        <v>233.33333333333334</v>
      </c>
      <c r="AI13" s="169">
        <f>AVERAGE(AI5:AI11)</f>
        <v>6582.8571428571431</v>
      </c>
    </row>
    <row r="14" spans="1:35" ht="15.75" thickBot="1" x14ac:dyDescent="0.3">
      <c r="A14" s="32" t="s">
        <v>20</v>
      </c>
      <c r="B14" s="522"/>
      <c r="C14" s="284">
        <f>SUM(C6:C9)</f>
        <v>2562</v>
      </c>
      <c r="D14" s="261">
        <f t="shared" ref="D14:AI14" si="11">SUM(D5:D9)</f>
        <v>2620</v>
      </c>
      <c r="E14" s="261">
        <f t="shared" si="11"/>
        <v>2986</v>
      </c>
      <c r="F14" s="261">
        <f t="shared" si="11"/>
        <v>1239</v>
      </c>
      <c r="G14" s="285">
        <f t="shared" si="11"/>
        <v>3291</v>
      </c>
      <c r="H14" s="384">
        <f t="shared" si="11"/>
        <v>1501</v>
      </c>
      <c r="I14" s="261">
        <f t="shared" si="11"/>
        <v>957</v>
      </c>
      <c r="J14" s="344">
        <f t="shared" si="11"/>
        <v>0</v>
      </c>
      <c r="K14" s="284">
        <f t="shared" si="11"/>
        <v>1883</v>
      </c>
      <c r="L14" s="261">
        <f t="shared" si="11"/>
        <v>503</v>
      </c>
      <c r="M14" s="344">
        <f t="shared" si="11"/>
        <v>1978</v>
      </c>
      <c r="N14" s="284">
        <f t="shared" si="11"/>
        <v>410</v>
      </c>
      <c r="O14" s="261">
        <f t="shared" si="11"/>
        <v>245</v>
      </c>
      <c r="P14" s="261">
        <f t="shared" si="11"/>
        <v>720</v>
      </c>
      <c r="Q14" s="261">
        <f t="shared" si="11"/>
        <v>0</v>
      </c>
      <c r="R14" s="261">
        <f t="shared" si="11"/>
        <v>322</v>
      </c>
      <c r="S14" s="261">
        <f t="shared" si="11"/>
        <v>817</v>
      </c>
      <c r="T14" s="344">
        <f t="shared" si="11"/>
        <v>1511</v>
      </c>
      <c r="U14" s="284">
        <f t="shared" si="11"/>
        <v>1354</v>
      </c>
      <c r="V14" s="261">
        <f t="shared" si="11"/>
        <v>1151</v>
      </c>
      <c r="W14" s="261">
        <f t="shared" si="11"/>
        <v>1172</v>
      </c>
      <c r="X14" s="261">
        <f t="shared" si="11"/>
        <v>1414</v>
      </c>
      <c r="Y14" s="344">
        <f t="shared" si="11"/>
        <v>1769</v>
      </c>
      <c r="Z14" s="284">
        <f t="shared" si="11"/>
        <v>1047</v>
      </c>
      <c r="AA14" s="261">
        <f t="shared" si="11"/>
        <v>591</v>
      </c>
      <c r="AB14" s="261">
        <f t="shared" si="11"/>
        <v>493</v>
      </c>
      <c r="AC14" s="261">
        <f t="shared" si="11"/>
        <v>168</v>
      </c>
      <c r="AD14" s="344">
        <f t="shared" si="11"/>
        <v>470</v>
      </c>
      <c r="AE14" s="284">
        <f t="shared" si="11"/>
        <v>1884</v>
      </c>
      <c r="AF14" s="261">
        <f t="shared" si="11"/>
        <v>853</v>
      </c>
      <c r="AG14" s="261">
        <f t="shared" si="11"/>
        <v>1088</v>
      </c>
      <c r="AH14" s="285">
        <f t="shared" si="11"/>
        <v>1243</v>
      </c>
      <c r="AI14" s="170">
        <f t="shared" si="11"/>
        <v>38242</v>
      </c>
    </row>
    <row r="15" spans="1:35" ht="15.75" thickBot="1" x14ac:dyDescent="0.3">
      <c r="A15" s="32" t="s">
        <v>22</v>
      </c>
      <c r="B15" s="522"/>
      <c r="C15" s="284">
        <f>AVERAGE(C5:C9)</f>
        <v>640.5</v>
      </c>
      <c r="D15" s="261">
        <f t="shared" ref="D15:M15" si="12">AVERAGE(D5:D9)</f>
        <v>655</v>
      </c>
      <c r="E15" s="261">
        <f t="shared" si="12"/>
        <v>746.5</v>
      </c>
      <c r="F15" s="261">
        <f t="shared" si="12"/>
        <v>309.75</v>
      </c>
      <c r="G15" s="285">
        <f t="shared" si="12"/>
        <v>822.75</v>
      </c>
      <c r="H15" s="384">
        <f t="shared" si="12"/>
        <v>375.25</v>
      </c>
      <c r="I15" s="261">
        <f t="shared" si="12"/>
        <v>239.25</v>
      </c>
      <c r="J15" s="344" t="e">
        <f t="shared" si="12"/>
        <v>#DIV/0!</v>
      </c>
      <c r="K15" s="284">
        <f t="shared" si="12"/>
        <v>470.75</v>
      </c>
      <c r="L15" s="261">
        <f t="shared" si="12"/>
        <v>125.75</v>
      </c>
      <c r="M15" s="344">
        <f t="shared" si="12"/>
        <v>494.5</v>
      </c>
      <c r="N15" s="284">
        <f t="shared" ref="N15:T15" si="13">AVERAGE(N5:N9)</f>
        <v>102.5</v>
      </c>
      <c r="O15" s="261">
        <f t="shared" si="13"/>
        <v>61.25</v>
      </c>
      <c r="P15" s="261">
        <f t="shared" si="13"/>
        <v>180</v>
      </c>
      <c r="Q15" s="261" t="e">
        <f t="shared" si="13"/>
        <v>#DIV/0!</v>
      </c>
      <c r="R15" s="261">
        <f t="shared" si="13"/>
        <v>80.5</v>
      </c>
      <c r="S15" s="261">
        <f t="shared" si="13"/>
        <v>204.25</v>
      </c>
      <c r="T15" s="344">
        <f t="shared" si="13"/>
        <v>377.75</v>
      </c>
      <c r="U15" s="284">
        <f t="shared" ref="U15:AH15" si="14">AVERAGE(U5:U9)</f>
        <v>338.5</v>
      </c>
      <c r="V15" s="261">
        <f t="shared" si="14"/>
        <v>287.75</v>
      </c>
      <c r="W15" s="261">
        <f t="shared" si="14"/>
        <v>293</v>
      </c>
      <c r="X15" s="261">
        <f t="shared" si="14"/>
        <v>353.5</v>
      </c>
      <c r="Y15" s="344">
        <f t="shared" si="14"/>
        <v>442.25</v>
      </c>
      <c r="Z15" s="284">
        <f t="shared" si="14"/>
        <v>261.75</v>
      </c>
      <c r="AA15" s="261">
        <f t="shared" si="14"/>
        <v>147.75</v>
      </c>
      <c r="AB15" s="261">
        <f t="shared" si="14"/>
        <v>123.25</v>
      </c>
      <c r="AC15" s="261">
        <f t="shared" si="14"/>
        <v>42</v>
      </c>
      <c r="AD15" s="344">
        <f t="shared" si="14"/>
        <v>117.5</v>
      </c>
      <c r="AE15" s="284">
        <f t="shared" si="14"/>
        <v>376.8</v>
      </c>
      <c r="AF15" s="261">
        <f t="shared" si="14"/>
        <v>213.25</v>
      </c>
      <c r="AG15" s="261">
        <f t="shared" si="14"/>
        <v>272</v>
      </c>
      <c r="AH15" s="285">
        <f t="shared" si="14"/>
        <v>310.75</v>
      </c>
      <c r="AI15" s="171">
        <f>AVERAGE(AI5:AI9)</f>
        <v>7648.4</v>
      </c>
    </row>
    <row r="16" spans="1:35" ht="15.75" thickBot="1" x14ac:dyDescent="0.3">
      <c r="A16" s="158" t="s">
        <v>3</v>
      </c>
      <c r="B16" s="387">
        <f>B11+1</f>
        <v>43472</v>
      </c>
      <c r="C16" s="397">
        <v>742</v>
      </c>
      <c r="D16" s="398">
        <v>697</v>
      </c>
      <c r="E16" s="240">
        <v>446</v>
      </c>
      <c r="F16" s="240">
        <v>351</v>
      </c>
      <c r="G16" s="270">
        <v>962</v>
      </c>
      <c r="H16" s="306">
        <v>504</v>
      </c>
      <c r="I16" s="240">
        <v>190</v>
      </c>
      <c r="J16" s="268"/>
      <c r="K16" s="281">
        <v>462</v>
      </c>
      <c r="L16" s="240">
        <v>142</v>
      </c>
      <c r="M16" s="268">
        <v>513</v>
      </c>
      <c r="N16" s="281">
        <v>89</v>
      </c>
      <c r="O16" s="240">
        <v>54</v>
      </c>
      <c r="P16" s="240">
        <v>122</v>
      </c>
      <c r="Q16" s="240"/>
      <c r="R16" s="240">
        <v>87</v>
      </c>
      <c r="S16" s="240">
        <v>176</v>
      </c>
      <c r="T16" s="268">
        <v>317</v>
      </c>
      <c r="U16" s="281">
        <v>339</v>
      </c>
      <c r="V16" s="240">
        <v>262</v>
      </c>
      <c r="W16" s="240">
        <v>298</v>
      </c>
      <c r="X16" s="240">
        <v>428</v>
      </c>
      <c r="Y16" s="268">
        <v>469</v>
      </c>
      <c r="Z16" s="281">
        <v>280</v>
      </c>
      <c r="AA16" s="240">
        <v>157</v>
      </c>
      <c r="AB16" s="240">
        <v>166</v>
      </c>
      <c r="AC16" s="240">
        <v>33</v>
      </c>
      <c r="AD16" s="268">
        <v>116</v>
      </c>
      <c r="AE16" s="281">
        <v>459</v>
      </c>
      <c r="AF16" s="240">
        <v>245</v>
      </c>
      <c r="AG16" s="240">
        <v>284</v>
      </c>
      <c r="AH16" s="270">
        <v>387</v>
      </c>
      <c r="AI16" s="208">
        <f t="shared" ref="AI16:AI22" si="15">SUM(C16:AH16)</f>
        <v>9777</v>
      </c>
    </row>
    <row r="17" spans="1:35" ht="15.75" thickBot="1" x14ac:dyDescent="0.3">
      <c r="A17" s="158" t="s">
        <v>4</v>
      </c>
      <c r="B17" s="388">
        <f t="shared" ref="B17:B22" si="16">B16+1</f>
        <v>43473</v>
      </c>
      <c r="C17" s="397">
        <v>705</v>
      </c>
      <c r="D17" s="398">
        <v>730</v>
      </c>
      <c r="E17" s="240">
        <v>486</v>
      </c>
      <c r="F17" s="240">
        <v>392</v>
      </c>
      <c r="G17" s="270">
        <v>936</v>
      </c>
      <c r="H17" s="306">
        <v>469</v>
      </c>
      <c r="I17" s="240">
        <v>254</v>
      </c>
      <c r="J17" s="268"/>
      <c r="K17" s="281">
        <v>454</v>
      </c>
      <c r="L17" s="240">
        <v>134</v>
      </c>
      <c r="M17" s="268">
        <v>496</v>
      </c>
      <c r="N17" s="281">
        <v>99</v>
      </c>
      <c r="O17" s="240">
        <v>57</v>
      </c>
      <c r="P17" s="240">
        <v>106</v>
      </c>
      <c r="Q17" s="240"/>
      <c r="R17" s="240">
        <v>80</v>
      </c>
      <c r="S17" s="240">
        <v>164</v>
      </c>
      <c r="T17" s="268">
        <v>315</v>
      </c>
      <c r="U17" s="286">
        <v>384</v>
      </c>
      <c r="V17" s="240">
        <v>262</v>
      </c>
      <c r="W17" s="240">
        <v>322</v>
      </c>
      <c r="X17" s="240">
        <v>427</v>
      </c>
      <c r="Y17" s="268">
        <v>517</v>
      </c>
      <c r="Z17" s="286">
        <v>278</v>
      </c>
      <c r="AA17" s="240">
        <v>207</v>
      </c>
      <c r="AB17" s="240">
        <v>159</v>
      </c>
      <c r="AC17" s="240">
        <v>38</v>
      </c>
      <c r="AD17" s="268">
        <v>182</v>
      </c>
      <c r="AE17" s="286">
        <v>437</v>
      </c>
      <c r="AF17" s="240">
        <v>229</v>
      </c>
      <c r="AG17" s="240">
        <v>272</v>
      </c>
      <c r="AH17" s="270">
        <v>371</v>
      </c>
      <c r="AI17" s="208">
        <f t="shared" si="15"/>
        <v>9962</v>
      </c>
    </row>
    <row r="18" spans="1:35" ht="15.75" thickBot="1" x14ac:dyDescent="0.3">
      <c r="A18" s="158" t="s">
        <v>5</v>
      </c>
      <c r="B18" s="388">
        <f t="shared" si="16"/>
        <v>43474</v>
      </c>
      <c r="C18" s="397">
        <v>763</v>
      </c>
      <c r="D18" s="398">
        <v>810</v>
      </c>
      <c r="E18" s="240">
        <v>501</v>
      </c>
      <c r="F18" s="240">
        <v>376</v>
      </c>
      <c r="G18" s="270">
        <v>968</v>
      </c>
      <c r="H18" s="306">
        <v>553</v>
      </c>
      <c r="I18" s="240">
        <v>231</v>
      </c>
      <c r="J18" s="268"/>
      <c r="K18" s="281">
        <v>506</v>
      </c>
      <c r="L18" s="240">
        <v>162</v>
      </c>
      <c r="M18" s="268">
        <v>535</v>
      </c>
      <c r="N18" s="281">
        <v>99</v>
      </c>
      <c r="O18" s="240">
        <v>63</v>
      </c>
      <c r="P18" s="240">
        <v>134</v>
      </c>
      <c r="Q18" s="240"/>
      <c r="R18" s="240">
        <v>85</v>
      </c>
      <c r="S18" s="240">
        <v>182</v>
      </c>
      <c r="T18" s="268">
        <v>365</v>
      </c>
      <c r="U18" s="281">
        <v>431</v>
      </c>
      <c r="V18" s="240">
        <v>326</v>
      </c>
      <c r="W18" s="240">
        <v>389</v>
      </c>
      <c r="X18" s="240">
        <v>480</v>
      </c>
      <c r="Y18" s="268">
        <v>506</v>
      </c>
      <c r="Z18" s="281">
        <v>315</v>
      </c>
      <c r="AA18" s="240">
        <v>181</v>
      </c>
      <c r="AB18" s="240">
        <v>144</v>
      </c>
      <c r="AC18" s="240">
        <v>48</v>
      </c>
      <c r="AD18" s="268">
        <v>105</v>
      </c>
      <c r="AE18" s="281">
        <v>483</v>
      </c>
      <c r="AF18" s="240">
        <v>223</v>
      </c>
      <c r="AG18" s="240">
        <v>301</v>
      </c>
      <c r="AH18" s="270">
        <v>389</v>
      </c>
      <c r="AI18" s="208">
        <f t="shared" si="15"/>
        <v>10654</v>
      </c>
    </row>
    <row r="19" spans="1:35" ht="15.75" thickBot="1" x14ac:dyDescent="0.3">
      <c r="A19" s="158" t="s">
        <v>6</v>
      </c>
      <c r="B19" s="389">
        <f t="shared" si="16"/>
        <v>43475</v>
      </c>
      <c r="C19" s="397">
        <v>651</v>
      </c>
      <c r="D19" s="398">
        <v>643</v>
      </c>
      <c r="E19" s="240">
        <v>427</v>
      </c>
      <c r="F19" s="240">
        <v>319</v>
      </c>
      <c r="G19" s="270">
        <v>971</v>
      </c>
      <c r="H19" s="306">
        <v>456</v>
      </c>
      <c r="I19" s="240">
        <v>194</v>
      </c>
      <c r="J19" s="268"/>
      <c r="K19" s="281">
        <v>457</v>
      </c>
      <c r="L19" s="240">
        <v>142</v>
      </c>
      <c r="M19" s="268">
        <v>502</v>
      </c>
      <c r="N19" s="281">
        <v>43</v>
      </c>
      <c r="O19" s="240">
        <v>52</v>
      </c>
      <c r="P19" s="240">
        <v>112</v>
      </c>
      <c r="Q19" s="240"/>
      <c r="R19" s="240">
        <v>67</v>
      </c>
      <c r="S19" s="240">
        <v>164</v>
      </c>
      <c r="T19" s="268">
        <v>259</v>
      </c>
      <c r="U19" s="281">
        <v>388</v>
      </c>
      <c r="V19" s="240">
        <v>243</v>
      </c>
      <c r="W19" s="240">
        <v>337</v>
      </c>
      <c r="X19" s="240">
        <v>441</v>
      </c>
      <c r="Y19" s="268">
        <v>494</v>
      </c>
      <c r="Z19" s="281">
        <v>280</v>
      </c>
      <c r="AA19" s="240">
        <v>140</v>
      </c>
      <c r="AB19" s="240">
        <v>160</v>
      </c>
      <c r="AC19" s="240">
        <v>45</v>
      </c>
      <c r="AD19" s="268">
        <v>95</v>
      </c>
      <c r="AE19" s="281">
        <v>454</v>
      </c>
      <c r="AF19" s="240">
        <v>239</v>
      </c>
      <c r="AG19" s="240">
        <v>260</v>
      </c>
      <c r="AH19" s="270">
        <v>359</v>
      </c>
      <c r="AI19" s="208">
        <f t="shared" si="15"/>
        <v>9394</v>
      </c>
    </row>
    <row r="20" spans="1:35" ht="15.75" thickBot="1" x14ac:dyDescent="0.3">
      <c r="A20" s="158" t="s">
        <v>0</v>
      </c>
      <c r="B20" s="389">
        <f t="shared" si="16"/>
        <v>43476</v>
      </c>
      <c r="C20" s="397">
        <v>626</v>
      </c>
      <c r="D20" s="398">
        <v>640</v>
      </c>
      <c r="E20" s="240">
        <v>415</v>
      </c>
      <c r="F20" s="240">
        <v>334</v>
      </c>
      <c r="G20" s="270">
        <v>807</v>
      </c>
      <c r="H20" s="306">
        <v>432</v>
      </c>
      <c r="I20" s="240">
        <v>210</v>
      </c>
      <c r="J20" s="268"/>
      <c r="K20" s="281">
        <v>479</v>
      </c>
      <c r="L20" s="240">
        <v>125</v>
      </c>
      <c r="M20" s="268">
        <v>506</v>
      </c>
      <c r="N20" s="281">
        <v>72</v>
      </c>
      <c r="O20" s="240">
        <v>35</v>
      </c>
      <c r="P20" s="240">
        <v>122</v>
      </c>
      <c r="Q20" s="240"/>
      <c r="R20" s="240">
        <v>88</v>
      </c>
      <c r="S20" s="240">
        <v>135</v>
      </c>
      <c r="T20" s="268">
        <v>305</v>
      </c>
      <c r="U20" s="281">
        <v>336</v>
      </c>
      <c r="V20" s="240">
        <v>317</v>
      </c>
      <c r="W20" s="240">
        <v>308</v>
      </c>
      <c r="X20" s="240">
        <v>357</v>
      </c>
      <c r="Y20" s="268">
        <v>476</v>
      </c>
      <c r="Z20" s="281">
        <v>294</v>
      </c>
      <c r="AA20" s="240">
        <v>172</v>
      </c>
      <c r="AB20" s="240">
        <v>143</v>
      </c>
      <c r="AC20" s="240">
        <v>46</v>
      </c>
      <c r="AD20" s="268">
        <v>119</v>
      </c>
      <c r="AE20" s="281">
        <v>451</v>
      </c>
      <c r="AF20" s="240">
        <v>204</v>
      </c>
      <c r="AG20" s="240">
        <v>256</v>
      </c>
      <c r="AH20" s="270">
        <v>329</v>
      </c>
      <c r="AI20" s="208">
        <f t="shared" si="15"/>
        <v>9139</v>
      </c>
    </row>
    <row r="21" spans="1:35" ht="15.75" thickBot="1" x14ac:dyDescent="0.3">
      <c r="A21" s="158" t="s">
        <v>1</v>
      </c>
      <c r="B21" s="390">
        <f t="shared" si="16"/>
        <v>43477</v>
      </c>
      <c r="C21" s="397">
        <v>251</v>
      </c>
      <c r="D21" s="398">
        <v>414</v>
      </c>
      <c r="E21" s="240">
        <v>424</v>
      </c>
      <c r="F21" s="240">
        <v>115</v>
      </c>
      <c r="G21" s="270">
        <v>307</v>
      </c>
      <c r="H21" s="306">
        <v>141</v>
      </c>
      <c r="I21" s="240">
        <v>240</v>
      </c>
      <c r="J21" s="268"/>
      <c r="K21" s="281">
        <v>297</v>
      </c>
      <c r="L21" s="240">
        <v>78</v>
      </c>
      <c r="M21" s="268">
        <v>238</v>
      </c>
      <c r="N21" s="281">
        <v>66</v>
      </c>
      <c r="O21" s="240">
        <v>15</v>
      </c>
      <c r="P21" s="240">
        <v>38</v>
      </c>
      <c r="Q21" s="240"/>
      <c r="R21" s="240">
        <v>19</v>
      </c>
      <c r="S21" s="240">
        <v>39</v>
      </c>
      <c r="T21" s="268">
        <v>141</v>
      </c>
      <c r="U21" s="281">
        <v>127</v>
      </c>
      <c r="V21" s="240">
        <v>134</v>
      </c>
      <c r="W21" s="240">
        <v>182</v>
      </c>
      <c r="X21" s="240">
        <v>198</v>
      </c>
      <c r="Y21" s="268">
        <v>72</v>
      </c>
      <c r="Z21" s="281">
        <v>167</v>
      </c>
      <c r="AA21" s="240">
        <v>28</v>
      </c>
      <c r="AB21" s="240">
        <v>51</v>
      </c>
      <c r="AC21" s="240">
        <v>4</v>
      </c>
      <c r="AD21" s="268">
        <v>32</v>
      </c>
      <c r="AE21" s="281">
        <v>161</v>
      </c>
      <c r="AF21" s="240">
        <v>97</v>
      </c>
      <c r="AG21" s="240">
        <v>81</v>
      </c>
      <c r="AH21" s="270">
        <v>90</v>
      </c>
      <c r="AI21" s="208">
        <f t="shared" si="15"/>
        <v>4247</v>
      </c>
    </row>
    <row r="22" spans="1:35" ht="15.75" thickBot="1" x14ac:dyDescent="0.3">
      <c r="A22" s="158" t="s">
        <v>2</v>
      </c>
      <c r="B22" s="388">
        <f t="shared" si="16"/>
        <v>43478</v>
      </c>
      <c r="C22" s="397">
        <v>163</v>
      </c>
      <c r="D22" s="398">
        <v>292</v>
      </c>
      <c r="E22" s="240">
        <v>265</v>
      </c>
      <c r="F22" s="240">
        <v>118</v>
      </c>
      <c r="G22" s="270">
        <v>246</v>
      </c>
      <c r="H22" s="306">
        <v>117</v>
      </c>
      <c r="I22" s="240">
        <v>209</v>
      </c>
      <c r="J22" s="268"/>
      <c r="K22" s="281">
        <v>162</v>
      </c>
      <c r="L22" s="240">
        <v>51</v>
      </c>
      <c r="M22" s="268">
        <v>162</v>
      </c>
      <c r="N22" s="281">
        <v>60</v>
      </c>
      <c r="O22" s="240">
        <v>10</v>
      </c>
      <c r="P22" s="240">
        <v>34</v>
      </c>
      <c r="Q22" s="240"/>
      <c r="R22" s="240">
        <v>15</v>
      </c>
      <c r="S22" s="240">
        <v>61</v>
      </c>
      <c r="T22" s="268">
        <v>126</v>
      </c>
      <c r="U22" s="281">
        <v>138</v>
      </c>
      <c r="V22" s="240">
        <v>145</v>
      </c>
      <c r="W22" s="240">
        <v>147</v>
      </c>
      <c r="X22" s="240">
        <v>157</v>
      </c>
      <c r="Y22" s="268">
        <v>144</v>
      </c>
      <c r="Z22" s="281">
        <v>114</v>
      </c>
      <c r="AA22" s="240">
        <v>12</v>
      </c>
      <c r="AB22" s="240">
        <v>25</v>
      </c>
      <c r="AC22" s="240">
        <v>14</v>
      </c>
      <c r="AD22" s="268">
        <v>31</v>
      </c>
      <c r="AE22" s="281">
        <v>94</v>
      </c>
      <c r="AF22" s="240">
        <v>56</v>
      </c>
      <c r="AG22" s="240">
        <v>50</v>
      </c>
      <c r="AH22" s="270">
        <v>63</v>
      </c>
      <c r="AI22" s="208">
        <f t="shared" si="15"/>
        <v>3281</v>
      </c>
    </row>
    <row r="23" spans="1:35" ht="15.75" thickBot="1" x14ac:dyDescent="0.3">
      <c r="A23" s="167" t="s">
        <v>21</v>
      </c>
      <c r="B23" s="521" t="s">
        <v>25</v>
      </c>
      <c r="C23" s="282">
        <f t="shared" ref="C23:P23" si="17">SUM(C16:C22)</f>
        <v>3901</v>
      </c>
      <c r="D23" s="260">
        <f t="shared" si="17"/>
        <v>4226</v>
      </c>
      <c r="E23" s="260">
        <f t="shared" si="17"/>
        <v>2964</v>
      </c>
      <c r="F23" s="260">
        <f t="shared" si="17"/>
        <v>2005</v>
      </c>
      <c r="G23" s="283">
        <f t="shared" si="17"/>
        <v>5197</v>
      </c>
      <c r="H23" s="383">
        <f t="shared" si="17"/>
        <v>2672</v>
      </c>
      <c r="I23" s="260">
        <f t="shared" si="17"/>
        <v>1528</v>
      </c>
      <c r="J23" s="343">
        <f t="shared" si="17"/>
        <v>0</v>
      </c>
      <c r="K23" s="282">
        <f t="shared" si="17"/>
        <v>2817</v>
      </c>
      <c r="L23" s="260">
        <f t="shared" si="17"/>
        <v>834</v>
      </c>
      <c r="M23" s="343">
        <f t="shared" si="17"/>
        <v>2952</v>
      </c>
      <c r="N23" s="282">
        <f t="shared" si="17"/>
        <v>528</v>
      </c>
      <c r="O23" s="260">
        <f t="shared" si="17"/>
        <v>286</v>
      </c>
      <c r="P23" s="260">
        <f t="shared" si="17"/>
        <v>668</v>
      </c>
      <c r="Q23" s="260">
        <f t="shared" ref="Q23" si="18">SUM(Q16:Q22)</f>
        <v>0</v>
      </c>
      <c r="R23" s="260">
        <f t="shared" ref="R23:AA23" si="19">SUM(R16:R22)</f>
        <v>441</v>
      </c>
      <c r="S23" s="260">
        <f t="shared" si="19"/>
        <v>921</v>
      </c>
      <c r="T23" s="343">
        <f t="shared" si="19"/>
        <v>1828</v>
      </c>
      <c r="U23" s="282">
        <f t="shared" si="19"/>
        <v>2143</v>
      </c>
      <c r="V23" s="260">
        <f t="shared" si="19"/>
        <v>1689</v>
      </c>
      <c r="W23" s="260">
        <f t="shared" si="19"/>
        <v>1983</v>
      </c>
      <c r="X23" s="260">
        <f t="shared" si="19"/>
        <v>2488</v>
      </c>
      <c r="Y23" s="343">
        <f t="shared" si="19"/>
        <v>2678</v>
      </c>
      <c r="Z23" s="282">
        <f t="shared" si="19"/>
        <v>1728</v>
      </c>
      <c r="AA23" s="260">
        <f t="shared" si="19"/>
        <v>897</v>
      </c>
      <c r="AB23" s="260">
        <f t="shared" ref="AB23:AG23" si="20">SUM(AB16:AB22)</f>
        <v>848</v>
      </c>
      <c r="AC23" s="260">
        <f t="shared" si="20"/>
        <v>228</v>
      </c>
      <c r="AD23" s="343">
        <f t="shared" si="20"/>
        <v>680</v>
      </c>
      <c r="AE23" s="282">
        <f t="shared" si="20"/>
        <v>2539</v>
      </c>
      <c r="AF23" s="260">
        <f t="shared" si="20"/>
        <v>1293</v>
      </c>
      <c r="AG23" s="260">
        <f t="shared" si="20"/>
        <v>1504</v>
      </c>
      <c r="AH23" s="283">
        <f>SUM(AH16:AH22)</f>
        <v>1988</v>
      </c>
      <c r="AI23" s="168">
        <f>SUM(AI16:AI22)</f>
        <v>56454</v>
      </c>
    </row>
    <row r="24" spans="1:35" ht="15.75" thickBot="1" x14ac:dyDescent="0.3">
      <c r="A24" s="116" t="s">
        <v>23</v>
      </c>
      <c r="B24" s="522"/>
      <c r="C24" s="282">
        <f>AVERAGE(C16:C22)</f>
        <v>557.28571428571433</v>
      </c>
      <c r="D24" s="260">
        <f>AVERAGE(D16:D22)</f>
        <v>603.71428571428567</v>
      </c>
      <c r="E24" s="260">
        <f t="shared" ref="E24:M24" si="21">AVERAGE(E16:E22)</f>
        <v>423.42857142857144</v>
      </c>
      <c r="F24" s="260">
        <f t="shared" si="21"/>
        <v>286.42857142857144</v>
      </c>
      <c r="G24" s="283">
        <f t="shared" si="21"/>
        <v>742.42857142857144</v>
      </c>
      <c r="H24" s="383">
        <f t="shared" si="21"/>
        <v>381.71428571428572</v>
      </c>
      <c r="I24" s="260">
        <f t="shared" si="21"/>
        <v>218.28571428571428</v>
      </c>
      <c r="J24" s="343" t="e">
        <f t="shared" si="21"/>
        <v>#DIV/0!</v>
      </c>
      <c r="K24" s="282">
        <f t="shared" si="21"/>
        <v>402.42857142857144</v>
      </c>
      <c r="L24" s="260">
        <f t="shared" si="21"/>
        <v>119.14285714285714</v>
      </c>
      <c r="M24" s="343">
        <f t="shared" si="21"/>
        <v>421.71428571428572</v>
      </c>
      <c r="N24" s="282">
        <f t="shared" ref="N24:T24" si="22">AVERAGE(N16:N22)</f>
        <v>75.428571428571431</v>
      </c>
      <c r="O24" s="260">
        <f t="shared" si="22"/>
        <v>40.857142857142854</v>
      </c>
      <c r="P24" s="260">
        <f t="shared" si="22"/>
        <v>95.428571428571431</v>
      </c>
      <c r="Q24" s="260" t="e">
        <f t="shared" si="22"/>
        <v>#DIV/0!</v>
      </c>
      <c r="R24" s="260">
        <f t="shared" si="22"/>
        <v>63</v>
      </c>
      <c r="S24" s="260">
        <f t="shared" si="22"/>
        <v>131.57142857142858</v>
      </c>
      <c r="T24" s="343">
        <f t="shared" si="22"/>
        <v>261.14285714285717</v>
      </c>
      <c r="U24" s="282">
        <f t="shared" ref="U24:AI24" si="23">AVERAGE(U16:U22)</f>
        <v>306.14285714285717</v>
      </c>
      <c r="V24" s="260">
        <f t="shared" si="23"/>
        <v>241.28571428571428</v>
      </c>
      <c r="W24" s="260">
        <f t="shared" si="23"/>
        <v>283.28571428571428</v>
      </c>
      <c r="X24" s="260">
        <f t="shared" si="23"/>
        <v>355.42857142857144</v>
      </c>
      <c r="Y24" s="343">
        <f t="shared" si="23"/>
        <v>382.57142857142856</v>
      </c>
      <c r="Z24" s="282">
        <f t="shared" si="23"/>
        <v>246.85714285714286</v>
      </c>
      <c r="AA24" s="260">
        <f t="shared" si="23"/>
        <v>128.14285714285714</v>
      </c>
      <c r="AB24" s="260">
        <f t="shared" si="23"/>
        <v>121.14285714285714</v>
      </c>
      <c r="AC24" s="260">
        <f t="shared" si="23"/>
        <v>32.571428571428569</v>
      </c>
      <c r="AD24" s="343">
        <f t="shared" si="23"/>
        <v>97.142857142857139</v>
      </c>
      <c r="AE24" s="282">
        <f t="shared" si="23"/>
        <v>362.71428571428572</v>
      </c>
      <c r="AF24" s="260">
        <f t="shared" si="23"/>
        <v>184.71428571428572</v>
      </c>
      <c r="AG24" s="260">
        <f t="shared" si="23"/>
        <v>214.85714285714286</v>
      </c>
      <c r="AH24" s="283">
        <f t="shared" si="23"/>
        <v>284</v>
      </c>
      <c r="AI24" s="169">
        <f t="shared" si="23"/>
        <v>8064.8571428571431</v>
      </c>
    </row>
    <row r="25" spans="1:35" ht="15.75" thickBot="1" x14ac:dyDescent="0.3">
      <c r="A25" s="32" t="s">
        <v>20</v>
      </c>
      <c r="B25" s="522"/>
      <c r="C25" s="284">
        <f t="shared" ref="C25:AI25" si="24">SUM(C16:C20)</f>
        <v>3487</v>
      </c>
      <c r="D25" s="261">
        <f t="shared" si="24"/>
        <v>3520</v>
      </c>
      <c r="E25" s="261">
        <f t="shared" si="24"/>
        <v>2275</v>
      </c>
      <c r="F25" s="261">
        <f t="shared" si="24"/>
        <v>1772</v>
      </c>
      <c r="G25" s="285">
        <f t="shared" si="24"/>
        <v>4644</v>
      </c>
      <c r="H25" s="384">
        <f t="shared" si="24"/>
        <v>2414</v>
      </c>
      <c r="I25" s="261">
        <f t="shared" si="24"/>
        <v>1079</v>
      </c>
      <c r="J25" s="344">
        <f t="shared" si="24"/>
        <v>0</v>
      </c>
      <c r="K25" s="284">
        <f t="shared" si="24"/>
        <v>2358</v>
      </c>
      <c r="L25" s="261">
        <f t="shared" si="24"/>
        <v>705</v>
      </c>
      <c r="M25" s="344">
        <f t="shared" si="24"/>
        <v>2552</v>
      </c>
      <c r="N25" s="284">
        <f t="shared" si="24"/>
        <v>402</v>
      </c>
      <c r="O25" s="261">
        <f t="shared" si="24"/>
        <v>261</v>
      </c>
      <c r="P25" s="261">
        <f t="shared" si="24"/>
        <v>596</v>
      </c>
      <c r="Q25" s="261">
        <f t="shared" si="24"/>
        <v>0</v>
      </c>
      <c r="R25" s="261">
        <f t="shared" si="24"/>
        <v>407</v>
      </c>
      <c r="S25" s="261">
        <f t="shared" si="24"/>
        <v>821</v>
      </c>
      <c r="T25" s="344">
        <f t="shared" si="24"/>
        <v>1561</v>
      </c>
      <c r="U25" s="284">
        <f t="shared" si="24"/>
        <v>1878</v>
      </c>
      <c r="V25" s="261">
        <f t="shared" si="24"/>
        <v>1410</v>
      </c>
      <c r="W25" s="261">
        <f t="shared" si="24"/>
        <v>1654</v>
      </c>
      <c r="X25" s="261">
        <f t="shared" si="24"/>
        <v>2133</v>
      </c>
      <c r="Y25" s="344">
        <f t="shared" si="24"/>
        <v>2462</v>
      </c>
      <c r="Z25" s="284">
        <f t="shared" si="24"/>
        <v>1447</v>
      </c>
      <c r="AA25" s="261">
        <f t="shared" si="24"/>
        <v>857</v>
      </c>
      <c r="AB25" s="261">
        <f t="shared" si="24"/>
        <v>772</v>
      </c>
      <c r="AC25" s="261">
        <f t="shared" si="24"/>
        <v>210</v>
      </c>
      <c r="AD25" s="344">
        <f t="shared" si="24"/>
        <v>617</v>
      </c>
      <c r="AE25" s="284">
        <f t="shared" si="24"/>
        <v>2284</v>
      </c>
      <c r="AF25" s="261">
        <f t="shared" si="24"/>
        <v>1140</v>
      </c>
      <c r="AG25" s="261">
        <f t="shared" si="24"/>
        <v>1373</v>
      </c>
      <c r="AH25" s="285">
        <f t="shared" si="24"/>
        <v>1835</v>
      </c>
      <c r="AI25" s="170">
        <f t="shared" si="24"/>
        <v>48926</v>
      </c>
    </row>
    <row r="26" spans="1:35" ht="15.75" thickBot="1" x14ac:dyDescent="0.3">
      <c r="A26" s="32" t="s">
        <v>22</v>
      </c>
      <c r="B26" s="523"/>
      <c r="C26" s="284">
        <f>AVERAGE(C16:C20)</f>
        <v>697.4</v>
      </c>
      <c r="D26" s="261">
        <f>AVERAGE(D16:D20)</f>
        <v>704</v>
      </c>
      <c r="E26" s="261">
        <f t="shared" ref="E26:M26" si="25">AVERAGE(E16:E20)</f>
        <v>455</v>
      </c>
      <c r="F26" s="261">
        <f t="shared" si="25"/>
        <v>354.4</v>
      </c>
      <c r="G26" s="285">
        <f t="shared" si="25"/>
        <v>928.8</v>
      </c>
      <c r="H26" s="384">
        <f t="shared" si="25"/>
        <v>482.8</v>
      </c>
      <c r="I26" s="261">
        <f t="shared" si="25"/>
        <v>215.8</v>
      </c>
      <c r="J26" s="344" t="e">
        <f t="shared" si="25"/>
        <v>#DIV/0!</v>
      </c>
      <c r="K26" s="284">
        <f t="shared" si="25"/>
        <v>471.6</v>
      </c>
      <c r="L26" s="261">
        <f t="shared" si="25"/>
        <v>141</v>
      </c>
      <c r="M26" s="344">
        <f t="shared" si="25"/>
        <v>510.4</v>
      </c>
      <c r="N26" s="284">
        <f t="shared" ref="N26:T26" si="26">AVERAGE(N16:N20)</f>
        <v>80.400000000000006</v>
      </c>
      <c r="O26" s="261">
        <f t="shared" si="26"/>
        <v>52.2</v>
      </c>
      <c r="P26" s="261">
        <f t="shared" si="26"/>
        <v>119.2</v>
      </c>
      <c r="Q26" s="261" t="e">
        <f t="shared" si="26"/>
        <v>#DIV/0!</v>
      </c>
      <c r="R26" s="261">
        <f t="shared" si="26"/>
        <v>81.400000000000006</v>
      </c>
      <c r="S26" s="261">
        <f t="shared" si="26"/>
        <v>164.2</v>
      </c>
      <c r="T26" s="344">
        <f t="shared" si="26"/>
        <v>312.2</v>
      </c>
      <c r="U26" s="284">
        <f t="shared" ref="U26:AI26" si="27">AVERAGE(U16:U20)</f>
        <v>375.6</v>
      </c>
      <c r="V26" s="261">
        <f t="shared" si="27"/>
        <v>282</v>
      </c>
      <c r="W26" s="261">
        <f t="shared" si="27"/>
        <v>330.8</v>
      </c>
      <c r="X26" s="261">
        <f t="shared" si="27"/>
        <v>426.6</v>
      </c>
      <c r="Y26" s="344">
        <f t="shared" si="27"/>
        <v>492.4</v>
      </c>
      <c r="Z26" s="284">
        <f t="shared" si="27"/>
        <v>289.39999999999998</v>
      </c>
      <c r="AA26" s="261">
        <f t="shared" si="27"/>
        <v>171.4</v>
      </c>
      <c r="AB26" s="261">
        <f t="shared" si="27"/>
        <v>154.4</v>
      </c>
      <c r="AC26" s="261">
        <f t="shared" si="27"/>
        <v>42</v>
      </c>
      <c r="AD26" s="344">
        <f t="shared" si="27"/>
        <v>123.4</v>
      </c>
      <c r="AE26" s="284">
        <f t="shared" si="27"/>
        <v>456.8</v>
      </c>
      <c r="AF26" s="261">
        <f t="shared" si="27"/>
        <v>228</v>
      </c>
      <c r="AG26" s="261">
        <f t="shared" si="27"/>
        <v>274.60000000000002</v>
      </c>
      <c r="AH26" s="285">
        <f t="shared" si="27"/>
        <v>367</v>
      </c>
      <c r="AI26" s="171">
        <f t="shared" si="27"/>
        <v>9785.2000000000007</v>
      </c>
    </row>
    <row r="27" spans="1:35" ht="15.75" thickBot="1" x14ac:dyDescent="0.3">
      <c r="A27" s="158" t="s">
        <v>3</v>
      </c>
      <c r="B27" s="319">
        <f>B22+1</f>
        <v>43479</v>
      </c>
      <c r="C27" s="397">
        <v>689</v>
      </c>
      <c r="D27" s="398">
        <v>732</v>
      </c>
      <c r="E27" s="398">
        <v>458</v>
      </c>
      <c r="F27" s="199">
        <v>354</v>
      </c>
      <c r="G27" s="275">
        <v>925</v>
      </c>
      <c r="H27" s="385">
        <v>495</v>
      </c>
      <c r="I27" s="199">
        <v>184</v>
      </c>
      <c r="J27" s="202"/>
      <c r="K27" s="286">
        <v>477</v>
      </c>
      <c r="L27" s="199">
        <v>135</v>
      </c>
      <c r="M27" s="202">
        <v>504</v>
      </c>
      <c r="N27" s="286">
        <v>84</v>
      </c>
      <c r="O27" s="199">
        <v>56</v>
      </c>
      <c r="P27" s="199">
        <v>121</v>
      </c>
      <c r="Q27" s="199"/>
      <c r="R27" s="199">
        <v>80</v>
      </c>
      <c r="S27" s="199">
        <v>145</v>
      </c>
      <c r="T27" s="202">
        <v>283</v>
      </c>
      <c r="U27" s="281">
        <v>345</v>
      </c>
      <c r="V27" s="240">
        <v>254</v>
      </c>
      <c r="W27" s="240">
        <v>386</v>
      </c>
      <c r="X27" s="240">
        <v>444</v>
      </c>
      <c r="Y27" s="268">
        <v>488</v>
      </c>
      <c r="Z27" s="281">
        <v>309</v>
      </c>
      <c r="AA27" s="240">
        <v>135</v>
      </c>
      <c r="AB27" s="240">
        <v>153</v>
      </c>
      <c r="AC27" s="240">
        <v>43</v>
      </c>
      <c r="AD27" s="268">
        <v>117</v>
      </c>
      <c r="AE27" s="281">
        <v>422</v>
      </c>
      <c r="AF27" s="240">
        <v>209</v>
      </c>
      <c r="AG27" s="240">
        <v>242</v>
      </c>
      <c r="AH27" s="270">
        <v>373</v>
      </c>
      <c r="AI27" s="208">
        <f>SUM(C27:AH27)</f>
        <v>9642</v>
      </c>
    </row>
    <row r="28" spans="1:35" ht="15.75" thickBot="1" x14ac:dyDescent="0.3">
      <c r="A28" s="158" t="s">
        <v>4</v>
      </c>
      <c r="B28" s="305">
        <f t="shared" ref="B28:B33" si="28">B27+1</f>
        <v>43480</v>
      </c>
      <c r="C28" s="397">
        <v>676</v>
      </c>
      <c r="D28" s="398">
        <v>714</v>
      </c>
      <c r="E28" s="398">
        <v>421</v>
      </c>
      <c r="F28" s="199">
        <v>395</v>
      </c>
      <c r="G28" s="275">
        <v>961</v>
      </c>
      <c r="H28" s="385">
        <v>526</v>
      </c>
      <c r="I28" s="199">
        <v>222</v>
      </c>
      <c r="J28" s="202"/>
      <c r="K28" s="286">
        <v>474</v>
      </c>
      <c r="L28" s="199">
        <v>135</v>
      </c>
      <c r="M28" s="202">
        <v>493</v>
      </c>
      <c r="N28" s="286">
        <v>89</v>
      </c>
      <c r="O28" s="199">
        <v>48</v>
      </c>
      <c r="P28" s="199">
        <v>111</v>
      </c>
      <c r="Q28" s="199"/>
      <c r="R28" s="199">
        <v>75</v>
      </c>
      <c r="S28" s="199">
        <v>172</v>
      </c>
      <c r="T28" s="202">
        <v>326</v>
      </c>
      <c r="U28" s="281">
        <v>363</v>
      </c>
      <c r="V28" s="240">
        <v>234</v>
      </c>
      <c r="W28" s="240">
        <v>346</v>
      </c>
      <c r="X28" s="240">
        <v>451</v>
      </c>
      <c r="Y28" s="268">
        <v>508</v>
      </c>
      <c r="Z28" s="281">
        <v>279</v>
      </c>
      <c r="AA28" s="240">
        <v>153</v>
      </c>
      <c r="AB28" s="240">
        <v>138</v>
      </c>
      <c r="AC28" s="240">
        <v>34</v>
      </c>
      <c r="AD28" s="268">
        <v>123</v>
      </c>
      <c r="AE28" s="281">
        <v>433</v>
      </c>
      <c r="AF28" s="240">
        <v>208</v>
      </c>
      <c r="AG28" s="240">
        <v>258</v>
      </c>
      <c r="AH28" s="270">
        <v>345</v>
      </c>
      <c r="AI28" s="208">
        <f t="shared" ref="AI28:AI33" si="29">SUM(C28:AH28)</f>
        <v>9711</v>
      </c>
    </row>
    <row r="29" spans="1:35" ht="15.75" thickBot="1" x14ac:dyDescent="0.3">
      <c r="A29" s="158" t="s">
        <v>5</v>
      </c>
      <c r="B29" s="305">
        <f t="shared" si="28"/>
        <v>43481</v>
      </c>
      <c r="C29" s="397">
        <v>697</v>
      </c>
      <c r="D29" s="398">
        <v>714</v>
      </c>
      <c r="E29" s="398">
        <v>396</v>
      </c>
      <c r="F29" s="199">
        <v>349</v>
      </c>
      <c r="G29" s="275">
        <v>890</v>
      </c>
      <c r="H29" s="385">
        <v>496</v>
      </c>
      <c r="I29" s="199">
        <v>192</v>
      </c>
      <c r="J29" s="202"/>
      <c r="K29" s="286">
        <v>475</v>
      </c>
      <c r="L29" s="199">
        <v>150</v>
      </c>
      <c r="M29" s="202">
        <v>504</v>
      </c>
      <c r="N29" s="286">
        <v>96</v>
      </c>
      <c r="O29" s="199">
        <v>55</v>
      </c>
      <c r="P29" s="199">
        <v>142</v>
      </c>
      <c r="Q29" s="199"/>
      <c r="R29" s="199">
        <v>105</v>
      </c>
      <c r="S29" s="199">
        <v>160</v>
      </c>
      <c r="T29" s="202">
        <v>385</v>
      </c>
      <c r="U29" s="281">
        <v>370</v>
      </c>
      <c r="V29" s="240">
        <v>239</v>
      </c>
      <c r="W29" s="240">
        <v>335</v>
      </c>
      <c r="X29" s="240">
        <v>443</v>
      </c>
      <c r="Y29" s="268">
        <v>525</v>
      </c>
      <c r="Z29" s="281">
        <v>306</v>
      </c>
      <c r="AA29" s="240">
        <v>166</v>
      </c>
      <c r="AB29" s="240">
        <v>163</v>
      </c>
      <c r="AC29" s="240">
        <v>48</v>
      </c>
      <c r="AD29" s="268">
        <v>120</v>
      </c>
      <c r="AE29" s="281">
        <v>468</v>
      </c>
      <c r="AF29" s="240">
        <v>228</v>
      </c>
      <c r="AG29" s="240">
        <v>286</v>
      </c>
      <c r="AH29" s="270">
        <v>400</v>
      </c>
      <c r="AI29" s="208">
        <f t="shared" si="29"/>
        <v>9903</v>
      </c>
    </row>
    <row r="30" spans="1:35" ht="15.75" thickBot="1" x14ac:dyDescent="0.3">
      <c r="A30" s="158" t="s">
        <v>6</v>
      </c>
      <c r="B30" s="305">
        <f t="shared" si="28"/>
        <v>43482</v>
      </c>
      <c r="C30" s="397">
        <v>644</v>
      </c>
      <c r="D30" s="398">
        <v>621</v>
      </c>
      <c r="E30" s="398">
        <v>510</v>
      </c>
      <c r="F30" s="240">
        <v>341</v>
      </c>
      <c r="G30" s="270">
        <v>975</v>
      </c>
      <c r="H30" s="306">
        <v>490</v>
      </c>
      <c r="I30" s="240">
        <v>201</v>
      </c>
      <c r="J30" s="268"/>
      <c r="K30" s="281">
        <v>477</v>
      </c>
      <c r="L30" s="240">
        <v>130</v>
      </c>
      <c r="M30" s="268">
        <v>497</v>
      </c>
      <c r="N30" s="281">
        <v>92</v>
      </c>
      <c r="O30" s="240">
        <v>49</v>
      </c>
      <c r="P30" s="240">
        <v>144</v>
      </c>
      <c r="Q30" s="240"/>
      <c r="R30" s="240">
        <v>75</v>
      </c>
      <c r="S30" s="240">
        <v>122</v>
      </c>
      <c r="T30" s="268">
        <v>332</v>
      </c>
      <c r="U30" s="281">
        <v>401</v>
      </c>
      <c r="V30" s="240">
        <v>255</v>
      </c>
      <c r="W30" s="240">
        <v>320</v>
      </c>
      <c r="X30" s="240">
        <v>372</v>
      </c>
      <c r="Y30" s="268">
        <v>460</v>
      </c>
      <c r="Z30" s="281">
        <v>305</v>
      </c>
      <c r="AA30" s="240">
        <v>141</v>
      </c>
      <c r="AB30" s="240">
        <v>164</v>
      </c>
      <c r="AC30" s="240">
        <v>39</v>
      </c>
      <c r="AD30" s="268">
        <v>96</v>
      </c>
      <c r="AE30" s="281">
        <v>466</v>
      </c>
      <c r="AF30" s="240">
        <v>225</v>
      </c>
      <c r="AG30" s="240">
        <v>263</v>
      </c>
      <c r="AH30" s="270">
        <v>372</v>
      </c>
      <c r="AI30" s="208">
        <f t="shared" si="29"/>
        <v>9579</v>
      </c>
    </row>
    <row r="31" spans="1:35" ht="15.75" thickBot="1" x14ac:dyDescent="0.3">
      <c r="A31" s="158" t="s">
        <v>0</v>
      </c>
      <c r="B31" s="305">
        <f t="shared" si="28"/>
        <v>43483</v>
      </c>
      <c r="C31" s="397">
        <v>550</v>
      </c>
      <c r="D31" s="398">
        <v>619</v>
      </c>
      <c r="E31" s="398">
        <v>470</v>
      </c>
      <c r="F31" s="199">
        <v>318</v>
      </c>
      <c r="G31" s="275">
        <v>865</v>
      </c>
      <c r="H31" s="385">
        <v>476</v>
      </c>
      <c r="I31" s="199">
        <v>228</v>
      </c>
      <c r="J31" s="202"/>
      <c r="K31" s="286">
        <v>390</v>
      </c>
      <c r="L31" s="199">
        <v>104</v>
      </c>
      <c r="M31" s="202">
        <v>454</v>
      </c>
      <c r="N31" s="286">
        <v>101</v>
      </c>
      <c r="O31" s="199">
        <v>50</v>
      </c>
      <c r="P31" s="199">
        <v>97</v>
      </c>
      <c r="Q31" s="199"/>
      <c r="R31" s="199">
        <v>70</v>
      </c>
      <c r="S31" s="199">
        <v>114</v>
      </c>
      <c r="T31" s="202">
        <v>314</v>
      </c>
      <c r="U31" s="281">
        <v>344</v>
      </c>
      <c r="V31" s="240">
        <v>234</v>
      </c>
      <c r="W31" s="240">
        <v>313</v>
      </c>
      <c r="X31" s="240">
        <v>357</v>
      </c>
      <c r="Y31" s="268">
        <v>411</v>
      </c>
      <c r="Z31" s="281">
        <v>288</v>
      </c>
      <c r="AA31" s="240">
        <v>169</v>
      </c>
      <c r="AB31" s="240">
        <v>142</v>
      </c>
      <c r="AC31" s="240">
        <v>52</v>
      </c>
      <c r="AD31" s="268">
        <v>103</v>
      </c>
      <c r="AE31" s="281">
        <v>391</v>
      </c>
      <c r="AF31" s="240">
        <v>179</v>
      </c>
      <c r="AG31" s="240">
        <v>217</v>
      </c>
      <c r="AH31" s="270">
        <v>301</v>
      </c>
      <c r="AI31" s="208">
        <f t="shared" si="29"/>
        <v>8721</v>
      </c>
    </row>
    <row r="32" spans="1:35" ht="15.75" thickBot="1" x14ac:dyDescent="0.3">
      <c r="A32" s="158" t="s">
        <v>1</v>
      </c>
      <c r="B32" s="305">
        <f t="shared" si="28"/>
        <v>43484</v>
      </c>
      <c r="C32" s="397">
        <v>263</v>
      </c>
      <c r="D32" s="398">
        <v>354</v>
      </c>
      <c r="E32" s="398">
        <v>414</v>
      </c>
      <c r="F32" s="199">
        <v>113</v>
      </c>
      <c r="G32" s="275">
        <v>314</v>
      </c>
      <c r="H32" s="385">
        <v>209</v>
      </c>
      <c r="I32" s="199">
        <v>251</v>
      </c>
      <c r="J32" s="202"/>
      <c r="K32" s="286">
        <v>280</v>
      </c>
      <c r="L32" s="199">
        <v>46</v>
      </c>
      <c r="M32" s="202">
        <v>197</v>
      </c>
      <c r="N32" s="286">
        <v>57</v>
      </c>
      <c r="O32" s="199">
        <v>14</v>
      </c>
      <c r="P32" s="199">
        <v>59</v>
      </c>
      <c r="Q32" s="199"/>
      <c r="R32" s="199">
        <v>30</v>
      </c>
      <c r="S32" s="199">
        <v>68</v>
      </c>
      <c r="T32" s="202">
        <v>126</v>
      </c>
      <c r="U32" s="281">
        <v>122</v>
      </c>
      <c r="V32" s="240">
        <v>145</v>
      </c>
      <c r="W32" s="240">
        <v>195</v>
      </c>
      <c r="X32" s="240">
        <v>170</v>
      </c>
      <c r="Y32" s="268">
        <v>73</v>
      </c>
      <c r="Z32" s="281">
        <v>134</v>
      </c>
      <c r="AA32" s="240">
        <v>41</v>
      </c>
      <c r="AB32" s="240">
        <v>39</v>
      </c>
      <c r="AC32" s="240">
        <v>11</v>
      </c>
      <c r="AD32" s="268">
        <v>35</v>
      </c>
      <c r="AE32" s="281">
        <v>82</v>
      </c>
      <c r="AF32" s="240">
        <v>44</v>
      </c>
      <c r="AG32" s="240">
        <v>76</v>
      </c>
      <c r="AH32" s="270">
        <v>61</v>
      </c>
      <c r="AI32" s="208">
        <f t="shared" si="29"/>
        <v>4023</v>
      </c>
    </row>
    <row r="33" spans="1:35" ht="15.75" thickBot="1" x14ac:dyDescent="0.3">
      <c r="A33" s="158" t="s">
        <v>2</v>
      </c>
      <c r="B33" s="305">
        <f t="shared" si="28"/>
        <v>43485</v>
      </c>
      <c r="C33" s="397">
        <v>101</v>
      </c>
      <c r="D33" s="398">
        <v>169</v>
      </c>
      <c r="E33" s="398">
        <v>165</v>
      </c>
      <c r="F33" s="199">
        <v>74</v>
      </c>
      <c r="G33" s="275">
        <v>165</v>
      </c>
      <c r="H33" s="385">
        <v>63</v>
      </c>
      <c r="I33" s="199">
        <v>82</v>
      </c>
      <c r="J33" s="202"/>
      <c r="K33" s="286">
        <v>88</v>
      </c>
      <c r="L33" s="199">
        <v>26</v>
      </c>
      <c r="M33" s="202">
        <v>64</v>
      </c>
      <c r="N33" s="286">
        <v>25</v>
      </c>
      <c r="O33" s="199">
        <v>11</v>
      </c>
      <c r="P33" s="199">
        <v>14</v>
      </c>
      <c r="Q33" s="199"/>
      <c r="R33" s="199">
        <v>8</v>
      </c>
      <c r="S33" s="199">
        <v>36</v>
      </c>
      <c r="T33" s="202">
        <v>73</v>
      </c>
      <c r="U33" s="286">
        <v>76</v>
      </c>
      <c r="V33" s="199">
        <v>113</v>
      </c>
      <c r="W33" s="199">
        <v>93</v>
      </c>
      <c r="X33" s="199">
        <v>83</v>
      </c>
      <c r="Y33" s="202">
        <v>39</v>
      </c>
      <c r="Z33" s="286">
        <v>86</v>
      </c>
      <c r="AA33" s="199">
        <v>22</v>
      </c>
      <c r="AB33" s="199">
        <v>20</v>
      </c>
      <c r="AC33" s="199">
        <v>10</v>
      </c>
      <c r="AD33" s="202">
        <v>18</v>
      </c>
      <c r="AE33" s="286">
        <v>54</v>
      </c>
      <c r="AF33" s="199">
        <v>24</v>
      </c>
      <c r="AG33" s="199">
        <v>46</v>
      </c>
      <c r="AH33" s="275">
        <v>33</v>
      </c>
      <c r="AI33" s="208">
        <f t="shared" si="29"/>
        <v>1881</v>
      </c>
    </row>
    <row r="34" spans="1:35" ht="15.75" thickBot="1" x14ac:dyDescent="0.3">
      <c r="A34" s="167" t="s">
        <v>21</v>
      </c>
      <c r="B34" s="521" t="s">
        <v>26</v>
      </c>
      <c r="C34" s="282">
        <f t="shared" ref="C34:I34" si="30">SUM(C27:C33)</f>
        <v>3620</v>
      </c>
      <c r="D34" s="260">
        <f t="shared" si="30"/>
        <v>3923</v>
      </c>
      <c r="E34" s="260">
        <f t="shared" si="30"/>
        <v>2834</v>
      </c>
      <c r="F34" s="260">
        <f t="shared" si="30"/>
        <v>1944</v>
      </c>
      <c r="G34" s="283">
        <f t="shared" si="30"/>
        <v>5095</v>
      </c>
      <c r="H34" s="383">
        <f t="shared" si="30"/>
        <v>2755</v>
      </c>
      <c r="I34" s="260">
        <f t="shared" si="30"/>
        <v>1360</v>
      </c>
      <c r="J34" s="343">
        <f t="shared" ref="J34" si="31">SUM(J27:J33)</f>
        <v>0</v>
      </c>
      <c r="K34" s="282">
        <f t="shared" ref="K34:P34" si="32">SUM(K27:K33)</f>
        <v>2661</v>
      </c>
      <c r="L34" s="260">
        <f t="shared" si="32"/>
        <v>726</v>
      </c>
      <c r="M34" s="343">
        <f t="shared" si="32"/>
        <v>2713</v>
      </c>
      <c r="N34" s="282">
        <f t="shared" si="32"/>
        <v>544</v>
      </c>
      <c r="O34" s="260">
        <f t="shared" si="32"/>
        <v>283</v>
      </c>
      <c r="P34" s="260">
        <f t="shared" si="32"/>
        <v>688</v>
      </c>
      <c r="Q34" s="260">
        <f t="shared" ref="Q34" si="33">SUM(Q27:Q33)</f>
        <v>0</v>
      </c>
      <c r="R34" s="260">
        <f t="shared" ref="R34:X34" si="34">SUM(R27:R33)</f>
        <v>443</v>
      </c>
      <c r="S34" s="260">
        <f t="shared" si="34"/>
        <v>817</v>
      </c>
      <c r="T34" s="343">
        <f t="shared" si="34"/>
        <v>1839</v>
      </c>
      <c r="U34" s="282">
        <f t="shared" si="34"/>
        <v>2021</v>
      </c>
      <c r="V34" s="260">
        <f t="shared" si="34"/>
        <v>1474</v>
      </c>
      <c r="W34" s="260">
        <f t="shared" si="34"/>
        <v>1988</v>
      </c>
      <c r="X34" s="260">
        <f t="shared" si="34"/>
        <v>2320</v>
      </c>
      <c r="Y34" s="343">
        <f t="shared" ref="Y34:AG34" si="35">SUM(Y27:Y33)</f>
        <v>2504</v>
      </c>
      <c r="Z34" s="282">
        <f t="shared" si="35"/>
        <v>1707</v>
      </c>
      <c r="AA34" s="260">
        <f t="shared" si="35"/>
        <v>827</v>
      </c>
      <c r="AB34" s="260">
        <f t="shared" si="35"/>
        <v>819</v>
      </c>
      <c r="AC34" s="260">
        <f t="shared" si="35"/>
        <v>237</v>
      </c>
      <c r="AD34" s="343">
        <f t="shared" si="35"/>
        <v>612</v>
      </c>
      <c r="AE34" s="282">
        <f t="shared" si="35"/>
        <v>2316</v>
      </c>
      <c r="AF34" s="260">
        <f t="shared" si="35"/>
        <v>1117</v>
      </c>
      <c r="AG34" s="260">
        <f t="shared" si="35"/>
        <v>1388</v>
      </c>
      <c r="AH34" s="283">
        <f>SUM(AH27:AH33)</f>
        <v>1885</v>
      </c>
      <c r="AI34" s="262">
        <f>SUM(AI27:AI33)</f>
        <v>53460</v>
      </c>
    </row>
    <row r="35" spans="1:35" ht="15.75" thickBot="1" x14ac:dyDescent="0.3">
      <c r="A35" s="116" t="s">
        <v>23</v>
      </c>
      <c r="B35" s="522"/>
      <c r="C35" s="282">
        <f>AVERAGE(C27:C33)</f>
        <v>517.14285714285711</v>
      </c>
      <c r="D35" s="260">
        <f>AVERAGE(D27:D33)</f>
        <v>560.42857142857144</v>
      </c>
      <c r="E35" s="260">
        <f t="shared" ref="E35:M35" si="36">AVERAGE(E27:E33)</f>
        <v>404.85714285714283</v>
      </c>
      <c r="F35" s="260">
        <f t="shared" si="36"/>
        <v>277.71428571428572</v>
      </c>
      <c r="G35" s="283">
        <f t="shared" si="36"/>
        <v>727.85714285714289</v>
      </c>
      <c r="H35" s="383">
        <f t="shared" si="36"/>
        <v>393.57142857142856</v>
      </c>
      <c r="I35" s="260">
        <f t="shared" si="36"/>
        <v>194.28571428571428</v>
      </c>
      <c r="J35" s="343" t="e">
        <f t="shared" si="36"/>
        <v>#DIV/0!</v>
      </c>
      <c r="K35" s="282">
        <f t="shared" si="36"/>
        <v>380.14285714285717</v>
      </c>
      <c r="L35" s="260">
        <f t="shared" si="36"/>
        <v>103.71428571428571</v>
      </c>
      <c r="M35" s="343">
        <f t="shared" si="36"/>
        <v>387.57142857142856</v>
      </c>
      <c r="N35" s="282">
        <f t="shared" ref="N35:T35" si="37">AVERAGE(N27:N33)</f>
        <v>77.714285714285708</v>
      </c>
      <c r="O35" s="260">
        <f t="shared" si="37"/>
        <v>40.428571428571431</v>
      </c>
      <c r="P35" s="260">
        <f t="shared" si="37"/>
        <v>98.285714285714292</v>
      </c>
      <c r="Q35" s="260" t="e">
        <f t="shared" si="37"/>
        <v>#DIV/0!</v>
      </c>
      <c r="R35" s="260">
        <f t="shared" si="37"/>
        <v>63.285714285714285</v>
      </c>
      <c r="S35" s="260">
        <f t="shared" si="37"/>
        <v>116.71428571428571</v>
      </c>
      <c r="T35" s="343">
        <f t="shared" si="37"/>
        <v>262.71428571428572</v>
      </c>
      <c r="U35" s="282">
        <f t="shared" ref="U35:AI35" si="38">AVERAGE(U27:U33)</f>
        <v>288.71428571428572</v>
      </c>
      <c r="V35" s="260">
        <f t="shared" si="38"/>
        <v>210.57142857142858</v>
      </c>
      <c r="W35" s="260">
        <f t="shared" si="38"/>
        <v>284</v>
      </c>
      <c r="X35" s="260">
        <f t="shared" si="38"/>
        <v>331.42857142857144</v>
      </c>
      <c r="Y35" s="343">
        <f t="shared" si="38"/>
        <v>357.71428571428572</v>
      </c>
      <c r="Z35" s="282">
        <f t="shared" si="38"/>
        <v>243.85714285714286</v>
      </c>
      <c r="AA35" s="260">
        <f t="shared" si="38"/>
        <v>118.14285714285714</v>
      </c>
      <c r="AB35" s="260">
        <f t="shared" si="38"/>
        <v>117</v>
      </c>
      <c r="AC35" s="260">
        <f t="shared" si="38"/>
        <v>33.857142857142854</v>
      </c>
      <c r="AD35" s="343">
        <f t="shared" si="38"/>
        <v>87.428571428571431</v>
      </c>
      <c r="AE35" s="282">
        <f t="shared" si="38"/>
        <v>330.85714285714283</v>
      </c>
      <c r="AF35" s="260">
        <f t="shared" si="38"/>
        <v>159.57142857142858</v>
      </c>
      <c r="AG35" s="260">
        <f t="shared" si="38"/>
        <v>198.28571428571428</v>
      </c>
      <c r="AH35" s="283">
        <f t="shared" si="38"/>
        <v>269.28571428571428</v>
      </c>
      <c r="AI35" s="263">
        <f t="shared" si="38"/>
        <v>7637.1428571428569</v>
      </c>
    </row>
    <row r="36" spans="1:35" ht="15.75" thickBot="1" x14ac:dyDescent="0.3">
      <c r="A36" s="32" t="s">
        <v>20</v>
      </c>
      <c r="B36" s="522"/>
      <c r="C36" s="284">
        <f>SUM(C27:C31)</f>
        <v>3256</v>
      </c>
      <c r="D36" s="261">
        <f>SUM(D27:D31)</f>
        <v>3400</v>
      </c>
      <c r="E36" s="261">
        <f>SUM(E27:E31)</f>
        <v>2255</v>
      </c>
      <c r="F36" s="261">
        <f>SUM(F27:F31)</f>
        <v>1757</v>
      </c>
      <c r="G36" s="285">
        <f>SUM(G27:G31)</f>
        <v>4616</v>
      </c>
      <c r="H36" s="384">
        <f t="shared" ref="H36:J36" si="39">SUM(H27:H31)</f>
        <v>2483</v>
      </c>
      <c r="I36" s="261">
        <f t="shared" si="39"/>
        <v>1027</v>
      </c>
      <c r="J36" s="344">
        <f t="shared" si="39"/>
        <v>0</v>
      </c>
      <c r="K36" s="284">
        <f>SUM(K27:K31)</f>
        <v>2293</v>
      </c>
      <c r="L36" s="261">
        <f>SUM(L27:L31)</f>
        <v>654</v>
      </c>
      <c r="M36" s="344">
        <f>SUM(M27:M31)</f>
        <v>2452</v>
      </c>
      <c r="N36" s="284">
        <f t="shared" ref="N36:T36" si="40">SUM(N27:N31)</f>
        <v>462</v>
      </c>
      <c r="O36" s="261">
        <f t="shared" si="40"/>
        <v>258</v>
      </c>
      <c r="P36" s="261">
        <f t="shared" si="40"/>
        <v>615</v>
      </c>
      <c r="Q36" s="261">
        <f t="shared" si="40"/>
        <v>0</v>
      </c>
      <c r="R36" s="261">
        <f t="shared" si="40"/>
        <v>405</v>
      </c>
      <c r="S36" s="261">
        <f t="shared" si="40"/>
        <v>713</v>
      </c>
      <c r="T36" s="344">
        <f t="shared" si="40"/>
        <v>1640</v>
      </c>
      <c r="U36" s="284">
        <f t="shared" ref="U36:AI36" si="41">SUM(U27:U31)</f>
        <v>1823</v>
      </c>
      <c r="V36" s="261">
        <f t="shared" si="41"/>
        <v>1216</v>
      </c>
      <c r="W36" s="261">
        <f t="shared" si="41"/>
        <v>1700</v>
      </c>
      <c r="X36" s="261">
        <f t="shared" si="41"/>
        <v>2067</v>
      </c>
      <c r="Y36" s="344">
        <f t="shared" si="41"/>
        <v>2392</v>
      </c>
      <c r="Z36" s="284">
        <f t="shared" si="41"/>
        <v>1487</v>
      </c>
      <c r="AA36" s="261">
        <f t="shared" si="41"/>
        <v>764</v>
      </c>
      <c r="AB36" s="261">
        <f t="shared" si="41"/>
        <v>760</v>
      </c>
      <c r="AC36" s="261">
        <f t="shared" si="41"/>
        <v>216</v>
      </c>
      <c r="AD36" s="344">
        <f t="shared" si="41"/>
        <v>559</v>
      </c>
      <c r="AE36" s="284">
        <f t="shared" si="41"/>
        <v>2180</v>
      </c>
      <c r="AF36" s="261">
        <f t="shared" si="41"/>
        <v>1049</v>
      </c>
      <c r="AG36" s="261">
        <f t="shared" si="41"/>
        <v>1266</v>
      </c>
      <c r="AH36" s="285">
        <f t="shared" si="41"/>
        <v>1791</v>
      </c>
      <c r="AI36" s="264">
        <f t="shared" si="41"/>
        <v>47556</v>
      </c>
    </row>
    <row r="37" spans="1:35" ht="15.75" thickBot="1" x14ac:dyDescent="0.3">
      <c r="A37" s="32" t="s">
        <v>22</v>
      </c>
      <c r="B37" s="523"/>
      <c r="C37" s="284">
        <f>AVERAGE(C27:C31)</f>
        <v>651.20000000000005</v>
      </c>
      <c r="D37" s="261">
        <f>AVERAGE(D27:D31)</f>
        <v>680</v>
      </c>
      <c r="E37" s="261">
        <f t="shared" ref="E37:M37" si="42">AVERAGE(E27:E31)</f>
        <v>451</v>
      </c>
      <c r="F37" s="261">
        <f t="shared" si="42"/>
        <v>351.4</v>
      </c>
      <c r="G37" s="285">
        <f t="shared" si="42"/>
        <v>923.2</v>
      </c>
      <c r="H37" s="384">
        <f t="shared" si="42"/>
        <v>496.6</v>
      </c>
      <c r="I37" s="261">
        <f t="shared" si="42"/>
        <v>205.4</v>
      </c>
      <c r="J37" s="344" t="e">
        <f t="shared" si="42"/>
        <v>#DIV/0!</v>
      </c>
      <c r="K37" s="284">
        <f t="shared" si="42"/>
        <v>458.6</v>
      </c>
      <c r="L37" s="261">
        <f t="shared" si="42"/>
        <v>130.80000000000001</v>
      </c>
      <c r="M37" s="344">
        <f t="shared" si="42"/>
        <v>490.4</v>
      </c>
      <c r="N37" s="284">
        <f t="shared" ref="N37:T37" si="43">AVERAGE(N27:N31)</f>
        <v>92.4</v>
      </c>
      <c r="O37" s="261">
        <f t="shared" si="43"/>
        <v>51.6</v>
      </c>
      <c r="P37" s="261">
        <f t="shared" si="43"/>
        <v>123</v>
      </c>
      <c r="Q37" s="261" t="e">
        <f t="shared" si="43"/>
        <v>#DIV/0!</v>
      </c>
      <c r="R37" s="261">
        <f t="shared" si="43"/>
        <v>81</v>
      </c>
      <c r="S37" s="261">
        <f t="shared" si="43"/>
        <v>142.6</v>
      </c>
      <c r="T37" s="344">
        <f t="shared" si="43"/>
        <v>328</v>
      </c>
      <c r="U37" s="284">
        <f t="shared" ref="U37:AI37" si="44">AVERAGE(U27:U31)</f>
        <v>364.6</v>
      </c>
      <c r="V37" s="261">
        <f t="shared" si="44"/>
        <v>243.2</v>
      </c>
      <c r="W37" s="261">
        <f t="shared" si="44"/>
        <v>340</v>
      </c>
      <c r="X37" s="261">
        <f t="shared" si="44"/>
        <v>413.4</v>
      </c>
      <c r="Y37" s="344">
        <f t="shared" si="44"/>
        <v>478.4</v>
      </c>
      <c r="Z37" s="284">
        <f t="shared" si="44"/>
        <v>297.39999999999998</v>
      </c>
      <c r="AA37" s="261">
        <f t="shared" si="44"/>
        <v>152.80000000000001</v>
      </c>
      <c r="AB37" s="261">
        <f t="shared" si="44"/>
        <v>152</v>
      </c>
      <c r="AC37" s="261">
        <f t="shared" si="44"/>
        <v>43.2</v>
      </c>
      <c r="AD37" s="344">
        <f t="shared" si="44"/>
        <v>111.8</v>
      </c>
      <c r="AE37" s="284">
        <f t="shared" si="44"/>
        <v>436</v>
      </c>
      <c r="AF37" s="261">
        <f t="shared" si="44"/>
        <v>209.8</v>
      </c>
      <c r="AG37" s="261">
        <f t="shared" si="44"/>
        <v>253.2</v>
      </c>
      <c r="AH37" s="285">
        <f t="shared" si="44"/>
        <v>358.2</v>
      </c>
      <c r="AI37" s="265">
        <f t="shared" si="44"/>
        <v>9511.2000000000007</v>
      </c>
    </row>
    <row r="38" spans="1:35" ht="15.75" thickBot="1" x14ac:dyDescent="0.3">
      <c r="A38" s="158" t="s">
        <v>3</v>
      </c>
      <c r="B38" s="319">
        <f>B33+1</f>
        <v>43486</v>
      </c>
      <c r="C38" s="397">
        <v>80</v>
      </c>
      <c r="D38" s="398">
        <v>102</v>
      </c>
      <c r="E38" s="240">
        <v>55</v>
      </c>
      <c r="F38" s="240">
        <v>45</v>
      </c>
      <c r="G38" s="270">
        <v>146</v>
      </c>
      <c r="H38" s="400">
        <f t="shared" ref="H38:H44" si="45">F38+G38</f>
        <v>191</v>
      </c>
      <c r="I38" s="240">
        <v>35</v>
      </c>
      <c r="J38" s="268"/>
      <c r="K38" s="281">
        <v>10</v>
      </c>
      <c r="L38" s="240">
        <v>3</v>
      </c>
      <c r="M38" s="268">
        <v>3</v>
      </c>
      <c r="N38" s="281">
        <v>0</v>
      </c>
      <c r="O38" s="240">
        <v>3</v>
      </c>
      <c r="P38" s="240">
        <v>15</v>
      </c>
      <c r="Q38" s="240"/>
      <c r="R38" s="240">
        <v>5</v>
      </c>
      <c r="S38" s="240">
        <v>5</v>
      </c>
      <c r="T38" s="268">
        <v>28</v>
      </c>
      <c r="U38" s="281">
        <v>59</v>
      </c>
      <c r="V38" s="240">
        <v>80</v>
      </c>
      <c r="W38" s="240">
        <v>40</v>
      </c>
      <c r="X38" s="240">
        <v>88</v>
      </c>
      <c r="Y38" s="268">
        <v>62</v>
      </c>
      <c r="Z38" s="281">
        <v>69</v>
      </c>
      <c r="AA38" s="240">
        <v>38</v>
      </c>
      <c r="AB38" s="240">
        <v>9</v>
      </c>
      <c r="AC38" s="240">
        <v>3</v>
      </c>
      <c r="AD38" s="268">
        <v>10</v>
      </c>
      <c r="AE38" s="281">
        <v>59</v>
      </c>
      <c r="AF38" s="240">
        <v>31</v>
      </c>
      <c r="AG38" s="240">
        <v>29</v>
      </c>
      <c r="AH38" s="270">
        <v>42</v>
      </c>
      <c r="AI38" s="208">
        <f>SUM(C38:AH38)</f>
        <v>1345</v>
      </c>
    </row>
    <row r="39" spans="1:35" ht="15.75" thickBot="1" x14ac:dyDescent="0.3">
      <c r="A39" s="158" t="s">
        <v>4</v>
      </c>
      <c r="B39" s="305">
        <f t="shared" ref="B39:B44" si="46">B38+1</f>
        <v>43487</v>
      </c>
      <c r="C39" s="397">
        <v>640</v>
      </c>
      <c r="D39" s="398">
        <v>638</v>
      </c>
      <c r="E39" s="240">
        <v>390</v>
      </c>
      <c r="F39" s="240">
        <v>358</v>
      </c>
      <c r="G39" s="270">
        <v>859</v>
      </c>
      <c r="H39" s="400">
        <f t="shared" si="45"/>
        <v>1217</v>
      </c>
      <c r="I39" s="240">
        <v>175</v>
      </c>
      <c r="J39" s="268"/>
      <c r="K39" s="281">
        <v>357</v>
      </c>
      <c r="L39" s="240">
        <v>120</v>
      </c>
      <c r="M39" s="268">
        <v>434</v>
      </c>
      <c r="N39" s="281">
        <v>25</v>
      </c>
      <c r="O39" s="240">
        <v>43</v>
      </c>
      <c r="P39" s="240">
        <v>140</v>
      </c>
      <c r="Q39" s="240"/>
      <c r="R39" s="240">
        <v>66</v>
      </c>
      <c r="S39" s="240">
        <v>145</v>
      </c>
      <c r="T39" s="268">
        <v>274</v>
      </c>
      <c r="U39" s="281">
        <v>321</v>
      </c>
      <c r="V39" s="240">
        <v>247</v>
      </c>
      <c r="W39" s="240">
        <v>329</v>
      </c>
      <c r="X39" s="240">
        <v>384</v>
      </c>
      <c r="Y39" s="268">
        <v>493</v>
      </c>
      <c r="Z39" s="281">
        <v>189</v>
      </c>
      <c r="AA39" s="240">
        <v>93</v>
      </c>
      <c r="AB39" s="240">
        <v>99</v>
      </c>
      <c r="AC39" s="240">
        <v>36</v>
      </c>
      <c r="AD39" s="268">
        <v>93</v>
      </c>
      <c r="AE39" s="281">
        <v>391</v>
      </c>
      <c r="AF39" s="240">
        <v>172</v>
      </c>
      <c r="AG39" s="240">
        <v>223</v>
      </c>
      <c r="AH39" s="270">
        <v>343</v>
      </c>
      <c r="AI39" s="208">
        <f t="shared" ref="AI39:AI44" si="47">SUM(C39:AH39)</f>
        <v>9294</v>
      </c>
    </row>
    <row r="40" spans="1:35" ht="15.75" thickBot="1" x14ac:dyDescent="0.3">
      <c r="A40" s="158" t="s">
        <v>5</v>
      </c>
      <c r="B40" s="305">
        <f t="shared" si="46"/>
        <v>43488</v>
      </c>
      <c r="C40" s="397">
        <v>719</v>
      </c>
      <c r="D40" s="398">
        <v>689</v>
      </c>
      <c r="E40" s="240">
        <v>436</v>
      </c>
      <c r="F40" s="240">
        <v>384</v>
      </c>
      <c r="G40" s="270">
        <v>1177</v>
      </c>
      <c r="H40" s="400">
        <f t="shared" si="45"/>
        <v>1561</v>
      </c>
      <c r="I40" s="240">
        <v>177</v>
      </c>
      <c r="J40" s="268"/>
      <c r="K40" s="281">
        <v>455</v>
      </c>
      <c r="L40" s="240">
        <v>140</v>
      </c>
      <c r="M40" s="268">
        <v>498</v>
      </c>
      <c r="N40" s="281">
        <v>93</v>
      </c>
      <c r="O40" s="240">
        <v>58</v>
      </c>
      <c r="P40" s="240">
        <v>149</v>
      </c>
      <c r="Q40" s="240"/>
      <c r="R40" s="240">
        <v>76</v>
      </c>
      <c r="S40" s="240">
        <v>155</v>
      </c>
      <c r="T40" s="268">
        <v>327</v>
      </c>
      <c r="U40" s="281">
        <v>376</v>
      </c>
      <c r="V40" s="240">
        <v>284</v>
      </c>
      <c r="W40" s="240">
        <v>326</v>
      </c>
      <c r="X40" s="240">
        <v>396</v>
      </c>
      <c r="Y40" s="268">
        <v>468</v>
      </c>
      <c r="Z40" s="281">
        <v>271</v>
      </c>
      <c r="AA40" s="240">
        <v>155</v>
      </c>
      <c r="AB40" s="240">
        <v>196</v>
      </c>
      <c r="AC40" s="240">
        <v>53</v>
      </c>
      <c r="AD40" s="268">
        <v>116</v>
      </c>
      <c r="AE40" s="281">
        <v>438</v>
      </c>
      <c r="AF40" s="240">
        <v>195</v>
      </c>
      <c r="AG40" s="240">
        <v>280</v>
      </c>
      <c r="AH40" s="270">
        <v>324</v>
      </c>
      <c r="AI40" s="208">
        <f t="shared" si="47"/>
        <v>10972</v>
      </c>
    </row>
    <row r="41" spans="1:35" ht="15.75" thickBot="1" x14ac:dyDescent="0.3">
      <c r="A41" s="158" t="s">
        <v>6</v>
      </c>
      <c r="B41" s="305">
        <f t="shared" si="46"/>
        <v>43489</v>
      </c>
      <c r="C41" s="397">
        <v>558</v>
      </c>
      <c r="D41" s="398">
        <v>584</v>
      </c>
      <c r="E41" s="240">
        <v>297</v>
      </c>
      <c r="F41" s="240">
        <v>350</v>
      </c>
      <c r="G41" s="270">
        <v>799</v>
      </c>
      <c r="H41" s="400">
        <f t="shared" si="45"/>
        <v>1149</v>
      </c>
      <c r="I41" s="240">
        <v>173</v>
      </c>
      <c r="J41" s="268"/>
      <c r="K41" s="281">
        <v>364</v>
      </c>
      <c r="L41" s="240">
        <v>141</v>
      </c>
      <c r="M41" s="268">
        <v>424</v>
      </c>
      <c r="N41" s="281">
        <v>78</v>
      </c>
      <c r="O41" s="240">
        <v>45</v>
      </c>
      <c r="P41" s="240">
        <v>107</v>
      </c>
      <c r="Q41" s="240"/>
      <c r="R41" s="240">
        <v>66</v>
      </c>
      <c r="S41" s="240">
        <v>103</v>
      </c>
      <c r="T41" s="268">
        <v>260</v>
      </c>
      <c r="U41" s="281">
        <v>320</v>
      </c>
      <c r="V41" s="240">
        <v>241</v>
      </c>
      <c r="W41" s="240">
        <v>285</v>
      </c>
      <c r="X41" s="240">
        <v>398</v>
      </c>
      <c r="Y41" s="268">
        <v>429</v>
      </c>
      <c r="Z41" s="281">
        <v>257</v>
      </c>
      <c r="AA41" s="240">
        <v>145</v>
      </c>
      <c r="AB41" s="240">
        <v>151</v>
      </c>
      <c r="AC41" s="240">
        <v>37</v>
      </c>
      <c r="AD41" s="268">
        <v>105</v>
      </c>
      <c r="AE41" s="281">
        <v>372</v>
      </c>
      <c r="AF41" s="240">
        <v>160</v>
      </c>
      <c r="AG41" s="240">
        <v>220</v>
      </c>
      <c r="AH41" s="270">
        <v>301</v>
      </c>
      <c r="AI41" s="208">
        <f t="shared" si="47"/>
        <v>8919</v>
      </c>
    </row>
    <row r="42" spans="1:35" ht="15.75" thickBot="1" x14ac:dyDescent="0.3">
      <c r="A42" s="158" t="s">
        <v>0</v>
      </c>
      <c r="B42" s="305">
        <f t="shared" si="46"/>
        <v>43490</v>
      </c>
      <c r="C42" s="397">
        <v>654</v>
      </c>
      <c r="D42" s="398">
        <v>679</v>
      </c>
      <c r="E42" s="240">
        <v>475</v>
      </c>
      <c r="F42" s="240">
        <v>352</v>
      </c>
      <c r="G42" s="270">
        <v>841</v>
      </c>
      <c r="H42" s="400">
        <f t="shared" si="45"/>
        <v>1193</v>
      </c>
      <c r="I42" s="240">
        <v>218</v>
      </c>
      <c r="J42" s="268"/>
      <c r="K42" s="281">
        <v>421</v>
      </c>
      <c r="L42" s="240">
        <v>135</v>
      </c>
      <c r="M42" s="268">
        <v>507</v>
      </c>
      <c r="N42" s="281">
        <v>89</v>
      </c>
      <c r="O42" s="240">
        <v>40</v>
      </c>
      <c r="P42" s="240">
        <v>128</v>
      </c>
      <c r="Q42" s="240"/>
      <c r="R42" s="240">
        <v>78</v>
      </c>
      <c r="S42" s="240">
        <v>155</v>
      </c>
      <c r="T42" s="268">
        <v>344</v>
      </c>
      <c r="U42" s="281">
        <v>362</v>
      </c>
      <c r="V42" s="240">
        <v>277</v>
      </c>
      <c r="W42" s="240">
        <v>337</v>
      </c>
      <c r="X42" s="240">
        <v>403</v>
      </c>
      <c r="Y42" s="268">
        <v>440</v>
      </c>
      <c r="Z42" s="281">
        <v>302</v>
      </c>
      <c r="AA42" s="240">
        <v>166</v>
      </c>
      <c r="AB42" s="240">
        <v>163</v>
      </c>
      <c r="AC42" s="240">
        <v>45</v>
      </c>
      <c r="AD42" s="268">
        <v>127</v>
      </c>
      <c r="AE42" s="281">
        <v>421</v>
      </c>
      <c r="AF42" s="240">
        <v>199</v>
      </c>
      <c r="AG42" s="240">
        <v>242</v>
      </c>
      <c r="AH42" s="270">
        <v>319</v>
      </c>
      <c r="AI42" s="208">
        <f t="shared" si="47"/>
        <v>10112</v>
      </c>
    </row>
    <row r="43" spans="1:35" ht="15.75" thickBot="1" x14ac:dyDescent="0.3">
      <c r="A43" s="158" t="s">
        <v>1</v>
      </c>
      <c r="B43" s="305">
        <f t="shared" si="46"/>
        <v>43491</v>
      </c>
      <c r="C43" s="397">
        <v>300</v>
      </c>
      <c r="D43" s="398">
        <v>403</v>
      </c>
      <c r="E43" s="240">
        <v>457</v>
      </c>
      <c r="F43" s="240">
        <v>116</v>
      </c>
      <c r="G43" s="270">
        <v>405</v>
      </c>
      <c r="H43" s="400">
        <f t="shared" si="45"/>
        <v>521</v>
      </c>
      <c r="I43" s="240">
        <v>247</v>
      </c>
      <c r="J43" s="268"/>
      <c r="K43" s="281">
        <v>326</v>
      </c>
      <c r="L43" s="240">
        <v>31</v>
      </c>
      <c r="M43" s="268">
        <v>262</v>
      </c>
      <c r="N43" s="281">
        <v>65</v>
      </c>
      <c r="O43" s="240">
        <v>13</v>
      </c>
      <c r="P43" s="240">
        <v>24</v>
      </c>
      <c r="Q43" s="240"/>
      <c r="R43" s="240">
        <v>31</v>
      </c>
      <c r="S43" s="240">
        <v>93</v>
      </c>
      <c r="T43" s="268">
        <v>139</v>
      </c>
      <c r="U43" s="281">
        <v>156</v>
      </c>
      <c r="V43" s="240">
        <v>139</v>
      </c>
      <c r="W43" s="240">
        <v>214</v>
      </c>
      <c r="X43" s="240">
        <v>201</v>
      </c>
      <c r="Y43" s="268">
        <v>102</v>
      </c>
      <c r="Z43" s="281">
        <v>187</v>
      </c>
      <c r="AA43" s="240">
        <v>26</v>
      </c>
      <c r="AB43" s="240">
        <v>42</v>
      </c>
      <c r="AC43" s="240">
        <v>14</v>
      </c>
      <c r="AD43" s="268">
        <v>44</v>
      </c>
      <c r="AE43" s="281">
        <v>131</v>
      </c>
      <c r="AF43" s="240">
        <v>58</v>
      </c>
      <c r="AG43" s="240">
        <v>105</v>
      </c>
      <c r="AH43" s="270">
        <v>89</v>
      </c>
      <c r="AI43" s="208">
        <f t="shared" si="47"/>
        <v>4941</v>
      </c>
    </row>
    <row r="44" spans="1:35" ht="15.75" thickBot="1" x14ac:dyDescent="0.3">
      <c r="A44" s="158" t="s">
        <v>2</v>
      </c>
      <c r="B44" s="305">
        <f t="shared" si="46"/>
        <v>43492</v>
      </c>
      <c r="C44" s="397">
        <v>336</v>
      </c>
      <c r="D44" s="398">
        <v>411</v>
      </c>
      <c r="E44" s="240">
        <v>558</v>
      </c>
      <c r="F44" s="240">
        <v>195</v>
      </c>
      <c r="G44" s="270">
        <v>421</v>
      </c>
      <c r="H44" s="400">
        <f t="shared" si="45"/>
        <v>616</v>
      </c>
      <c r="I44" s="240">
        <v>267</v>
      </c>
      <c r="J44" s="268"/>
      <c r="K44" s="281">
        <v>244</v>
      </c>
      <c r="L44" s="240">
        <v>64</v>
      </c>
      <c r="M44" s="268">
        <v>193</v>
      </c>
      <c r="N44" s="281">
        <v>89</v>
      </c>
      <c r="O44" s="240">
        <v>22</v>
      </c>
      <c r="P44" s="240">
        <v>47</v>
      </c>
      <c r="Q44" s="240"/>
      <c r="R44" s="240">
        <v>26</v>
      </c>
      <c r="S44" s="240">
        <v>116</v>
      </c>
      <c r="T44" s="268">
        <v>168</v>
      </c>
      <c r="U44" s="281">
        <v>164</v>
      </c>
      <c r="V44" s="240">
        <v>171</v>
      </c>
      <c r="W44" s="240">
        <v>180</v>
      </c>
      <c r="X44" s="240">
        <v>193</v>
      </c>
      <c r="Y44" s="268">
        <v>138</v>
      </c>
      <c r="Z44" s="281">
        <v>156</v>
      </c>
      <c r="AA44" s="240">
        <v>38</v>
      </c>
      <c r="AB44" s="240">
        <v>29</v>
      </c>
      <c r="AC44" s="240">
        <v>33</v>
      </c>
      <c r="AD44" s="268">
        <v>32</v>
      </c>
      <c r="AE44" s="281">
        <v>99</v>
      </c>
      <c r="AF44" s="240">
        <v>77</v>
      </c>
      <c r="AG44" s="240">
        <v>58</v>
      </c>
      <c r="AH44" s="270">
        <v>91</v>
      </c>
      <c r="AI44" s="208">
        <f t="shared" si="47"/>
        <v>5232</v>
      </c>
    </row>
    <row r="45" spans="1:35" ht="15.75" thickBot="1" x14ac:dyDescent="0.3">
      <c r="A45" s="167" t="s">
        <v>21</v>
      </c>
      <c r="B45" s="521" t="s">
        <v>27</v>
      </c>
      <c r="C45" s="282">
        <f t="shared" ref="C45:AI45" si="48">SUM(C38:C44)</f>
        <v>3287</v>
      </c>
      <c r="D45" s="260">
        <f t="shared" si="48"/>
        <v>3506</v>
      </c>
      <c r="E45" s="260">
        <f t="shared" si="48"/>
        <v>2668</v>
      </c>
      <c r="F45" s="260">
        <f t="shared" si="48"/>
        <v>1800</v>
      </c>
      <c r="G45" s="283">
        <f t="shared" si="48"/>
        <v>4648</v>
      </c>
      <c r="H45" s="383">
        <f t="shared" si="48"/>
        <v>6448</v>
      </c>
      <c r="I45" s="260">
        <f t="shared" si="48"/>
        <v>1292</v>
      </c>
      <c r="J45" s="343">
        <f t="shared" si="48"/>
        <v>0</v>
      </c>
      <c r="K45" s="282">
        <f t="shared" si="48"/>
        <v>2177</v>
      </c>
      <c r="L45" s="260">
        <f t="shared" si="48"/>
        <v>634</v>
      </c>
      <c r="M45" s="343">
        <f t="shared" si="48"/>
        <v>2321</v>
      </c>
      <c r="N45" s="282">
        <f t="shared" si="48"/>
        <v>439</v>
      </c>
      <c r="O45" s="260">
        <f t="shared" si="48"/>
        <v>224</v>
      </c>
      <c r="P45" s="260">
        <f t="shared" si="48"/>
        <v>610</v>
      </c>
      <c r="Q45" s="260">
        <f t="shared" si="48"/>
        <v>0</v>
      </c>
      <c r="R45" s="260">
        <f t="shared" si="48"/>
        <v>348</v>
      </c>
      <c r="S45" s="260">
        <f t="shared" si="48"/>
        <v>772</v>
      </c>
      <c r="T45" s="343">
        <f t="shared" si="48"/>
        <v>1540</v>
      </c>
      <c r="U45" s="282">
        <f t="shared" si="48"/>
        <v>1758</v>
      </c>
      <c r="V45" s="260">
        <f t="shared" si="48"/>
        <v>1439</v>
      </c>
      <c r="W45" s="260">
        <f t="shared" si="48"/>
        <v>1711</v>
      </c>
      <c r="X45" s="260">
        <f t="shared" si="48"/>
        <v>2063</v>
      </c>
      <c r="Y45" s="343">
        <f t="shared" si="48"/>
        <v>2132</v>
      </c>
      <c r="Z45" s="282">
        <f t="shared" si="48"/>
        <v>1431</v>
      </c>
      <c r="AA45" s="260">
        <f t="shared" si="48"/>
        <v>661</v>
      </c>
      <c r="AB45" s="260">
        <f t="shared" si="48"/>
        <v>689</v>
      </c>
      <c r="AC45" s="260">
        <f t="shared" si="48"/>
        <v>221</v>
      </c>
      <c r="AD45" s="343">
        <f t="shared" si="48"/>
        <v>527</v>
      </c>
      <c r="AE45" s="282">
        <f t="shared" si="48"/>
        <v>1911</v>
      </c>
      <c r="AF45" s="260">
        <f t="shared" si="48"/>
        <v>892</v>
      </c>
      <c r="AG45" s="260">
        <f t="shared" si="48"/>
        <v>1157</v>
      </c>
      <c r="AH45" s="283">
        <f t="shared" si="48"/>
        <v>1509</v>
      </c>
      <c r="AI45" s="262">
        <f t="shared" si="48"/>
        <v>50815</v>
      </c>
    </row>
    <row r="46" spans="1:35" ht="15.75" thickBot="1" x14ac:dyDescent="0.3">
      <c r="A46" s="116" t="s">
        <v>23</v>
      </c>
      <c r="B46" s="522"/>
      <c r="C46" s="282">
        <f>AVERAGE(C38:C44)</f>
        <v>469.57142857142856</v>
      </c>
      <c r="D46" s="260">
        <f>AVERAGE(D38:D44)</f>
        <v>500.85714285714283</v>
      </c>
      <c r="E46" s="260">
        <f t="shared" ref="E46:AD46" si="49">AVERAGE(E38:E44)</f>
        <v>381.14285714285717</v>
      </c>
      <c r="F46" s="260">
        <f t="shared" si="49"/>
        <v>257.14285714285717</v>
      </c>
      <c r="G46" s="283">
        <f t="shared" si="49"/>
        <v>664</v>
      </c>
      <c r="H46" s="383">
        <f t="shared" si="49"/>
        <v>921.14285714285711</v>
      </c>
      <c r="I46" s="260">
        <f t="shared" si="49"/>
        <v>184.57142857142858</v>
      </c>
      <c r="J46" s="343" t="e">
        <f t="shared" si="49"/>
        <v>#DIV/0!</v>
      </c>
      <c r="K46" s="282">
        <f t="shared" si="49"/>
        <v>311</v>
      </c>
      <c r="L46" s="260">
        <f>AVERAGE(L38:L44)</f>
        <v>90.571428571428569</v>
      </c>
      <c r="M46" s="343">
        <f>AVERAGE(M38:M44)</f>
        <v>331.57142857142856</v>
      </c>
      <c r="N46" s="282">
        <f t="shared" ref="N46:T46" si="50">AVERAGE(N38:N44)</f>
        <v>62.714285714285715</v>
      </c>
      <c r="O46" s="260">
        <f t="shared" si="50"/>
        <v>32</v>
      </c>
      <c r="P46" s="260">
        <f t="shared" si="50"/>
        <v>87.142857142857139</v>
      </c>
      <c r="Q46" s="260" t="e">
        <f t="shared" si="50"/>
        <v>#DIV/0!</v>
      </c>
      <c r="R46" s="260">
        <f t="shared" si="50"/>
        <v>49.714285714285715</v>
      </c>
      <c r="S46" s="260">
        <f t="shared" si="50"/>
        <v>110.28571428571429</v>
      </c>
      <c r="T46" s="343">
        <f t="shared" si="50"/>
        <v>220</v>
      </c>
      <c r="U46" s="282">
        <f>AVERAGE(U38:U44)</f>
        <v>251.14285714285714</v>
      </c>
      <c r="V46" s="260">
        <f>AVERAGE(V38:V44)</f>
        <v>205.57142857142858</v>
      </c>
      <c r="W46" s="260">
        <f>AVERAGE(W38:W44)</f>
        <v>244.42857142857142</v>
      </c>
      <c r="X46" s="260">
        <f>AVERAGE(X38:X44)</f>
        <v>294.71428571428572</v>
      </c>
      <c r="Y46" s="343">
        <f>AVERAGE(Y38:Y44)</f>
        <v>304.57142857142856</v>
      </c>
      <c r="Z46" s="282">
        <f t="shared" si="49"/>
        <v>204.42857142857142</v>
      </c>
      <c r="AA46" s="260">
        <f t="shared" si="49"/>
        <v>94.428571428571431</v>
      </c>
      <c r="AB46" s="260">
        <f t="shared" si="49"/>
        <v>98.428571428571431</v>
      </c>
      <c r="AC46" s="260">
        <f t="shared" si="49"/>
        <v>31.571428571428573</v>
      </c>
      <c r="AD46" s="343">
        <f t="shared" si="49"/>
        <v>75.285714285714292</v>
      </c>
      <c r="AE46" s="282">
        <f>AVERAGE(AE38:AE44)</f>
        <v>273</v>
      </c>
      <c r="AF46" s="260">
        <f>AVERAGE(AF38:AF44)</f>
        <v>127.42857142857143</v>
      </c>
      <c r="AG46" s="260">
        <f>AVERAGE(AG38:AG44)</f>
        <v>165.28571428571428</v>
      </c>
      <c r="AH46" s="283">
        <f>AVERAGE(AH38:AH44)</f>
        <v>215.57142857142858</v>
      </c>
      <c r="AI46" s="263">
        <f>AVERAGE(AI38:AI44)</f>
        <v>7259.2857142857147</v>
      </c>
    </row>
    <row r="47" spans="1:35" ht="15.75" thickBot="1" x14ac:dyDescent="0.3">
      <c r="A47" s="32" t="s">
        <v>20</v>
      </c>
      <c r="B47" s="522"/>
      <c r="C47" s="284">
        <f>SUM(C38:C42)</f>
        <v>2651</v>
      </c>
      <c r="D47" s="261">
        <f>SUM(D38:D42)</f>
        <v>2692</v>
      </c>
      <c r="E47" s="261">
        <f t="shared" ref="E47:M47" si="51">SUM(E38:E42)</f>
        <v>1653</v>
      </c>
      <c r="F47" s="261">
        <f t="shared" si="51"/>
        <v>1489</v>
      </c>
      <c r="G47" s="285">
        <f t="shared" si="51"/>
        <v>3822</v>
      </c>
      <c r="H47" s="384">
        <f t="shared" si="51"/>
        <v>5311</v>
      </c>
      <c r="I47" s="261">
        <f t="shared" si="51"/>
        <v>778</v>
      </c>
      <c r="J47" s="344">
        <f t="shared" si="51"/>
        <v>0</v>
      </c>
      <c r="K47" s="284">
        <f t="shared" si="51"/>
        <v>1607</v>
      </c>
      <c r="L47" s="261">
        <f t="shared" si="51"/>
        <v>539</v>
      </c>
      <c r="M47" s="344">
        <f t="shared" si="51"/>
        <v>1866</v>
      </c>
      <c r="N47" s="284">
        <f t="shared" ref="N47:T47" si="52">SUM(N38:N42)</f>
        <v>285</v>
      </c>
      <c r="O47" s="261">
        <f t="shared" si="52"/>
        <v>189</v>
      </c>
      <c r="P47" s="261">
        <f t="shared" si="52"/>
        <v>539</v>
      </c>
      <c r="Q47" s="261">
        <f t="shared" si="52"/>
        <v>0</v>
      </c>
      <c r="R47" s="261">
        <f t="shared" si="52"/>
        <v>291</v>
      </c>
      <c r="S47" s="261">
        <f t="shared" si="52"/>
        <v>563</v>
      </c>
      <c r="T47" s="344">
        <f t="shared" si="52"/>
        <v>1233</v>
      </c>
      <c r="U47" s="284">
        <f t="shared" ref="U47:AI47" si="53">SUM(U38:U42)</f>
        <v>1438</v>
      </c>
      <c r="V47" s="261">
        <f t="shared" si="53"/>
        <v>1129</v>
      </c>
      <c r="W47" s="261">
        <f t="shared" si="53"/>
        <v>1317</v>
      </c>
      <c r="X47" s="261">
        <f t="shared" si="53"/>
        <v>1669</v>
      </c>
      <c r="Y47" s="344">
        <f t="shared" si="53"/>
        <v>1892</v>
      </c>
      <c r="Z47" s="284">
        <f t="shared" si="53"/>
        <v>1088</v>
      </c>
      <c r="AA47" s="261">
        <f t="shared" si="53"/>
        <v>597</v>
      </c>
      <c r="AB47" s="261">
        <f t="shared" si="53"/>
        <v>618</v>
      </c>
      <c r="AC47" s="261">
        <f t="shared" si="53"/>
        <v>174</v>
      </c>
      <c r="AD47" s="344">
        <f t="shared" si="53"/>
        <v>451</v>
      </c>
      <c r="AE47" s="284">
        <f t="shared" si="53"/>
        <v>1681</v>
      </c>
      <c r="AF47" s="261">
        <f t="shared" si="53"/>
        <v>757</v>
      </c>
      <c r="AG47" s="261">
        <f t="shared" si="53"/>
        <v>994</v>
      </c>
      <c r="AH47" s="285">
        <f t="shared" si="53"/>
        <v>1329</v>
      </c>
      <c r="AI47" s="264">
        <f t="shared" si="53"/>
        <v>40642</v>
      </c>
    </row>
    <row r="48" spans="1:35" ht="15.75" thickBot="1" x14ac:dyDescent="0.3">
      <c r="A48" s="32" t="s">
        <v>22</v>
      </c>
      <c r="B48" s="523"/>
      <c r="C48" s="284">
        <f>AVERAGE(C38:C42)</f>
        <v>530.20000000000005</v>
      </c>
      <c r="D48" s="261">
        <f>AVERAGE(D38:D42)</f>
        <v>538.4</v>
      </c>
      <c r="E48" s="261">
        <f t="shared" ref="E48:M48" si="54">AVERAGE(E38:E42)</f>
        <v>330.6</v>
      </c>
      <c r="F48" s="261">
        <f t="shared" si="54"/>
        <v>297.8</v>
      </c>
      <c r="G48" s="285">
        <f t="shared" si="54"/>
        <v>764.4</v>
      </c>
      <c r="H48" s="384">
        <f t="shared" si="54"/>
        <v>1062.2</v>
      </c>
      <c r="I48" s="261">
        <f t="shared" si="54"/>
        <v>155.6</v>
      </c>
      <c r="J48" s="344" t="e">
        <f t="shared" si="54"/>
        <v>#DIV/0!</v>
      </c>
      <c r="K48" s="284">
        <f t="shared" si="54"/>
        <v>321.39999999999998</v>
      </c>
      <c r="L48" s="261">
        <f t="shared" si="54"/>
        <v>107.8</v>
      </c>
      <c r="M48" s="344">
        <f t="shared" si="54"/>
        <v>373.2</v>
      </c>
      <c r="N48" s="284">
        <f t="shared" ref="N48:T48" si="55">AVERAGE(N38:N42)</f>
        <v>57</v>
      </c>
      <c r="O48" s="261">
        <f t="shared" si="55"/>
        <v>37.799999999999997</v>
      </c>
      <c r="P48" s="261">
        <f t="shared" si="55"/>
        <v>107.8</v>
      </c>
      <c r="Q48" s="261" t="e">
        <f t="shared" si="55"/>
        <v>#DIV/0!</v>
      </c>
      <c r="R48" s="261">
        <f t="shared" si="55"/>
        <v>58.2</v>
      </c>
      <c r="S48" s="261">
        <f t="shared" si="55"/>
        <v>112.6</v>
      </c>
      <c r="T48" s="344">
        <f t="shared" si="55"/>
        <v>246.6</v>
      </c>
      <c r="U48" s="284">
        <f t="shared" ref="U48:AI48" si="56">AVERAGE(U38:U42)</f>
        <v>287.60000000000002</v>
      </c>
      <c r="V48" s="261">
        <f t="shared" si="56"/>
        <v>225.8</v>
      </c>
      <c r="W48" s="261">
        <f t="shared" si="56"/>
        <v>263.39999999999998</v>
      </c>
      <c r="X48" s="261">
        <f t="shared" si="56"/>
        <v>333.8</v>
      </c>
      <c r="Y48" s="344">
        <f t="shared" si="56"/>
        <v>378.4</v>
      </c>
      <c r="Z48" s="284">
        <f t="shared" si="56"/>
        <v>217.6</v>
      </c>
      <c r="AA48" s="261">
        <f t="shared" si="56"/>
        <v>119.4</v>
      </c>
      <c r="AB48" s="261">
        <f t="shared" si="56"/>
        <v>123.6</v>
      </c>
      <c r="AC48" s="261">
        <f t="shared" si="56"/>
        <v>34.799999999999997</v>
      </c>
      <c r="AD48" s="344">
        <f t="shared" si="56"/>
        <v>90.2</v>
      </c>
      <c r="AE48" s="284">
        <f t="shared" si="56"/>
        <v>336.2</v>
      </c>
      <c r="AF48" s="261">
        <f t="shared" si="56"/>
        <v>151.4</v>
      </c>
      <c r="AG48" s="261">
        <f t="shared" si="56"/>
        <v>198.8</v>
      </c>
      <c r="AH48" s="285">
        <f t="shared" si="56"/>
        <v>265.8</v>
      </c>
      <c r="AI48" s="265">
        <f t="shared" si="56"/>
        <v>8128.4</v>
      </c>
    </row>
    <row r="49" spans="1:35" ht="15.75" thickBot="1" x14ac:dyDescent="0.3">
      <c r="A49" s="158" t="s">
        <v>3</v>
      </c>
      <c r="B49" s="319">
        <f>B44+1</f>
        <v>43493</v>
      </c>
      <c r="C49" s="397">
        <v>690</v>
      </c>
      <c r="D49" s="398">
        <v>704</v>
      </c>
      <c r="E49" s="240">
        <v>490</v>
      </c>
      <c r="F49" s="240">
        <v>371</v>
      </c>
      <c r="G49" s="270">
        <v>960</v>
      </c>
      <c r="H49" s="400">
        <v>497</v>
      </c>
      <c r="I49" s="240">
        <v>194</v>
      </c>
      <c r="J49" s="268"/>
      <c r="K49" s="281">
        <v>451</v>
      </c>
      <c r="L49" s="240">
        <v>134</v>
      </c>
      <c r="M49" s="268">
        <v>494</v>
      </c>
      <c r="N49" s="281">
        <v>65</v>
      </c>
      <c r="O49" s="240">
        <v>35</v>
      </c>
      <c r="P49" s="240">
        <v>105</v>
      </c>
      <c r="Q49" s="240"/>
      <c r="R49" s="240">
        <v>76</v>
      </c>
      <c r="S49" s="240">
        <v>132</v>
      </c>
      <c r="T49" s="268">
        <v>285</v>
      </c>
      <c r="U49" s="281">
        <v>353</v>
      </c>
      <c r="V49" s="240">
        <v>260</v>
      </c>
      <c r="W49" s="240">
        <v>301</v>
      </c>
      <c r="X49" s="240">
        <v>440</v>
      </c>
      <c r="Y49" s="268">
        <v>545</v>
      </c>
      <c r="Z49" s="281">
        <v>259</v>
      </c>
      <c r="AA49" s="240">
        <v>138</v>
      </c>
      <c r="AB49" s="240">
        <v>153</v>
      </c>
      <c r="AC49" s="240">
        <v>43</v>
      </c>
      <c r="AD49" s="268">
        <v>115</v>
      </c>
      <c r="AE49" s="281">
        <v>450</v>
      </c>
      <c r="AF49" s="240">
        <v>211</v>
      </c>
      <c r="AG49" s="240">
        <v>253</v>
      </c>
      <c r="AH49" s="270">
        <v>348</v>
      </c>
      <c r="AI49" s="208">
        <f>SUM(C49:AH49)</f>
        <v>9552</v>
      </c>
    </row>
    <row r="50" spans="1:35" ht="15.75" thickBot="1" x14ac:dyDescent="0.3">
      <c r="A50" s="158" t="s">
        <v>4</v>
      </c>
      <c r="B50" s="305">
        <f t="shared" ref="B50:B55" si="57">B49+1</f>
        <v>43494</v>
      </c>
      <c r="C50" s="397">
        <v>631</v>
      </c>
      <c r="D50" s="398">
        <v>581</v>
      </c>
      <c r="E50" s="240">
        <v>361</v>
      </c>
      <c r="F50" s="240">
        <v>367</v>
      </c>
      <c r="G50" s="270">
        <v>892</v>
      </c>
      <c r="H50" s="400">
        <v>475</v>
      </c>
      <c r="I50" s="240">
        <v>202</v>
      </c>
      <c r="J50" s="268"/>
      <c r="K50" s="281">
        <v>462</v>
      </c>
      <c r="L50" s="240">
        <v>139</v>
      </c>
      <c r="M50" s="268">
        <v>477</v>
      </c>
      <c r="N50" s="281">
        <v>89</v>
      </c>
      <c r="O50" s="240">
        <v>48</v>
      </c>
      <c r="P50" s="240">
        <v>105</v>
      </c>
      <c r="Q50" s="240"/>
      <c r="R50" s="240">
        <v>74</v>
      </c>
      <c r="S50" s="240">
        <v>153</v>
      </c>
      <c r="T50" s="268">
        <v>283</v>
      </c>
      <c r="U50" s="281">
        <v>390</v>
      </c>
      <c r="V50" s="240">
        <v>250</v>
      </c>
      <c r="W50" s="240">
        <v>322</v>
      </c>
      <c r="X50" s="240">
        <v>364</v>
      </c>
      <c r="Y50" s="268">
        <v>476</v>
      </c>
      <c r="Z50" s="281">
        <v>261</v>
      </c>
      <c r="AA50" s="240">
        <v>189</v>
      </c>
      <c r="AB50" s="240">
        <v>156</v>
      </c>
      <c r="AC50" s="240">
        <v>41</v>
      </c>
      <c r="AD50" s="268">
        <v>122</v>
      </c>
      <c r="AE50" s="281">
        <v>419</v>
      </c>
      <c r="AF50" s="240">
        <v>191</v>
      </c>
      <c r="AG50" s="240">
        <v>252</v>
      </c>
      <c r="AH50" s="270">
        <v>336</v>
      </c>
      <c r="AI50" s="208">
        <f t="shared" ref="AI50:AI52" si="58">SUM(C50:AH50)</f>
        <v>9108</v>
      </c>
    </row>
    <row r="51" spans="1:35" ht="15.75" thickBot="1" x14ac:dyDescent="0.3">
      <c r="A51" s="158" t="s">
        <v>5</v>
      </c>
      <c r="B51" s="305">
        <f t="shared" si="57"/>
        <v>43495</v>
      </c>
      <c r="C51" s="397">
        <v>511</v>
      </c>
      <c r="D51" s="398">
        <v>557</v>
      </c>
      <c r="E51" s="240">
        <v>330</v>
      </c>
      <c r="F51" s="240">
        <v>348</v>
      </c>
      <c r="G51" s="270">
        <v>738</v>
      </c>
      <c r="H51" s="400">
        <v>416</v>
      </c>
      <c r="I51" s="240">
        <v>158</v>
      </c>
      <c r="J51" s="268"/>
      <c r="K51" s="281">
        <v>358</v>
      </c>
      <c r="L51" s="240">
        <v>109</v>
      </c>
      <c r="M51" s="268">
        <v>364</v>
      </c>
      <c r="N51" s="281">
        <v>80</v>
      </c>
      <c r="O51" s="240">
        <v>21</v>
      </c>
      <c r="P51" s="240">
        <v>83</v>
      </c>
      <c r="Q51" s="240"/>
      <c r="R51" s="240">
        <v>62</v>
      </c>
      <c r="S51" s="240">
        <v>109</v>
      </c>
      <c r="T51" s="268">
        <v>231</v>
      </c>
      <c r="U51" s="281">
        <v>334</v>
      </c>
      <c r="V51" s="240">
        <v>258</v>
      </c>
      <c r="W51" s="240">
        <v>293</v>
      </c>
      <c r="X51" s="240">
        <v>330</v>
      </c>
      <c r="Y51" s="268">
        <v>447</v>
      </c>
      <c r="Z51" s="281">
        <v>238</v>
      </c>
      <c r="AA51" s="240">
        <v>117</v>
      </c>
      <c r="AB51" s="240">
        <v>143</v>
      </c>
      <c r="AC51" s="240">
        <v>38</v>
      </c>
      <c r="AD51" s="268">
        <v>72</v>
      </c>
      <c r="AE51" s="281">
        <v>373</v>
      </c>
      <c r="AF51" s="240">
        <v>197</v>
      </c>
      <c r="AG51" s="240">
        <v>219</v>
      </c>
      <c r="AH51" s="270">
        <v>314</v>
      </c>
      <c r="AI51" s="208">
        <f t="shared" si="58"/>
        <v>7848</v>
      </c>
    </row>
    <row r="52" spans="1:35" ht="15.75" thickBot="1" x14ac:dyDescent="0.3">
      <c r="A52" s="158" t="s">
        <v>6</v>
      </c>
      <c r="B52" s="305">
        <f t="shared" si="57"/>
        <v>43496</v>
      </c>
      <c r="C52" s="397">
        <v>454</v>
      </c>
      <c r="D52" s="398">
        <v>398</v>
      </c>
      <c r="E52" s="240">
        <v>240</v>
      </c>
      <c r="F52" s="240">
        <v>239</v>
      </c>
      <c r="G52" s="270">
        <v>631</v>
      </c>
      <c r="H52" s="400">
        <v>295</v>
      </c>
      <c r="I52" s="240">
        <v>127</v>
      </c>
      <c r="J52" s="268"/>
      <c r="K52" s="281">
        <v>256</v>
      </c>
      <c r="L52" s="240">
        <v>97</v>
      </c>
      <c r="M52" s="268">
        <v>344</v>
      </c>
      <c r="N52" s="281">
        <v>39</v>
      </c>
      <c r="O52" s="240">
        <v>38</v>
      </c>
      <c r="P52" s="240">
        <v>82</v>
      </c>
      <c r="Q52" s="240"/>
      <c r="R52" s="240">
        <v>48</v>
      </c>
      <c r="S52" s="240">
        <v>97</v>
      </c>
      <c r="T52" s="268">
        <v>218</v>
      </c>
      <c r="U52" s="281">
        <v>254</v>
      </c>
      <c r="V52" s="240">
        <v>215</v>
      </c>
      <c r="W52" s="240">
        <v>267</v>
      </c>
      <c r="X52" s="240">
        <v>312</v>
      </c>
      <c r="Y52" s="268">
        <v>356</v>
      </c>
      <c r="Z52" s="281">
        <v>155</v>
      </c>
      <c r="AA52" s="240">
        <v>112</v>
      </c>
      <c r="AB52" s="240">
        <v>85</v>
      </c>
      <c r="AC52" s="240">
        <v>22</v>
      </c>
      <c r="AD52" s="268">
        <v>54</v>
      </c>
      <c r="AE52" s="281">
        <v>312</v>
      </c>
      <c r="AF52" s="240">
        <v>158</v>
      </c>
      <c r="AG52" s="240">
        <v>204</v>
      </c>
      <c r="AH52" s="270">
        <v>250</v>
      </c>
      <c r="AI52" s="208">
        <f t="shared" si="58"/>
        <v>6359</v>
      </c>
    </row>
    <row r="53" spans="1:35" ht="15.75" hidden="1" thickBot="1" x14ac:dyDescent="0.3">
      <c r="A53" s="158" t="s">
        <v>0</v>
      </c>
      <c r="B53" s="305">
        <f t="shared" si="57"/>
        <v>43497</v>
      </c>
      <c r="C53" s="391"/>
      <c r="D53" s="240"/>
      <c r="E53" s="240"/>
      <c r="F53" s="240"/>
      <c r="G53" s="270"/>
      <c r="H53" s="306"/>
      <c r="I53" s="240"/>
      <c r="J53" s="268"/>
      <c r="K53" s="281"/>
      <c r="L53" s="240"/>
      <c r="M53" s="268"/>
      <c r="N53" s="281"/>
      <c r="O53" s="240"/>
      <c r="P53" s="240"/>
      <c r="Q53" s="240"/>
      <c r="R53" s="240"/>
      <c r="S53" s="240"/>
      <c r="T53" s="268"/>
      <c r="U53" s="281"/>
      <c r="V53" s="240"/>
      <c r="W53" s="240"/>
      <c r="X53" s="240"/>
      <c r="Y53" s="268"/>
      <c r="Z53" s="281"/>
      <c r="AA53" s="240"/>
      <c r="AB53" s="240"/>
      <c r="AC53" s="240"/>
      <c r="AD53" s="268"/>
      <c r="AE53" s="281"/>
      <c r="AF53" s="240"/>
      <c r="AG53" s="240"/>
      <c r="AH53" s="270"/>
      <c r="AI53" s="208">
        <f t="shared" ref="AI53:AI55" si="59">SUM(O53:AH53)</f>
        <v>0</v>
      </c>
    </row>
    <row r="54" spans="1:35" ht="15.75" hidden="1" thickBot="1" x14ac:dyDescent="0.3">
      <c r="A54" s="158" t="s">
        <v>1</v>
      </c>
      <c r="B54" s="305">
        <f t="shared" si="57"/>
        <v>43498</v>
      </c>
      <c r="C54" s="281"/>
      <c r="D54" s="240"/>
      <c r="E54" s="240"/>
      <c r="F54" s="240"/>
      <c r="G54" s="270"/>
      <c r="H54" s="306"/>
      <c r="I54" s="240"/>
      <c r="J54" s="268"/>
      <c r="K54" s="281"/>
      <c r="L54" s="240"/>
      <c r="M54" s="268"/>
      <c r="N54" s="281"/>
      <c r="O54" s="240"/>
      <c r="P54" s="240"/>
      <c r="Q54" s="240"/>
      <c r="R54" s="240"/>
      <c r="S54" s="240"/>
      <c r="T54" s="268"/>
      <c r="U54" s="281"/>
      <c r="V54" s="240"/>
      <c r="W54" s="240"/>
      <c r="X54" s="240"/>
      <c r="Y54" s="268"/>
      <c r="Z54" s="281"/>
      <c r="AA54" s="240"/>
      <c r="AB54" s="240"/>
      <c r="AC54" s="240"/>
      <c r="AD54" s="268"/>
      <c r="AE54" s="281"/>
      <c r="AF54" s="240"/>
      <c r="AG54" s="240"/>
      <c r="AH54" s="270"/>
      <c r="AI54" s="208">
        <f t="shared" si="59"/>
        <v>0</v>
      </c>
    </row>
    <row r="55" spans="1:35" ht="15.75" hidden="1" thickBot="1" x14ac:dyDescent="0.3">
      <c r="A55" s="158" t="s">
        <v>2</v>
      </c>
      <c r="B55" s="305">
        <f t="shared" si="57"/>
        <v>43499</v>
      </c>
      <c r="C55" s="281"/>
      <c r="D55" s="240"/>
      <c r="E55" s="240"/>
      <c r="F55" s="240"/>
      <c r="G55" s="270"/>
      <c r="H55" s="306"/>
      <c r="I55" s="240"/>
      <c r="J55" s="268"/>
      <c r="K55" s="281"/>
      <c r="L55" s="240"/>
      <c r="M55" s="268"/>
      <c r="N55" s="281"/>
      <c r="O55" s="240"/>
      <c r="P55" s="240"/>
      <c r="Q55" s="240"/>
      <c r="R55" s="240"/>
      <c r="S55" s="240"/>
      <c r="T55" s="268"/>
      <c r="U55" s="281"/>
      <c r="V55" s="240"/>
      <c r="W55" s="240"/>
      <c r="X55" s="240"/>
      <c r="Y55" s="268"/>
      <c r="Z55" s="281"/>
      <c r="AA55" s="240"/>
      <c r="AB55" s="240"/>
      <c r="AC55" s="240"/>
      <c r="AD55" s="268"/>
      <c r="AE55" s="281"/>
      <c r="AF55" s="240"/>
      <c r="AG55" s="240"/>
      <c r="AH55" s="270"/>
      <c r="AI55" s="208">
        <f t="shared" si="59"/>
        <v>0</v>
      </c>
    </row>
    <row r="56" spans="1:35" ht="15.75" thickBot="1" x14ac:dyDescent="0.3">
      <c r="A56" s="167" t="s">
        <v>21</v>
      </c>
      <c r="B56" s="521" t="s">
        <v>28</v>
      </c>
      <c r="C56" s="282">
        <f t="shared" ref="C56:P56" si="60">SUM(C49:C55)</f>
        <v>2286</v>
      </c>
      <c r="D56" s="260">
        <f t="shared" si="60"/>
        <v>2240</v>
      </c>
      <c r="E56" s="260">
        <f t="shared" si="60"/>
        <v>1421</v>
      </c>
      <c r="F56" s="260">
        <f t="shared" si="60"/>
        <v>1325</v>
      </c>
      <c r="G56" s="283">
        <f t="shared" si="60"/>
        <v>3221</v>
      </c>
      <c r="H56" s="383">
        <f t="shared" si="60"/>
        <v>1683</v>
      </c>
      <c r="I56" s="260">
        <f t="shared" si="60"/>
        <v>681</v>
      </c>
      <c r="J56" s="343">
        <f t="shared" si="60"/>
        <v>0</v>
      </c>
      <c r="K56" s="282">
        <f t="shared" si="60"/>
        <v>1527</v>
      </c>
      <c r="L56" s="260">
        <f t="shared" si="60"/>
        <v>479</v>
      </c>
      <c r="M56" s="343">
        <f t="shared" si="60"/>
        <v>1679</v>
      </c>
      <c r="N56" s="282">
        <f t="shared" si="60"/>
        <v>273</v>
      </c>
      <c r="O56" s="260">
        <f t="shared" si="60"/>
        <v>142</v>
      </c>
      <c r="P56" s="260">
        <f t="shared" si="60"/>
        <v>375</v>
      </c>
      <c r="Q56" s="260">
        <f t="shared" ref="Q56" si="61">SUM(Q49:Q55)</f>
        <v>0</v>
      </c>
      <c r="R56" s="260">
        <f t="shared" ref="R56:AI56" si="62">SUM(R49:R55)</f>
        <v>260</v>
      </c>
      <c r="S56" s="260">
        <f t="shared" si="62"/>
        <v>491</v>
      </c>
      <c r="T56" s="343">
        <f t="shared" si="62"/>
        <v>1017</v>
      </c>
      <c r="U56" s="282">
        <f t="shared" si="62"/>
        <v>1331</v>
      </c>
      <c r="V56" s="260">
        <f t="shared" si="62"/>
        <v>983</v>
      </c>
      <c r="W56" s="260">
        <f t="shared" si="62"/>
        <v>1183</v>
      </c>
      <c r="X56" s="260">
        <f t="shared" si="62"/>
        <v>1446</v>
      </c>
      <c r="Y56" s="343">
        <f t="shared" si="62"/>
        <v>1824</v>
      </c>
      <c r="Z56" s="282">
        <f t="shared" si="62"/>
        <v>913</v>
      </c>
      <c r="AA56" s="260">
        <f t="shared" si="62"/>
        <v>556</v>
      </c>
      <c r="AB56" s="260">
        <f t="shared" si="62"/>
        <v>537</v>
      </c>
      <c r="AC56" s="260">
        <f t="shared" si="62"/>
        <v>144</v>
      </c>
      <c r="AD56" s="343">
        <f t="shared" si="62"/>
        <v>363</v>
      </c>
      <c r="AE56" s="282">
        <f t="shared" si="62"/>
        <v>1554</v>
      </c>
      <c r="AF56" s="260">
        <f t="shared" si="62"/>
        <v>757</v>
      </c>
      <c r="AG56" s="260">
        <f t="shared" si="62"/>
        <v>928</v>
      </c>
      <c r="AH56" s="283">
        <f t="shared" si="62"/>
        <v>1248</v>
      </c>
      <c r="AI56" s="262">
        <f t="shared" si="62"/>
        <v>32867</v>
      </c>
    </row>
    <row r="57" spans="1:35" ht="15.75" thickBot="1" x14ac:dyDescent="0.3">
      <c r="A57" s="116" t="s">
        <v>23</v>
      </c>
      <c r="B57" s="522"/>
      <c r="C57" s="282">
        <f>AVERAGE(C49:C55)</f>
        <v>571.5</v>
      </c>
      <c r="D57" s="260">
        <f t="shared" ref="D57:M57" si="63">AVERAGE(D49:D55)</f>
        <v>560</v>
      </c>
      <c r="E57" s="260">
        <f t="shared" si="63"/>
        <v>355.25</v>
      </c>
      <c r="F57" s="260">
        <f t="shared" si="63"/>
        <v>331.25</v>
      </c>
      <c r="G57" s="283">
        <f t="shared" si="63"/>
        <v>805.25</v>
      </c>
      <c r="H57" s="383">
        <f t="shared" si="63"/>
        <v>420.75</v>
      </c>
      <c r="I57" s="260">
        <f t="shared" si="63"/>
        <v>170.25</v>
      </c>
      <c r="J57" s="343" t="e">
        <f t="shared" si="63"/>
        <v>#DIV/0!</v>
      </c>
      <c r="K57" s="282">
        <f t="shared" si="63"/>
        <v>381.75</v>
      </c>
      <c r="L57" s="260">
        <f t="shared" si="63"/>
        <v>119.75</v>
      </c>
      <c r="M57" s="343">
        <f t="shared" si="63"/>
        <v>419.75</v>
      </c>
      <c r="N57" s="282">
        <f t="shared" ref="N57:T57" si="64">AVERAGE(N49:N55)</f>
        <v>68.25</v>
      </c>
      <c r="O57" s="260">
        <f t="shared" si="64"/>
        <v>35.5</v>
      </c>
      <c r="P57" s="260">
        <f t="shared" si="64"/>
        <v>93.75</v>
      </c>
      <c r="Q57" s="260" t="e">
        <f t="shared" si="64"/>
        <v>#DIV/0!</v>
      </c>
      <c r="R57" s="260">
        <f t="shared" si="64"/>
        <v>65</v>
      </c>
      <c r="S57" s="260">
        <f t="shared" si="64"/>
        <v>122.75</v>
      </c>
      <c r="T57" s="343">
        <f t="shared" si="64"/>
        <v>254.25</v>
      </c>
      <c r="U57" s="282">
        <f t="shared" ref="U57:AI57" si="65">AVERAGE(U49:U55)</f>
        <v>332.75</v>
      </c>
      <c r="V57" s="260">
        <f t="shared" si="65"/>
        <v>245.75</v>
      </c>
      <c r="W57" s="260">
        <f t="shared" si="65"/>
        <v>295.75</v>
      </c>
      <c r="X57" s="260">
        <f t="shared" si="65"/>
        <v>361.5</v>
      </c>
      <c r="Y57" s="343">
        <f t="shared" si="65"/>
        <v>456</v>
      </c>
      <c r="Z57" s="282">
        <f t="shared" si="65"/>
        <v>228.25</v>
      </c>
      <c r="AA57" s="260">
        <f t="shared" si="65"/>
        <v>139</v>
      </c>
      <c r="AB57" s="260">
        <f t="shared" si="65"/>
        <v>134.25</v>
      </c>
      <c r="AC57" s="260">
        <f t="shared" si="65"/>
        <v>36</v>
      </c>
      <c r="AD57" s="343">
        <f t="shared" si="65"/>
        <v>90.75</v>
      </c>
      <c r="AE57" s="282">
        <f t="shared" si="65"/>
        <v>388.5</v>
      </c>
      <c r="AF57" s="260">
        <f t="shared" si="65"/>
        <v>189.25</v>
      </c>
      <c r="AG57" s="260">
        <f t="shared" si="65"/>
        <v>232</v>
      </c>
      <c r="AH57" s="283">
        <f t="shared" si="65"/>
        <v>312</v>
      </c>
      <c r="AI57" s="263">
        <f t="shared" si="65"/>
        <v>4695.2857142857147</v>
      </c>
    </row>
    <row r="58" spans="1:35" ht="15.75" thickBot="1" x14ac:dyDescent="0.3">
      <c r="A58" s="32" t="s">
        <v>20</v>
      </c>
      <c r="B58" s="522"/>
      <c r="C58" s="284">
        <f>SUM(C49:C53)</f>
        <v>2286</v>
      </c>
      <c r="D58" s="261">
        <f t="shared" ref="D58:M58" si="66">SUM(D49:D53)</f>
        <v>2240</v>
      </c>
      <c r="E58" s="261">
        <f t="shared" si="66"/>
        <v>1421</v>
      </c>
      <c r="F58" s="261">
        <f t="shared" si="66"/>
        <v>1325</v>
      </c>
      <c r="G58" s="285">
        <f t="shared" si="66"/>
        <v>3221</v>
      </c>
      <c r="H58" s="384">
        <f t="shared" si="66"/>
        <v>1683</v>
      </c>
      <c r="I58" s="261">
        <f t="shared" si="66"/>
        <v>681</v>
      </c>
      <c r="J58" s="344">
        <f t="shared" si="66"/>
        <v>0</v>
      </c>
      <c r="K58" s="284">
        <f t="shared" si="66"/>
        <v>1527</v>
      </c>
      <c r="L58" s="261">
        <f t="shared" si="66"/>
        <v>479</v>
      </c>
      <c r="M58" s="344">
        <f t="shared" si="66"/>
        <v>1679</v>
      </c>
      <c r="N58" s="284">
        <f t="shared" ref="N58:T58" si="67">SUM(N49:N53)</f>
        <v>273</v>
      </c>
      <c r="O58" s="261">
        <f t="shared" si="67"/>
        <v>142</v>
      </c>
      <c r="P58" s="261">
        <f t="shared" si="67"/>
        <v>375</v>
      </c>
      <c r="Q58" s="261">
        <f t="shared" si="67"/>
        <v>0</v>
      </c>
      <c r="R58" s="261">
        <f t="shared" si="67"/>
        <v>260</v>
      </c>
      <c r="S58" s="261">
        <f t="shared" si="67"/>
        <v>491</v>
      </c>
      <c r="T58" s="344">
        <f t="shared" si="67"/>
        <v>1017</v>
      </c>
      <c r="U58" s="284">
        <f t="shared" ref="U58:AI58" si="68">SUM(U49:U53)</f>
        <v>1331</v>
      </c>
      <c r="V58" s="261">
        <f t="shared" si="68"/>
        <v>983</v>
      </c>
      <c r="W58" s="261">
        <f t="shared" si="68"/>
        <v>1183</v>
      </c>
      <c r="X58" s="261">
        <f t="shared" si="68"/>
        <v>1446</v>
      </c>
      <c r="Y58" s="344">
        <f t="shared" si="68"/>
        <v>1824</v>
      </c>
      <c r="Z58" s="284">
        <f t="shared" si="68"/>
        <v>913</v>
      </c>
      <c r="AA58" s="261">
        <f t="shared" si="68"/>
        <v>556</v>
      </c>
      <c r="AB58" s="261">
        <f t="shared" si="68"/>
        <v>537</v>
      </c>
      <c r="AC58" s="261">
        <f t="shared" si="68"/>
        <v>144</v>
      </c>
      <c r="AD58" s="344">
        <f t="shared" si="68"/>
        <v>363</v>
      </c>
      <c r="AE58" s="284">
        <f t="shared" si="68"/>
        <v>1554</v>
      </c>
      <c r="AF58" s="261">
        <f t="shared" si="68"/>
        <v>757</v>
      </c>
      <c r="AG58" s="261">
        <f t="shared" si="68"/>
        <v>928</v>
      </c>
      <c r="AH58" s="285">
        <f t="shared" si="68"/>
        <v>1248</v>
      </c>
      <c r="AI58" s="264">
        <f t="shared" si="68"/>
        <v>32867</v>
      </c>
    </row>
    <row r="59" spans="1:35" ht="15.75" thickBot="1" x14ac:dyDescent="0.3">
      <c r="A59" s="32" t="s">
        <v>22</v>
      </c>
      <c r="B59" s="523"/>
      <c r="C59" s="46">
        <f>AVERAGE(C49:C53)</f>
        <v>571.5</v>
      </c>
      <c r="D59" s="242">
        <f t="shared" ref="D59:M59" si="69">AVERAGE(D49:D53)</f>
        <v>560</v>
      </c>
      <c r="E59" s="242">
        <f t="shared" si="69"/>
        <v>355.25</v>
      </c>
      <c r="F59" s="242">
        <f t="shared" si="69"/>
        <v>331.25</v>
      </c>
      <c r="G59" s="273">
        <f t="shared" si="69"/>
        <v>805.25</v>
      </c>
      <c r="H59" s="171">
        <f t="shared" si="69"/>
        <v>420.75</v>
      </c>
      <c r="I59" s="242">
        <f t="shared" si="69"/>
        <v>170.25</v>
      </c>
      <c r="J59" s="346" t="e">
        <f t="shared" si="69"/>
        <v>#DIV/0!</v>
      </c>
      <c r="K59" s="46">
        <f t="shared" si="69"/>
        <v>381.75</v>
      </c>
      <c r="L59" s="242">
        <f t="shared" si="69"/>
        <v>119.75</v>
      </c>
      <c r="M59" s="346">
        <f t="shared" si="69"/>
        <v>419.75</v>
      </c>
      <c r="N59" s="46">
        <f t="shared" ref="N59:T59" si="70">AVERAGE(N49:N53)</f>
        <v>68.25</v>
      </c>
      <c r="O59" s="242">
        <f t="shared" si="70"/>
        <v>35.5</v>
      </c>
      <c r="P59" s="242">
        <f t="shared" si="70"/>
        <v>93.75</v>
      </c>
      <c r="Q59" s="242" t="e">
        <f t="shared" si="70"/>
        <v>#DIV/0!</v>
      </c>
      <c r="R59" s="242">
        <f t="shared" si="70"/>
        <v>65</v>
      </c>
      <c r="S59" s="242">
        <f t="shared" si="70"/>
        <v>122.75</v>
      </c>
      <c r="T59" s="346">
        <f t="shared" si="70"/>
        <v>254.25</v>
      </c>
      <c r="U59" s="46">
        <f t="shared" ref="U59:AI59" si="71">AVERAGE(U49:U53)</f>
        <v>332.75</v>
      </c>
      <c r="V59" s="242">
        <f t="shared" si="71"/>
        <v>245.75</v>
      </c>
      <c r="W59" s="242">
        <f t="shared" si="71"/>
        <v>295.75</v>
      </c>
      <c r="X59" s="242">
        <f t="shared" si="71"/>
        <v>361.5</v>
      </c>
      <c r="Y59" s="346">
        <f t="shared" si="71"/>
        <v>456</v>
      </c>
      <c r="Z59" s="46">
        <f t="shared" si="71"/>
        <v>228.25</v>
      </c>
      <c r="AA59" s="242">
        <f t="shared" si="71"/>
        <v>139</v>
      </c>
      <c r="AB59" s="242">
        <f t="shared" si="71"/>
        <v>134.25</v>
      </c>
      <c r="AC59" s="242">
        <f t="shared" si="71"/>
        <v>36</v>
      </c>
      <c r="AD59" s="346">
        <f t="shared" si="71"/>
        <v>90.75</v>
      </c>
      <c r="AE59" s="46">
        <f t="shared" si="71"/>
        <v>388.5</v>
      </c>
      <c r="AF59" s="242">
        <f t="shared" si="71"/>
        <v>189.25</v>
      </c>
      <c r="AG59" s="242">
        <f t="shared" si="71"/>
        <v>232</v>
      </c>
      <c r="AH59" s="273">
        <f t="shared" si="71"/>
        <v>312</v>
      </c>
      <c r="AI59" s="265">
        <f t="shared" si="71"/>
        <v>6573.4</v>
      </c>
    </row>
    <row r="60" spans="1:35" ht="15.75" hidden="1" thickBot="1" x14ac:dyDescent="0.3">
      <c r="A60" s="158" t="s">
        <v>3</v>
      </c>
      <c r="B60" s="291">
        <f>B55+1</f>
        <v>43500</v>
      </c>
      <c r="C60" s="196"/>
      <c r="D60" s="239"/>
      <c r="E60" s="239"/>
      <c r="F60" s="239"/>
      <c r="G60" s="239"/>
      <c r="H60" s="239"/>
      <c r="I60" s="239"/>
      <c r="J60" s="381"/>
      <c r="K60" s="196"/>
      <c r="L60" s="239"/>
      <c r="M60" s="274"/>
      <c r="N60" s="288"/>
      <c r="O60" s="239"/>
      <c r="P60" s="239"/>
      <c r="Q60" s="239"/>
      <c r="R60" s="239"/>
      <c r="S60" s="239"/>
      <c r="T60" s="380"/>
      <c r="U60" s="288"/>
      <c r="V60" s="239"/>
      <c r="W60" s="239"/>
      <c r="X60" s="239"/>
      <c r="Y60" s="274"/>
      <c r="Z60" s="288"/>
      <c r="AA60" s="288"/>
      <c r="AB60" s="239"/>
      <c r="AC60" s="239"/>
      <c r="AD60" s="239"/>
      <c r="AE60" s="274"/>
      <c r="AF60" s="288"/>
      <c r="AG60" s="288"/>
      <c r="AH60" s="239"/>
      <c r="AI60" s="208">
        <f t="shared" ref="AI60:AI66" si="72">SUM(O60:AH60)</f>
        <v>0</v>
      </c>
    </row>
    <row r="61" spans="1:35" ht="15.75" hidden="1" thickBot="1" x14ac:dyDescent="0.3">
      <c r="A61" s="158" t="s">
        <v>4</v>
      </c>
      <c r="B61" s="184">
        <f t="shared" ref="B61:B66" si="73">B60+1</f>
        <v>43501</v>
      </c>
      <c r="C61" s="206"/>
      <c r="D61" s="240"/>
      <c r="E61" s="240"/>
      <c r="F61" s="240"/>
      <c r="G61" s="240"/>
      <c r="H61" s="240"/>
      <c r="I61" s="240"/>
      <c r="J61" s="238"/>
      <c r="K61" s="206"/>
      <c r="L61" s="240"/>
      <c r="M61" s="270"/>
      <c r="N61" s="281"/>
      <c r="O61" s="240"/>
      <c r="P61" s="240"/>
      <c r="Q61" s="240"/>
      <c r="R61" s="240"/>
      <c r="S61" s="240"/>
      <c r="T61" s="268"/>
      <c r="U61" s="281"/>
      <c r="V61" s="240"/>
      <c r="W61" s="240"/>
      <c r="X61" s="240"/>
      <c r="Y61" s="270"/>
      <c r="Z61" s="281"/>
      <c r="AA61" s="281"/>
      <c r="AB61" s="240"/>
      <c r="AC61" s="240"/>
      <c r="AD61" s="240"/>
      <c r="AE61" s="270"/>
      <c r="AF61" s="281"/>
      <c r="AG61" s="281"/>
      <c r="AH61" s="240"/>
      <c r="AI61" s="208">
        <f t="shared" si="72"/>
        <v>0</v>
      </c>
    </row>
    <row r="62" spans="1:35" ht="15.75" hidden="1" thickBot="1" x14ac:dyDescent="0.3">
      <c r="A62" s="158" t="s">
        <v>5</v>
      </c>
      <c r="B62" s="184">
        <f t="shared" si="73"/>
        <v>43502</v>
      </c>
      <c r="C62" s="238"/>
      <c r="D62" s="240"/>
      <c r="E62" s="240"/>
      <c r="F62" s="240"/>
      <c r="G62" s="240"/>
      <c r="H62" s="240"/>
      <c r="I62" s="240"/>
      <c r="J62" s="238"/>
      <c r="K62" s="206"/>
      <c r="L62" s="240"/>
      <c r="M62" s="270"/>
      <c r="N62" s="281"/>
      <c r="O62" s="240"/>
      <c r="P62" s="240"/>
      <c r="Q62" s="240"/>
      <c r="R62" s="240"/>
      <c r="S62" s="240"/>
      <c r="T62" s="268"/>
      <c r="U62" s="281"/>
      <c r="V62" s="240"/>
      <c r="W62" s="240"/>
      <c r="X62" s="240"/>
      <c r="Y62" s="270"/>
      <c r="Z62" s="281"/>
      <c r="AA62" s="281"/>
      <c r="AB62" s="240"/>
      <c r="AC62" s="240"/>
      <c r="AD62" s="240"/>
      <c r="AE62" s="270"/>
      <c r="AF62" s="281"/>
      <c r="AG62" s="281"/>
      <c r="AH62" s="240"/>
      <c r="AI62" s="208">
        <f t="shared" si="72"/>
        <v>0</v>
      </c>
    </row>
    <row r="63" spans="1:35" ht="15.75" hidden="1" thickBot="1" x14ac:dyDescent="0.3">
      <c r="A63" s="158" t="s">
        <v>6</v>
      </c>
      <c r="B63" s="184">
        <f t="shared" si="73"/>
        <v>43503</v>
      </c>
      <c r="C63" s="206"/>
      <c r="D63" s="240"/>
      <c r="E63" s="240"/>
      <c r="F63" s="240"/>
      <c r="G63" s="240"/>
      <c r="H63" s="240"/>
      <c r="I63" s="240"/>
      <c r="J63" s="238"/>
      <c r="K63" s="206"/>
      <c r="L63" s="240"/>
      <c r="M63" s="270"/>
      <c r="N63" s="281"/>
      <c r="O63" s="240"/>
      <c r="P63" s="240"/>
      <c r="Q63" s="240"/>
      <c r="R63" s="240"/>
      <c r="S63" s="240"/>
      <c r="T63" s="270"/>
      <c r="U63" s="281"/>
      <c r="V63" s="240"/>
      <c r="W63" s="240"/>
      <c r="X63" s="240"/>
      <c r="Y63" s="270"/>
      <c r="Z63" s="281"/>
      <c r="AA63" s="281"/>
      <c r="AB63" s="240"/>
      <c r="AC63" s="240"/>
      <c r="AD63" s="240"/>
      <c r="AE63" s="270"/>
      <c r="AF63" s="281"/>
      <c r="AG63" s="281"/>
      <c r="AH63" s="240"/>
      <c r="AI63" s="208">
        <f t="shared" si="72"/>
        <v>0</v>
      </c>
    </row>
    <row r="64" spans="1:35" ht="15.75" hidden="1" thickBot="1" x14ac:dyDescent="0.3">
      <c r="A64" s="158" t="s">
        <v>0</v>
      </c>
      <c r="B64" s="184">
        <f t="shared" si="73"/>
        <v>43504</v>
      </c>
      <c r="C64" s="206"/>
      <c r="D64" s="240"/>
      <c r="E64" s="240"/>
      <c r="F64" s="240"/>
      <c r="G64" s="240"/>
      <c r="H64" s="240"/>
      <c r="I64" s="240"/>
      <c r="J64" s="238"/>
      <c r="K64" s="206"/>
      <c r="L64" s="240"/>
      <c r="M64" s="270"/>
      <c r="N64" s="281"/>
      <c r="O64" s="240"/>
      <c r="P64" s="240"/>
      <c r="Q64" s="240"/>
      <c r="R64" s="240"/>
      <c r="S64" s="240"/>
      <c r="T64" s="268"/>
      <c r="U64" s="281"/>
      <c r="V64" s="240"/>
      <c r="W64" s="240"/>
      <c r="X64" s="240"/>
      <c r="Y64" s="270"/>
      <c r="Z64" s="281"/>
      <c r="AA64" s="281"/>
      <c r="AB64" s="240"/>
      <c r="AC64" s="240"/>
      <c r="AD64" s="240"/>
      <c r="AE64" s="270"/>
      <c r="AF64" s="281"/>
      <c r="AG64" s="281"/>
      <c r="AH64" s="240"/>
      <c r="AI64" s="208">
        <f t="shared" si="72"/>
        <v>0</v>
      </c>
    </row>
    <row r="65" spans="1:35" ht="15.75" hidden="1" thickBot="1" x14ac:dyDescent="0.3">
      <c r="A65" s="158" t="s">
        <v>1</v>
      </c>
      <c r="B65" s="184">
        <f t="shared" si="73"/>
        <v>43505</v>
      </c>
      <c r="C65" s="206"/>
      <c r="D65" s="240"/>
      <c r="E65" s="240"/>
      <c r="F65" s="240"/>
      <c r="G65" s="240"/>
      <c r="H65" s="240"/>
      <c r="I65" s="240"/>
      <c r="J65" s="238"/>
      <c r="K65" s="206"/>
      <c r="L65" s="240"/>
      <c r="M65" s="270"/>
      <c r="N65" s="281"/>
      <c r="O65" s="240"/>
      <c r="P65" s="240"/>
      <c r="Q65" s="240"/>
      <c r="R65" s="240"/>
      <c r="S65" s="240"/>
      <c r="T65" s="268"/>
      <c r="U65" s="281"/>
      <c r="V65" s="240"/>
      <c r="W65" s="240"/>
      <c r="X65" s="240"/>
      <c r="Y65" s="270"/>
      <c r="Z65" s="281"/>
      <c r="AA65" s="281"/>
      <c r="AB65" s="240"/>
      <c r="AC65" s="240"/>
      <c r="AD65" s="240"/>
      <c r="AE65" s="270"/>
      <c r="AF65" s="281"/>
      <c r="AG65" s="281"/>
      <c r="AH65" s="240"/>
      <c r="AI65" s="208">
        <f t="shared" si="72"/>
        <v>0</v>
      </c>
    </row>
    <row r="66" spans="1:35" ht="15.75" hidden="1" thickBot="1" x14ac:dyDescent="0.3">
      <c r="A66" s="158" t="s">
        <v>2</v>
      </c>
      <c r="B66" s="184">
        <f t="shared" si="73"/>
        <v>43506</v>
      </c>
      <c r="C66" s="209"/>
      <c r="D66" s="244"/>
      <c r="E66" s="244"/>
      <c r="F66" s="244"/>
      <c r="G66" s="244"/>
      <c r="H66" s="244"/>
      <c r="I66" s="244"/>
      <c r="J66" s="251"/>
      <c r="K66" s="209"/>
      <c r="L66" s="244"/>
      <c r="M66" s="272"/>
      <c r="N66" s="294"/>
      <c r="O66" s="241"/>
      <c r="P66" s="241"/>
      <c r="Q66" s="241"/>
      <c r="R66" s="241"/>
      <c r="S66" s="241"/>
      <c r="T66" s="269"/>
      <c r="U66" s="294"/>
      <c r="V66" s="241"/>
      <c r="W66" s="241"/>
      <c r="X66" s="241"/>
      <c r="Y66" s="241"/>
      <c r="Z66" s="294"/>
      <c r="AA66" s="294"/>
      <c r="AB66" s="241"/>
      <c r="AC66" s="241"/>
      <c r="AD66" s="241"/>
      <c r="AE66" s="270"/>
      <c r="AF66" s="281"/>
      <c r="AG66" s="281"/>
      <c r="AH66" s="240"/>
      <c r="AI66" s="208">
        <f t="shared" si="72"/>
        <v>0</v>
      </c>
    </row>
    <row r="67" spans="1:35" ht="15.75" hidden="1" thickBot="1" x14ac:dyDescent="0.3">
      <c r="A67" s="167" t="s">
        <v>21</v>
      </c>
      <c r="B67" s="524" t="s">
        <v>32</v>
      </c>
      <c r="C67" s="210">
        <f t="shared" ref="C67:J67" si="74">SUM(C60:C66)</f>
        <v>0</v>
      </c>
      <c r="D67" s="245">
        <f t="shared" si="74"/>
        <v>0</v>
      </c>
      <c r="E67" s="245">
        <f t="shared" si="74"/>
        <v>0</v>
      </c>
      <c r="F67" s="245">
        <f t="shared" si="74"/>
        <v>0</v>
      </c>
      <c r="G67" s="245">
        <f t="shared" si="74"/>
        <v>0</v>
      </c>
      <c r="H67" s="245">
        <f t="shared" si="74"/>
        <v>0</v>
      </c>
      <c r="I67" s="245">
        <f t="shared" si="74"/>
        <v>0</v>
      </c>
      <c r="J67" s="252">
        <f t="shared" si="74"/>
        <v>0</v>
      </c>
      <c r="K67" s="210">
        <f>SUM(K60:K66)</f>
        <v>0</v>
      </c>
      <c r="L67" s="245">
        <f>SUM(L60:L66)</f>
        <v>0</v>
      </c>
      <c r="M67" s="277">
        <f>SUM(M60:M66)</f>
        <v>0</v>
      </c>
      <c r="N67" s="289">
        <f t="shared" ref="N67:T67" si="75">SUM(N60:N66)</f>
        <v>0</v>
      </c>
      <c r="O67" s="266">
        <f t="shared" si="75"/>
        <v>0</v>
      </c>
      <c r="P67" s="266">
        <f t="shared" si="75"/>
        <v>0</v>
      </c>
      <c r="Q67" s="266">
        <f t="shared" si="75"/>
        <v>0</v>
      </c>
      <c r="R67" s="266">
        <f t="shared" si="75"/>
        <v>0</v>
      </c>
      <c r="S67" s="266">
        <f t="shared" si="75"/>
        <v>0</v>
      </c>
      <c r="T67" s="266">
        <f t="shared" si="75"/>
        <v>0</v>
      </c>
      <c r="U67" s="289">
        <f>SUM(U60:U66)</f>
        <v>0</v>
      </c>
      <c r="V67" s="266">
        <f>SUM(V60:V66)</f>
        <v>0</v>
      </c>
      <c r="W67" s="266">
        <f>SUM(W60:W66)</f>
        <v>0</v>
      </c>
      <c r="X67" s="266">
        <f>SUM(X60:X66)</f>
        <v>0</v>
      </c>
      <c r="Y67" s="266">
        <f>SUM(Y60:Y66)</f>
        <v>0</v>
      </c>
      <c r="Z67" s="289">
        <f t="shared" ref="Z67:AE67" si="76">SUM(Z60:Z66)</f>
        <v>0</v>
      </c>
      <c r="AA67" s="289">
        <f t="shared" si="76"/>
        <v>0</v>
      </c>
      <c r="AB67" s="266">
        <f t="shared" si="76"/>
        <v>0</v>
      </c>
      <c r="AC67" s="266">
        <f t="shared" si="76"/>
        <v>0</v>
      </c>
      <c r="AD67" s="266">
        <f t="shared" si="76"/>
        <v>0</v>
      </c>
      <c r="AE67" s="266">
        <f t="shared" si="76"/>
        <v>0</v>
      </c>
      <c r="AF67" s="289">
        <f>SUM(AF60:AF66)</f>
        <v>0</v>
      </c>
      <c r="AG67" s="289">
        <f>SUM(AG60:AG66)</f>
        <v>0</v>
      </c>
      <c r="AH67" s="266">
        <f>SUM(AH60:AH66)</f>
        <v>0</v>
      </c>
      <c r="AI67" s="262">
        <f>SUM(AI60:AI66)</f>
        <v>0</v>
      </c>
    </row>
    <row r="68" spans="1:35" ht="15.75" hidden="1" thickBot="1" x14ac:dyDescent="0.3">
      <c r="A68" s="116" t="s">
        <v>23</v>
      </c>
      <c r="B68" s="525"/>
      <c r="C68" s="211" t="e">
        <f t="shared" ref="C68:J68" si="77">AVERAGE(C60:C66)</f>
        <v>#DIV/0!</v>
      </c>
      <c r="D68" s="246" t="e">
        <f t="shared" si="77"/>
        <v>#DIV/0!</v>
      </c>
      <c r="E68" s="247" t="e">
        <f t="shared" si="77"/>
        <v>#DIV/0!</v>
      </c>
      <c r="F68" s="246" t="e">
        <f t="shared" si="77"/>
        <v>#DIV/0!</v>
      </c>
      <c r="G68" s="246" t="e">
        <f t="shared" si="77"/>
        <v>#DIV/0!</v>
      </c>
      <c r="H68" s="246" t="e">
        <f t="shared" si="77"/>
        <v>#DIV/0!</v>
      </c>
      <c r="I68" s="246" t="e">
        <f t="shared" si="77"/>
        <v>#DIV/0!</v>
      </c>
      <c r="J68" s="253" t="e">
        <f t="shared" si="77"/>
        <v>#DIV/0!</v>
      </c>
      <c r="K68" s="211" t="e">
        <f>AVERAGE(K60:K66)</f>
        <v>#DIV/0!</v>
      </c>
      <c r="L68" s="246" t="e">
        <f>AVERAGE(L60:L66)</f>
        <v>#DIV/0!</v>
      </c>
      <c r="M68" s="278" t="e">
        <f>AVERAGE(M60:M66)</f>
        <v>#DIV/0!</v>
      </c>
      <c r="N68" s="289" t="e">
        <f t="shared" ref="N68:T68" si="78">AVERAGE(N60:N66)</f>
        <v>#DIV/0!</v>
      </c>
      <c r="O68" s="266" t="e">
        <f t="shared" si="78"/>
        <v>#DIV/0!</v>
      </c>
      <c r="P68" s="266" t="e">
        <f t="shared" si="78"/>
        <v>#DIV/0!</v>
      </c>
      <c r="Q68" s="266" t="e">
        <f t="shared" si="78"/>
        <v>#DIV/0!</v>
      </c>
      <c r="R68" s="266" t="e">
        <f t="shared" si="78"/>
        <v>#DIV/0!</v>
      </c>
      <c r="S68" s="266" t="e">
        <f t="shared" si="78"/>
        <v>#DIV/0!</v>
      </c>
      <c r="T68" s="266" t="e">
        <f t="shared" si="78"/>
        <v>#DIV/0!</v>
      </c>
      <c r="U68" s="289" t="e">
        <f>AVERAGE(U60:U66)</f>
        <v>#DIV/0!</v>
      </c>
      <c r="V68" s="266" t="e">
        <f>AVERAGE(V60:V66)</f>
        <v>#DIV/0!</v>
      </c>
      <c r="W68" s="266" t="e">
        <f>AVERAGE(W60:W66)</f>
        <v>#DIV/0!</v>
      </c>
      <c r="X68" s="266" t="e">
        <f>AVERAGE(X60:X66)</f>
        <v>#DIV/0!</v>
      </c>
      <c r="Y68" s="266" t="e">
        <f>AVERAGE(Y60:Y66)</f>
        <v>#DIV/0!</v>
      </c>
      <c r="Z68" s="289" t="e">
        <f t="shared" ref="Z68:AE68" si="79">AVERAGE(Z60:Z66)</f>
        <v>#DIV/0!</v>
      </c>
      <c r="AA68" s="289" t="e">
        <f t="shared" si="79"/>
        <v>#DIV/0!</v>
      </c>
      <c r="AB68" s="266" t="e">
        <f t="shared" si="79"/>
        <v>#DIV/0!</v>
      </c>
      <c r="AC68" s="266" t="e">
        <f t="shared" si="79"/>
        <v>#DIV/0!</v>
      </c>
      <c r="AD68" s="266" t="e">
        <f t="shared" si="79"/>
        <v>#DIV/0!</v>
      </c>
      <c r="AE68" s="266" t="e">
        <f t="shared" si="79"/>
        <v>#DIV/0!</v>
      </c>
      <c r="AF68" s="289" t="e">
        <f>AVERAGE(AF60:AF66)</f>
        <v>#DIV/0!</v>
      </c>
      <c r="AG68" s="289" t="e">
        <f>AVERAGE(AG60:AG66)</f>
        <v>#DIV/0!</v>
      </c>
      <c r="AH68" s="266" t="e">
        <f>AVERAGE(AH60:AH66)</f>
        <v>#DIV/0!</v>
      </c>
      <c r="AI68" s="263">
        <f>AVERAGE(AI60:AI66)</f>
        <v>0</v>
      </c>
    </row>
    <row r="69" spans="1:35" ht="15.75" hidden="1" thickBot="1" x14ac:dyDescent="0.3">
      <c r="A69" s="32" t="s">
        <v>20</v>
      </c>
      <c r="B69" s="525"/>
      <c r="C69" s="212">
        <f t="shared" ref="C69:J69" si="80">SUM(C60:C64)</f>
        <v>0</v>
      </c>
      <c r="D69" s="248">
        <f t="shared" si="80"/>
        <v>0</v>
      </c>
      <c r="E69" s="248">
        <f t="shared" si="80"/>
        <v>0</v>
      </c>
      <c r="F69" s="248">
        <f t="shared" si="80"/>
        <v>0</v>
      </c>
      <c r="G69" s="248">
        <f t="shared" si="80"/>
        <v>0</v>
      </c>
      <c r="H69" s="248">
        <f t="shared" si="80"/>
        <v>0</v>
      </c>
      <c r="I69" s="248">
        <f t="shared" si="80"/>
        <v>0</v>
      </c>
      <c r="J69" s="254">
        <f t="shared" si="80"/>
        <v>0</v>
      </c>
      <c r="K69" s="212">
        <f>SUM(K60:K64)</f>
        <v>0</v>
      </c>
      <c r="L69" s="248">
        <f>SUM(L60:L64)</f>
        <v>0</v>
      </c>
      <c r="M69" s="279">
        <f>SUM(M60:M64)</f>
        <v>0</v>
      </c>
      <c r="N69" s="290">
        <f t="shared" ref="N69:T69" si="81">SUM(N60:N64)</f>
        <v>0</v>
      </c>
      <c r="O69" s="267">
        <f t="shared" si="81"/>
        <v>0</v>
      </c>
      <c r="P69" s="267">
        <f t="shared" si="81"/>
        <v>0</v>
      </c>
      <c r="Q69" s="267">
        <f t="shared" si="81"/>
        <v>0</v>
      </c>
      <c r="R69" s="267">
        <f t="shared" si="81"/>
        <v>0</v>
      </c>
      <c r="S69" s="267">
        <f t="shared" si="81"/>
        <v>0</v>
      </c>
      <c r="T69" s="267">
        <f t="shared" si="81"/>
        <v>0</v>
      </c>
      <c r="U69" s="290">
        <f>SUM(U60:U64)</f>
        <v>0</v>
      </c>
      <c r="V69" s="267">
        <f>SUM(V60:V64)</f>
        <v>0</v>
      </c>
      <c r="W69" s="267">
        <f>SUM(W60:W64)</f>
        <v>0</v>
      </c>
      <c r="X69" s="267">
        <f>SUM(X60:X64)</f>
        <v>0</v>
      </c>
      <c r="Y69" s="267">
        <f>SUM(Y60:Y64)</f>
        <v>0</v>
      </c>
      <c r="Z69" s="290">
        <f t="shared" ref="Z69:AE69" si="82">SUM(Z60:Z64)</f>
        <v>0</v>
      </c>
      <c r="AA69" s="290">
        <f t="shared" si="82"/>
        <v>0</v>
      </c>
      <c r="AB69" s="267">
        <f t="shared" si="82"/>
        <v>0</v>
      </c>
      <c r="AC69" s="267">
        <f t="shared" si="82"/>
        <v>0</v>
      </c>
      <c r="AD69" s="267">
        <f t="shared" si="82"/>
        <v>0</v>
      </c>
      <c r="AE69" s="267">
        <f t="shared" si="82"/>
        <v>0</v>
      </c>
      <c r="AF69" s="290">
        <f>SUM(AF60:AF64)</f>
        <v>0</v>
      </c>
      <c r="AG69" s="290">
        <f>SUM(AG60:AG64)</f>
        <v>0</v>
      </c>
      <c r="AH69" s="267">
        <f>SUM(AH60:AH64)</f>
        <v>0</v>
      </c>
      <c r="AI69" s="264">
        <f>SUM(AI60:AI64)</f>
        <v>0</v>
      </c>
    </row>
    <row r="70" spans="1:35" ht="15.75" hidden="1" thickBot="1" x14ac:dyDescent="0.3">
      <c r="A70" s="32" t="s">
        <v>22</v>
      </c>
      <c r="B70" s="526"/>
      <c r="C70" s="213" t="e">
        <f t="shared" ref="C70:J70" si="83">AVERAGE(C60:C64)</f>
        <v>#DIV/0!</v>
      </c>
      <c r="D70" s="249" t="e">
        <f t="shared" si="83"/>
        <v>#DIV/0!</v>
      </c>
      <c r="E70" s="249" t="e">
        <f t="shared" si="83"/>
        <v>#DIV/0!</v>
      </c>
      <c r="F70" s="249" t="e">
        <f t="shared" si="83"/>
        <v>#DIV/0!</v>
      </c>
      <c r="G70" s="249" t="e">
        <f t="shared" si="83"/>
        <v>#DIV/0!</v>
      </c>
      <c r="H70" s="249" t="e">
        <f t="shared" si="83"/>
        <v>#DIV/0!</v>
      </c>
      <c r="I70" s="249" t="e">
        <f t="shared" si="83"/>
        <v>#DIV/0!</v>
      </c>
      <c r="J70" s="255" t="e">
        <f t="shared" si="83"/>
        <v>#DIV/0!</v>
      </c>
      <c r="K70" s="213" t="e">
        <f>AVERAGE(K60:K64)</f>
        <v>#DIV/0!</v>
      </c>
      <c r="L70" s="249" t="e">
        <f>AVERAGE(L60:L64)</f>
        <v>#DIV/0!</v>
      </c>
      <c r="M70" s="280" t="e">
        <f>AVERAGE(M60:M64)</f>
        <v>#DIV/0!</v>
      </c>
      <c r="N70" s="290" t="e">
        <f t="shared" ref="N70:T70" si="84">AVERAGE(N60:N64)</f>
        <v>#DIV/0!</v>
      </c>
      <c r="O70" s="267" t="e">
        <f t="shared" si="84"/>
        <v>#DIV/0!</v>
      </c>
      <c r="P70" s="267" t="e">
        <f t="shared" si="84"/>
        <v>#DIV/0!</v>
      </c>
      <c r="Q70" s="267" t="e">
        <f t="shared" si="84"/>
        <v>#DIV/0!</v>
      </c>
      <c r="R70" s="267" t="e">
        <f t="shared" si="84"/>
        <v>#DIV/0!</v>
      </c>
      <c r="S70" s="267" t="e">
        <f t="shared" si="84"/>
        <v>#DIV/0!</v>
      </c>
      <c r="T70" s="267" t="e">
        <f t="shared" si="84"/>
        <v>#DIV/0!</v>
      </c>
      <c r="U70" s="290" t="e">
        <f>AVERAGE(U60:U64)</f>
        <v>#DIV/0!</v>
      </c>
      <c r="V70" s="267" t="e">
        <f>AVERAGE(V60:V64)</f>
        <v>#DIV/0!</v>
      </c>
      <c r="W70" s="267" t="e">
        <f>AVERAGE(W60:W64)</f>
        <v>#DIV/0!</v>
      </c>
      <c r="X70" s="267" t="e">
        <f>AVERAGE(X60:X64)</f>
        <v>#DIV/0!</v>
      </c>
      <c r="Y70" s="267" t="e">
        <f>AVERAGE(Y60:Y64)</f>
        <v>#DIV/0!</v>
      </c>
      <c r="Z70" s="290" t="e">
        <f t="shared" ref="Z70:AE70" si="85">AVERAGE(Z60:Z64)</f>
        <v>#DIV/0!</v>
      </c>
      <c r="AA70" s="290" t="e">
        <f t="shared" si="85"/>
        <v>#DIV/0!</v>
      </c>
      <c r="AB70" s="267" t="e">
        <f t="shared" si="85"/>
        <v>#DIV/0!</v>
      </c>
      <c r="AC70" s="267" t="e">
        <f t="shared" si="85"/>
        <v>#DIV/0!</v>
      </c>
      <c r="AD70" s="267" t="e">
        <f t="shared" si="85"/>
        <v>#DIV/0!</v>
      </c>
      <c r="AE70" s="267" t="e">
        <f t="shared" si="85"/>
        <v>#DIV/0!</v>
      </c>
      <c r="AF70" s="290" t="e">
        <f>AVERAGE(AF60:AF64)</f>
        <v>#DIV/0!</v>
      </c>
      <c r="AG70" s="290" t="e">
        <f>AVERAGE(AG60:AG64)</f>
        <v>#DIV/0!</v>
      </c>
      <c r="AH70" s="267" t="e">
        <f>AVERAGE(AH60:AH64)</f>
        <v>#DIV/0!</v>
      </c>
      <c r="AI70" s="265">
        <f>AVERAGE(AI60:AI64)</f>
        <v>0</v>
      </c>
    </row>
    <row r="71" spans="1:35" x14ac:dyDescent="0.25">
      <c r="A71" s="4"/>
      <c r="B71" s="139"/>
      <c r="C71" s="139"/>
      <c r="D71" s="5"/>
      <c r="E71" s="5"/>
      <c r="F71" s="5"/>
      <c r="G71" s="5"/>
      <c r="H71" s="5"/>
      <c r="I71" s="5"/>
      <c r="J71" s="5"/>
      <c r="K71" s="5"/>
      <c r="L71" s="5"/>
      <c r="M71" s="5"/>
      <c r="N71" s="259"/>
      <c r="O71" s="5"/>
      <c r="P71" s="5"/>
      <c r="Q71" s="5"/>
      <c r="R71" s="5"/>
      <c r="S71" s="5"/>
      <c r="T71" s="5"/>
      <c r="U71" s="259"/>
      <c r="V71" s="5"/>
      <c r="W71" s="5"/>
      <c r="X71" s="5"/>
      <c r="Y71" s="5"/>
    </row>
    <row r="72" spans="1:35" ht="25.5" x14ac:dyDescent="0.25">
      <c r="A72" s="4"/>
      <c r="B72" s="199"/>
      <c r="C72" s="45" t="s">
        <v>10</v>
      </c>
      <c r="D72" s="45" t="s">
        <v>14</v>
      </c>
      <c r="E72" s="45" t="s">
        <v>63</v>
      </c>
      <c r="F72" s="45" t="s">
        <v>64</v>
      </c>
      <c r="G72" s="45" t="s">
        <v>11</v>
      </c>
      <c r="H72" s="45" t="s">
        <v>12</v>
      </c>
      <c r="I72" s="45" t="s">
        <v>65</v>
      </c>
      <c r="J72" s="45" t="s">
        <v>110</v>
      </c>
      <c r="K72" s="45" t="s">
        <v>31</v>
      </c>
      <c r="L72" s="45" t="s">
        <v>71</v>
      </c>
      <c r="M72" s="45" t="s">
        <v>72</v>
      </c>
      <c r="N72" s="257" t="s">
        <v>77</v>
      </c>
      <c r="O72" s="45" t="s">
        <v>78</v>
      </c>
      <c r="P72" s="45" t="s">
        <v>80</v>
      </c>
      <c r="Q72" s="45" t="s">
        <v>81</v>
      </c>
      <c r="R72" s="45" t="s">
        <v>82</v>
      </c>
      <c r="S72" s="45" t="s">
        <v>87</v>
      </c>
      <c r="T72" s="45" t="s">
        <v>88</v>
      </c>
      <c r="U72" s="45" t="s">
        <v>90</v>
      </c>
      <c r="V72" s="45" t="s">
        <v>89</v>
      </c>
      <c r="W72" s="299"/>
      <c r="X72" s="164"/>
      <c r="Y72" s="164"/>
      <c r="Z72" s="164"/>
      <c r="AA72" s="1"/>
      <c r="AB72" s="1"/>
    </row>
    <row r="73" spans="1:35" ht="25.5" x14ac:dyDescent="0.25">
      <c r="B73" s="48" t="s">
        <v>29</v>
      </c>
      <c r="C73" s="201">
        <f>SUM(C12,C23,C34,C45,C56,C67,M12,M23,M34,M45,M56,M67,T12,T23,T34,T45,T56,T67,Y12,Y23,Y34,Y45,Y56,Y67, AD12, AD23, AD34, AD45, AD56, AD67, AH12, AH23, AH34, AH45, AH56, AH67)</f>
        <v>57978</v>
      </c>
      <c r="D73" s="201">
        <f>SUM(D12,D23,D34,D45,D56,D67,X12,X23,X34,X45,X56,X67, AA12,AA23,AA34,AA45,AA56,AA67, AG12,AG23,AG34,AG45,AG56,AG67)</f>
        <v>37045</v>
      </c>
      <c r="E73" s="201">
        <f>SUM(E12,E23,E34,E45,E56,E67,S12,S23,S34,S45,S56,S67)</f>
        <v>17650</v>
      </c>
      <c r="F73" s="201">
        <f>SUM(F12,F23,F34,F45,F56, F67)</f>
        <v>8517</v>
      </c>
      <c r="G73" s="201">
        <f>SUM(G12,G23,G34,G45,G56, G67)</f>
        <v>22094</v>
      </c>
      <c r="H73" s="201">
        <f>SUM(H12,H23,H34,H45,H56,H67)</f>
        <v>15344</v>
      </c>
      <c r="I73" s="201">
        <f>SUM(W12,W23,W34,W45,W56,W67, Z12,Z23,Z34,Z45,Z56,Z67)</f>
        <v>15466</v>
      </c>
      <c r="J73" s="201">
        <f>I12+I23+I34+I45+I56</f>
        <v>6273</v>
      </c>
      <c r="K73" s="201">
        <f>SUM(J12,J23,J34,J45,J56,J67,Q12,Q23,Q34,Q45,Q56,Q67)</f>
        <v>0</v>
      </c>
      <c r="L73" s="201">
        <f>SUM(K12,K23,K34,K45,K56,K67)</f>
        <v>11583</v>
      </c>
      <c r="M73" s="201">
        <f>SUM(L12,L23,L34,L45,L56,L67,O12,O23,O34,O45,O56,O67)</f>
        <v>4442</v>
      </c>
      <c r="N73" s="258">
        <f>SUM(N12,N23,N34,N45,N56,N67)</f>
        <v>2312</v>
      </c>
      <c r="O73" s="201">
        <f>SUM(P12,P23,P34,P45,P56,P67)</f>
        <v>3141</v>
      </c>
      <c r="P73" s="201">
        <f>SUM(R12,R23,R34,R45,R56,R67)</f>
        <v>1860</v>
      </c>
      <c r="Q73" s="201">
        <f>SUM(U12,U23,U34,U45,U56,U67)</f>
        <v>8881</v>
      </c>
      <c r="R73" s="201">
        <f>SUM(V12,V23,V34,V45,V56,V67)</f>
        <v>7059</v>
      </c>
      <c r="S73" s="201">
        <f>SUM(AB12,AB23,AB34,AB45,AB56,AB67)</f>
        <v>3483</v>
      </c>
      <c r="T73" s="201">
        <f>SUM(AC12,AC23,AC34,AC45,AC56,AC67)</f>
        <v>1044</v>
      </c>
      <c r="U73" s="201">
        <f>SUM(AE12,AE23,AE34,AE45,AE56,AE67)</f>
        <v>10429</v>
      </c>
      <c r="V73" s="201">
        <f>SUM(AF12,AF23,AF34,AF45,AF56,AF67)</f>
        <v>5075</v>
      </c>
      <c r="W73" s="299"/>
      <c r="X73" s="214"/>
      <c r="Y73" s="214"/>
      <c r="Z73" s="214"/>
      <c r="AA73" s="1"/>
      <c r="AB73" s="1"/>
    </row>
    <row r="74" spans="1:35" ht="25.5" x14ac:dyDescent="0.25">
      <c r="B74" s="48" t="s">
        <v>30</v>
      </c>
      <c r="C74" s="201">
        <f>SUM(C14,C25,C36,C47,C58,C69,M14,M25,M36,M47,M58,M69,T14,T25,T36,T47,T58,T69,Y14,Y25,Y36,Y47,Y58,Y69, AD14, AD25, AD36, AD47, AD58, AD69, AH14, AH25, AH36, AH47, AH58, AH69)</f>
        <v>51976</v>
      </c>
      <c r="D74" s="201">
        <f>SUM(D14,D25,D36,D47,D58,D69,X14,X25,X36,X47,X58,X69,AA14,AA25,AA36,AA47,AA58,AA69, AG14,AG25,AG36,AG47,AG58,AG69)</f>
        <v>32215</v>
      </c>
      <c r="E74" s="201">
        <f>SUM(E14,E25,E36,E47,E58,S14,S25,S36,S47,S58,S69)</f>
        <v>13995</v>
      </c>
      <c r="F74" s="201">
        <f>SUM(F14,F25,F36,F47,F58, F69)</f>
        <v>7582</v>
      </c>
      <c r="G74" s="201">
        <f>SUM(G14,G25,G36,G47,G58, G69)</f>
        <v>19594</v>
      </c>
      <c r="H74" s="201">
        <f>SUM(H14,H25,H36,H47,H58,H69)</f>
        <v>13392</v>
      </c>
      <c r="I74" s="201">
        <f>SUM(W14,W25,W36,W47,W58,W69, Z14,Z25,Z36,Z47,Z58,Z69)</f>
        <v>13008</v>
      </c>
      <c r="J74" s="201">
        <f>I14+I25+I36+I47+I58</f>
        <v>4522</v>
      </c>
      <c r="K74" s="201">
        <f>SUM(J14,J25,J36,J47,J58,J69,Q14,Q25,Q36,Q47,Q58,Q69)</f>
        <v>0</v>
      </c>
      <c r="L74" s="201">
        <f>SUM(K14,K25,K36,K47,K58,K69)</f>
        <v>9668</v>
      </c>
      <c r="M74" s="201">
        <f>SUM(L14,L25,L36,L47,L58,L69,O14,O25,O36,O47,O58,O69)</f>
        <v>3975</v>
      </c>
      <c r="N74" s="201">
        <f>SUM(N14,N25,N36,N47,N58,N69)</f>
        <v>1832</v>
      </c>
      <c r="O74" s="201">
        <f>SUM(P14,P25,P36,P47,P58,P69)</f>
        <v>2845</v>
      </c>
      <c r="P74" s="201">
        <f>SUM(R14,R25,R36,R47,R58,R69)</f>
        <v>1685</v>
      </c>
      <c r="Q74" s="201">
        <f>SUM(U14,U25,U36,U47,U58,U69)</f>
        <v>7824</v>
      </c>
      <c r="R74" s="201">
        <f>SUM(V14,V25,V36,V47,V58,V69)</f>
        <v>5889</v>
      </c>
      <c r="S74" s="201">
        <f>SUM(AB14,AB25,AB36,AB47,AB58,AB69)</f>
        <v>3180</v>
      </c>
      <c r="T74" s="201">
        <f>SUM(AC14,AC25,AC36,AC47,AC58,AC69)</f>
        <v>912</v>
      </c>
      <c r="U74" s="201">
        <f>SUM(AE14,AE25,AE36,AE47,AE58,AE69)</f>
        <v>9583</v>
      </c>
      <c r="V74" s="201">
        <f>SUM(AF14,AF25,AF36,AF47,AF58,AF69)</f>
        <v>4556</v>
      </c>
      <c r="X74" s="256"/>
      <c r="Y74" s="256"/>
      <c r="Z74" s="256"/>
      <c r="AA74" s="1"/>
      <c r="AB74" s="1"/>
    </row>
    <row r="75" spans="1:35" x14ac:dyDescent="0.25">
      <c r="B75" s="1"/>
      <c r="C75" s="1"/>
      <c r="F75" s="140"/>
    </row>
    <row r="76" spans="1:35" x14ac:dyDescent="0.25">
      <c r="B76" s="1"/>
      <c r="C76" s="1"/>
      <c r="F76" s="140"/>
      <c r="U76" s="297"/>
    </row>
    <row r="77" spans="1:35" x14ac:dyDescent="0.25">
      <c r="B77" s="1"/>
      <c r="C77" s="1"/>
      <c r="D77" s="518" t="s">
        <v>74</v>
      </c>
      <c r="E77" s="519"/>
      <c r="F77" s="520"/>
      <c r="Z77" s="1"/>
      <c r="AA77" s="1"/>
      <c r="AB77" s="1"/>
    </row>
    <row r="78" spans="1:35" x14ac:dyDescent="0.25">
      <c r="D78" s="516" t="s">
        <v>19</v>
      </c>
      <c r="E78" s="517"/>
      <c r="F78" s="113">
        <f>AI12+AI23+AI34+AI45+AI56+AI67</f>
        <v>239676</v>
      </c>
      <c r="R78"/>
      <c r="S78" s="298"/>
      <c r="T78" s="298"/>
      <c r="U78" s="298"/>
      <c r="V78" s="298"/>
    </row>
    <row r="79" spans="1:35" x14ac:dyDescent="0.25">
      <c r="D79" s="516" t="s">
        <v>30</v>
      </c>
      <c r="E79" s="517"/>
      <c r="F79" s="112">
        <f>SUM(AI14, AI25, AI36, AI47, AI58, AI69)</f>
        <v>208233</v>
      </c>
      <c r="N79" s="297"/>
    </row>
    <row r="80" spans="1:35" x14ac:dyDescent="0.25">
      <c r="D80" s="516" t="s">
        <v>62</v>
      </c>
      <c r="E80" s="517"/>
      <c r="F80" s="113">
        <f>AVERAGE(AI56, AI45, AI34, AI23, AI12, AI67)</f>
        <v>39946</v>
      </c>
    </row>
    <row r="81" spans="1:25" x14ac:dyDescent="0.25">
      <c r="A81"/>
      <c r="B81"/>
      <c r="C81"/>
      <c r="D81" s="516" t="s">
        <v>22</v>
      </c>
      <c r="E81" s="517"/>
      <c r="F81" s="112">
        <f>AVERAGE(AI14, AI25, AI36, AI47, AI58, AI69)</f>
        <v>34705.5</v>
      </c>
      <c r="G81"/>
      <c r="H81"/>
      <c r="I81"/>
      <c r="J81"/>
      <c r="K81"/>
      <c r="L81"/>
      <c r="M81" s="298"/>
      <c r="N81" s="298"/>
      <c r="O81"/>
      <c r="P81"/>
      <c r="Q81"/>
      <c r="W81" s="298"/>
      <c r="X81" s="298"/>
      <c r="Y81" s="298"/>
    </row>
  </sheetData>
  <mergeCells count="52">
    <mergeCell ref="U1:Y2"/>
    <mergeCell ref="U3:U4"/>
    <mergeCell ref="V3:V4"/>
    <mergeCell ref="W3:W4"/>
    <mergeCell ref="X3:X4"/>
    <mergeCell ref="Y3:Y4"/>
    <mergeCell ref="N1:T2"/>
    <mergeCell ref="N3:N4"/>
    <mergeCell ref="O3:O4"/>
    <mergeCell ref="P3:P4"/>
    <mergeCell ref="Q3:Q4"/>
    <mergeCell ref="R3:R4"/>
    <mergeCell ref="S3:S4"/>
    <mergeCell ref="T3:T4"/>
    <mergeCell ref="B12:B15"/>
    <mergeCell ref="D78:E78"/>
    <mergeCell ref="D79:E79"/>
    <mergeCell ref="D80:E80"/>
    <mergeCell ref="M3:M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Z1:AD2"/>
    <mergeCell ref="Z3:Z4"/>
    <mergeCell ref="AA3:AA4"/>
    <mergeCell ref="AB3:AB4"/>
    <mergeCell ref="AC3:AC4"/>
    <mergeCell ref="AD3:AD4"/>
    <mergeCell ref="AE1:AH2"/>
    <mergeCell ref="AH3:AH4"/>
    <mergeCell ref="AI1:AI4"/>
    <mergeCell ref="AE3:AE4"/>
    <mergeCell ref="AF3:AF4"/>
    <mergeCell ref="AG3:AG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L14" sqref="L14"/>
    </sheetView>
  </sheetViews>
  <sheetFormatPr defaultRowHeight="15" outlineLevelRow="1" x14ac:dyDescent="0.25"/>
  <cols>
    <col min="1" max="1" width="18.7109375" style="1" bestFit="1" customWidth="1"/>
    <col min="2" max="2" width="10.7109375" style="140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11" ht="15" customHeight="1" x14ac:dyDescent="0.25">
      <c r="A1" s="29"/>
      <c r="B1" s="178"/>
      <c r="C1" s="499" t="s">
        <v>8</v>
      </c>
      <c r="D1" s="540"/>
      <c r="E1" s="540"/>
      <c r="F1" s="540"/>
      <c r="G1" s="503"/>
      <c r="H1" s="499" t="s">
        <v>84</v>
      </c>
      <c r="I1" s="499" t="s">
        <v>10</v>
      </c>
      <c r="J1" s="503"/>
      <c r="K1" s="538" t="s">
        <v>19</v>
      </c>
    </row>
    <row r="2" spans="1:11" ht="15" customHeight="1" thickBot="1" x14ac:dyDescent="0.3">
      <c r="A2" s="30"/>
      <c r="B2" s="179"/>
      <c r="C2" s="500"/>
      <c r="D2" s="541"/>
      <c r="E2" s="541"/>
      <c r="F2" s="541"/>
      <c r="G2" s="504"/>
      <c r="H2" s="500"/>
      <c r="I2" s="500"/>
      <c r="J2" s="504"/>
      <c r="K2" s="539"/>
    </row>
    <row r="3" spans="1:11" ht="14.25" customHeight="1" x14ac:dyDescent="0.25">
      <c r="A3" s="477" t="s">
        <v>52</v>
      </c>
      <c r="B3" s="496" t="s">
        <v>53</v>
      </c>
      <c r="C3" s="527" t="s">
        <v>34</v>
      </c>
      <c r="D3" s="531" t="s">
        <v>35</v>
      </c>
      <c r="E3" s="533" t="s">
        <v>36</v>
      </c>
      <c r="F3" s="531" t="s">
        <v>37</v>
      </c>
      <c r="G3" s="542" t="s">
        <v>100</v>
      </c>
      <c r="H3" s="543" t="s">
        <v>38</v>
      </c>
      <c r="I3" s="544" t="s">
        <v>39</v>
      </c>
      <c r="J3" s="536" t="s">
        <v>40</v>
      </c>
      <c r="K3" s="539"/>
    </row>
    <row r="4" spans="1:11" ht="15" customHeight="1" thickBot="1" x14ac:dyDescent="0.3">
      <c r="A4" s="507"/>
      <c r="B4" s="498"/>
      <c r="C4" s="507"/>
      <c r="D4" s="532"/>
      <c r="E4" s="508"/>
      <c r="F4" s="532"/>
      <c r="G4" s="509"/>
      <c r="H4" s="495"/>
      <c r="I4" s="507"/>
      <c r="J4" s="537"/>
      <c r="K4" s="539"/>
    </row>
    <row r="5" spans="1:11" s="52" customFormat="1" ht="14.25" hidden="1" thickBot="1" x14ac:dyDescent="0.3">
      <c r="A5" s="31" t="s">
        <v>3</v>
      </c>
      <c r="B5" s="180">
        <v>43465</v>
      </c>
      <c r="C5" s="313"/>
      <c r="D5" s="347"/>
      <c r="E5" s="356"/>
      <c r="F5" s="347"/>
      <c r="G5" s="357"/>
      <c r="H5" s="356"/>
      <c r="I5" s="313"/>
      <c r="J5" s="314"/>
      <c r="K5" s="146">
        <f t="shared" ref="K5" si="0">SUM(C5:J5)</f>
        <v>0</v>
      </c>
    </row>
    <row r="6" spans="1:11" s="52" customFormat="1" ht="13.5" x14ac:dyDescent="0.25">
      <c r="A6" s="31" t="s">
        <v>4</v>
      </c>
      <c r="B6" s="378">
        <v>43466</v>
      </c>
      <c r="C6" s="172">
        <v>2582</v>
      </c>
      <c r="D6" s="358"/>
      <c r="E6" s="59"/>
      <c r="F6" s="59"/>
      <c r="G6" s="129"/>
      <c r="H6" s="60"/>
      <c r="I6" s="57"/>
      <c r="J6" s="58"/>
      <c r="K6" s="61">
        <f t="shared" ref="K6:K11" si="1">SUM(C6:J6)</f>
        <v>2582</v>
      </c>
    </row>
    <row r="7" spans="1:11" s="52" customFormat="1" ht="13.5" x14ac:dyDescent="0.25">
      <c r="A7" s="31" t="s">
        <v>5</v>
      </c>
      <c r="B7" s="181">
        <v>43467</v>
      </c>
      <c r="C7" s="150">
        <v>5667</v>
      </c>
      <c r="D7" s="21">
        <v>1355</v>
      </c>
      <c r="E7" s="21">
        <v>1035</v>
      </c>
      <c r="F7" s="21">
        <v>2162</v>
      </c>
      <c r="G7" s="70"/>
      <c r="H7" s="22">
        <v>1100</v>
      </c>
      <c r="I7" s="19">
        <v>968</v>
      </c>
      <c r="J7" s="20">
        <v>2531</v>
      </c>
      <c r="K7" s="301">
        <f t="shared" si="1"/>
        <v>14818</v>
      </c>
    </row>
    <row r="8" spans="1:11" s="52" customFormat="1" ht="13.5" x14ac:dyDescent="0.25">
      <c r="A8" s="31" t="s">
        <v>6</v>
      </c>
      <c r="B8" s="181">
        <v>43468</v>
      </c>
      <c r="C8" s="150">
        <v>6068</v>
      </c>
      <c r="D8" s="21">
        <v>1478</v>
      </c>
      <c r="E8" s="21">
        <v>983</v>
      </c>
      <c r="F8" s="21">
        <v>2131</v>
      </c>
      <c r="G8" s="70"/>
      <c r="H8" s="22">
        <v>1220</v>
      </c>
      <c r="I8" s="19">
        <v>1118</v>
      </c>
      <c r="J8" s="20">
        <v>2732</v>
      </c>
      <c r="K8" s="301">
        <f t="shared" si="1"/>
        <v>15730</v>
      </c>
    </row>
    <row r="9" spans="1:11" s="52" customFormat="1" ht="13.5" x14ac:dyDescent="0.25">
      <c r="A9" s="31" t="s">
        <v>0</v>
      </c>
      <c r="B9" s="181">
        <v>43469</v>
      </c>
      <c r="C9" s="150">
        <v>5969</v>
      </c>
      <c r="D9" s="21">
        <v>1072</v>
      </c>
      <c r="E9" s="21">
        <v>1043</v>
      </c>
      <c r="F9" s="21">
        <v>2091</v>
      </c>
      <c r="G9" s="70"/>
      <c r="H9" s="22">
        <v>873</v>
      </c>
      <c r="I9" s="19">
        <v>831</v>
      </c>
      <c r="J9" s="20">
        <v>2167</v>
      </c>
      <c r="K9" s="301">
        <f t="shared" si="1"/>
        <v>14046</v>
      </c>
    </row>
    <row r="10" spans="1:11" s="52" customFormat="1" ht="13.5" outlineLevel="1" x14ac:dyDescent="0.25">
      <c r="A10" s="31" t="s">
        <v>1</v>
      </c>
      <c r="B10" s="181">
        <v>43470</v>
      </c>
      <c r="C10" s="150">
        <v>2230</v>
      </c>
      <c r="D10" s="21"/>
      <c r="E10" s="21"/>
      <c r="F10" s="21"/>
      <c r="G10" s="70">
        <v>854</v>
      </c>
      <c r="H10" s="22">
        <v>241</v>
      </c>
      <c r="I10" s="19"/>
      <c r="J10" s="20"/>
      <c r="K10" s="301">
        <f t="shared" si="1"/>
        <v>3325</v>
      </c>
    </row>
    <row r="11" spans="1:11" s="52" customFormat="1" ht="14.25" outlineLevel="1" thickBot="1" x14ac:dyDescent="0.3">
      <c r="A11" s="31" t="s">
        <v>2</v>
      </c>
      <c r="B11" s="181">
        <v>43471</v>
      </c>
      <c r="C11" s="150">
        <v>2585</v>
      </c>
      <c r="D11" s="325"/>
      <c r="E11" s="21"/>
      <c r="F11" s="21"/>
      <c r="G11" s="70">
        <v>774</v>
      </c>
      <c r="H11" s="22">
        <v>270</v>
      </c>
      <c r="I11" s="19"/>
      <c r="J11" s="20"/>
      <c r="K11" s="301">
        <f t="shared" si="1"/>
        <v>3629</v>
      </c>
    </row>
    <row r="12" spans="1:11" s="53" customFormat="1" ht="13.5" customHeight="1" outlineLevel="1" thickBot="1" x14ac:dyDescent="0.3">
      <c r="A12" s="167" t="s">
        <v>21</v>
      </c>
      <c r="B12" s="534" t="s">
        <v>24</v>
      </c>
      <c r="C12" s="373">
        <f t="shared" ref="C12:K12" si="2">SUM(C5:C11)</f>
        <v>25101</v>
      </c>
      <c r="D12" s="327">
        <f t="shared" si="2"/>
        <v>3905</v>
      </c>
      <c r="E12" s="327">
        <f t="shared" si="2"/>
        <v>3061</v>
      </c>
      <c r="F12" s="327">
        <f t="shared" si="2"/>
        <v>6384</v>
      </c>
      <c r="G12" s="361">
        <f t="shared" si="2"/>
        <v>1628</v>
      </c>
      <c r="H12" s="367">
        <f t="shared" si="2"/>
        <v>3704</v>
      </c>
      <c r="I12" s="332">
        <f t="shared" si="2"/>
        <v>2917</v>
      </c>
      <c r="J12" s="333">
        <f t="shared" si="2"/>
        <v>7430</v>
      </c>
      <c r="K12" s="371">
        <f t="shared" si="2"/>
        <v>54130</v>
      </c>
    </row>
    <row r="13" spans="1:11" s="53" customFormat="1" ht="15" customHeight="1" outlineLevel="1" thickBot="1" x14ac:dyDescent="0.3">
      <c r="A13" s="116" t="s">
        <v>23</v>
      </c>
      <c r="B13" s="534"/>
      <c r="C13" s="373">
        <f>AVERAGE(C5:C11)</f>
        <v>4183.5</v>
      </c>
      <c r="D13" s="327">
        <f t="shared" ref="D13:K13" si="3">AVERAGE(D5:D11)</f>
        <v>1301.6666666666667</v>
      </c>
      <c r="E13" s="327">
        <f t="shared" si="3"/>
        <v>1020.3333333333334</v>
      </c>
      <c r="F13" s="327">
        <f t="shared" si="3"/>
        <v>2128</v>
      </c>
      <c r="G13" s="361">
        <f>AVERAGE(G5:G11)</f>
        <v>814</v>
      </c>
      <c r="H13" s="367">
        <f t="shared" si="3"/>
        <v>740.8</v>
      </c>
      <c r="I13" s="332">
        <f t="shared" si="3"/>
        <v>972.33333333333337</v>
      </c>
      <c r="J13" s="333">
        <f t="shared" si="3"/>
        <v>2476.6666666666665</v>
      </c>
      <c r="K13" s="371">
        <f t="shared" si="3"/>
        <v>7732.8571428571431</v>
      </c>
    </row>
    <row r="14" spans="1:11" s="53" customFormat="1" ht="15" customHeight="1" thickBot="1" x14ac:dyDescent="0.3">
      <c r="A14" s="32" t="s">
        <v>20</v>
      </c>
      <c r="B14" s="534"/>
      <c r="C14" s="374">
        <f t="shared" ref="C14:K14" si="4">SUM(C5:C9)</f>
        <v>20286</v>
      </c>
      <c r="D14" s="328">
        <f t="shared" si="4"/>
        <v>3905</v>
      </c>
      <c r="E14" s="328">
        <f t="shared" si="4"/>
        <v>3061</v>
      </c>
      <c r="F14" s="328">
        <f t="shared" si="4"/>
        <v>6384</v>
      </c>
      <c r="G14" s="362">
        <f t="shared" si="4"/>
        <v>0</v>
      </c>
      <c r="H14" s="368">
        <f t="shared" si="4"/>
        <v>3193</v>
      </c>
      <c r="I14" s="334">
        <f t="shared" si="4"/>
        <v>2917</v>
      </c>
      <c r="J14" s="335">
        <f t="shared" si="4"/>
        <v>7430</v>
      </c>
      <c r="K14" s="372">
        <f t="shared" si="4"/>
        <v>47176</v>
      </c>
    </row>
    <row r="15" spans="1:11" s="53" customFormat="1" ht="15" customHeight="1" thickBot="1" x14ac:dyDescent="0.3">
      <c r="A15" s="32" t="s">
        <v>22</v>
      </c>
      <c r="B15" s="534"/>
      <c r="C15" s="374">
        <f t="shared" ref="C15:J15" si="5">AVERAGE(C5:C9)</f>
        <v>5071.5</v>
      </c>
      <c r="D15" s="328">
        <f>AVERAGE(D5:D9)</f>
        <v>1301.6666666666667</v>
      </c>
      <c r="E15" s="328">
        <f t="shared" si="5"/>
        <v>1020.3333333333334</v>
      </c>
      <c r="F15" s="328">
        <f t="shared" si="5"/>
        <v>2128</v>
      </c>
      <c r="G15" s="362" t="e">
        <f t="shared" si="5"/>
        <v>#DIV/0!</v>
      </c>
      <c r="H15" s="368">
        <f t="shared" si="5"/>
        <v>1064.3333333333333</v>
      </c>
      <c r="I15" s="334">
        <f t="shared" si="5"/>
        <v>972.33333333333337</v>
      </c>
      <c r="J15" s="335">
        <f t="shared" si="5"/>
        <v>2476.6666666666665</v>
      </c>
      <c r="K15" s="372">
        <f>AVERAGE(K5:K9)</f>
        <v>9435.2000000000007</v>
      </c>
    </row>
    <row r="16" spans="1:11" s="53" customFormat="1" ht="15" customHeight="1" x14ac:dyDescent="0.25">
      <c r="A16" s="31" t="s">
        <v>3</v>
      </c>
      <c r="B16" s="181">
        <f>B11+1</f>
        <v>43472</v>
      </c>
      <c r="C16" s="150">
        <v>6404</v>
      </c>
      <c r="D16" s="21">
        <v>1558</v>
      </c>
      <c r="E16" s="21">
        <v>1221</v>
      </c>
      <c r="F16" s="21">
        <v>2340</v>
      </c>
      <c r="G16" s="70"/>
      <c r="H16" s="22">
        <v>1270</v>
      </c>
      <c r="I16" s="19">
        <v>1299</v>
      </c>
      <c r="J16" s="20">
        <v>2717</v>
      </c>
      <c r="K16" s="301">
        <f t="shared" ref="K16:K22" si="6">SUM(C16:J16)</f>
        <v>16809</v>
      </c>
    </row>
    <row r="17" spans="1:11" s="53" customFormat="1" ht="15" customHeight="1" x14ac:dyDescent="0.25">
      <c r="A17" s="31" t="s">
        <v>4</v>
      </c>
      <c r="B17" s="181">
        <f t="shared" ref="B17:B22" si="7">B16+1</f>
        <v>43473</v>
      </c>
      <c r="C17" s="150">
        <v>5966</v>
      </c>
      <c r="D17" s="21">
        <v>1672</v>
      </c>
      <c r="E17" s="21">
        <v>1199</v>
      </c>
      <c r="F17" s="21">
        <v>2286</v>
      </c>
      <c r="G17" s="70"/>
      <c r="H17" s="22">
        <v>1226</v>
      </c>
      <c r="I17" s="19">
        <v>1318</v>
      </c>
      <c r="J17" s="20">
        <v>2798</v>
      </c>
      <c r="K17" s="301">
        <f t="shared" si="6"/>
        <v>16465</v>
      </c>
    </row>
    <row r="18" spans="1:11" s="53" customFormat="1" ht="15" customHeight="1" x14ac:dyDescent="0.25">
      <c r="A18" s="31" t="s">
        <v>5</v>
      </c>
      <c r="B18" s="181">
        <f t="shared" si="7"/>
        <v>43474</v>
      </c>
      <c r="C18" s="232">
        <v>6206</v>
      </c>
      <c r="D18" s="355">
        <v>1672</v>
      </c>
      <c r="E18" s="355">
        <v>1285</v>
      </c>
      <c r="F18" s="355">
        <v>2288</v>
      </c>
      <c r="G18" s="363"/>
      <c r="H18" s="370">
        <v>1197</v>
      </c>
      <c r="I18" s="222">
        <v>1279</v>
      </c>
      <c r="J18" s="359">
        <v>2669</v>
      </c>
      <c r="K18" s="301">
        <f t="shared" si="6"/>
        <v>16596</v>
      </c>
    </row>
    <row r="19" spans="1:11" s="53" customFormat="1" ht="15" customHeight="1" x14ac:dyDescent="0.25">
      <c r="A19" s="31" t="s">
        <v>6</v>
      </c>
      <c r="B19" s="181">
        <f t="shared" si="7"/>
        <v>43475</v>
      </c>
      <c r="C19" s="150">
        <v>6265</v>
      </c>
      <c r="D19" s="21">
        <v>1717</v>
      </c>
      <c r="E19" s="21">
        <v>1061</v>
      </c>
      <c r="F19" s="21">
        <v>2242</v>
      </c>
      <c r="G19" s="70"/>
      <c r="H19" s="22">
        <v>1197</v>
      </c>
      <c r="I19" s="19">
        <v>1256</v>
      </c>
      <c r="J19" s="20">
        <v>2667</v>
      </c>
      <c r="K19" s="301">
        <f t="shared" si="6"/>
        <v>16405</v>
      </c>
    </row>
    <row r="20" spans="1:11" s="53" customFormat="1" ht="15" customHeight="1" x14ac:dyDescent="0.25">
      <c r="A20" s="31" t="s">
        <v>0</v>
      </c>
      <c r="B20" s="181">
        <f t="shared" si="7"/>
        <v>43476</v>
      </c>
      <c r="C20" s="150">
        <v>5810</v>
      </c>
      <c r="D20" s="21">
        <v>1323</v>
      </c>
      <c r="E20" s="21">
        <v>1061</v>
      </c>
      <c r="F20" s="21">
        <v>2073</v>
      </c>
      <c r="G20" s="70"/>
      <c r="H20" s="22">
        <v>1085</v>
      </c>
      <c r="I20" s="19">
        <v>1098</v>
      </c>
      <c r="J20" s="20">
        <v>2097</v>
      </c>
      <c r="K20" s="301">
        <f t="shared" si="6"/>
        <v>14547</v>
      </c>
    </row>
    <row r="21" spans="1:11" s="53" customFormat="1" ht="15" customHeight="1" outlineLevel="1" x14ac:dyDescent="0.25">
      <c r="A21" s="31" t="s">
        <v>1</v>
      </c>
      <c r="B21" s="181">
        <f t="shared" si="7"/>
        <v>43477</v>
      </c>
      <c r="C21" s="150">
        <v>2590</v>
      </c>
      <c r="D21" s="310"/>
      <c r="E21" s="21"/>
      <c r="F21" s="21"/>
      <c r="G21" s="70">
        <v>1109</v>
      </c>
      <c r="H21" s="22">
        <v>194</v>
      </c>
      <c r="I21" s="19"/>
      <c r="J21" s="20"/>
      <c r="K21" s="301">
        <f>SUM(C21:J21)</f>
        <v>3893</v>
      </c>
    </row>
    <row r="22" spans="1:11" s="53" customFormat="1" ht="15" customHeight="1" outlineLevel="1" thickBot="1" x14ac:dyDescent="0.3">
      <c r="A22" s="31" t="s">
        <v>2</v>
      </c>
      <c r="B22" s="181">
        <f t="shared" si="7"/>
        <v>43478</v>
      </c>
      <c r="C22" s="375">
        <v>1584</v>
      </c>
      <c r="D22" s="42"/>
      <c r="E22" s="42"/>
      <c r="F22" s="42"/>
      <c r="G22" s="364">
        <v>718</v>
      </c>
      <c r="H22" s="22">
        <v>110</v>
      </c>
      <c r="I22" s="19"/>
      <c r="J22" s="20"/>
      <c r="K22" s="301">
        <f t="shared" si="6"/>
        <v>2412</v>
      </c>
    </row>
    <row r="23" spans="1:11" s="53" customFormat="1" ht="15" customHeight="1" outlineLevel="1" thickBot="1" x14ac:dyDescent="0.3">
      <c r="A23" s="167" t="s">
        <v>21</v>
      </c>
      <c r="B23" s="534" t="s">
        <v>25</v>
      </c>
      <c r="C23" s="373">
        <f>SUM(C16:C22)</f>
        <v>34825</v>
      </c>
      <c r="D23" s="327">
        <f>SUM(D16:D22)</f>
        <v>7942</v>
      </c>
      <c r="E23" s="327">
        <f t="shared" ref="E23:K23" si="8">SUM(E16:E22)</f>
        <v>5827</v>
      </c>
      <c r="F23" s="327">
        <f t="shared" si="8"/>
        <v>11229</v>
      </c>
      <c r="G23" s="361">
        <f t="shared" si="8"/>
        <v>1827</v>
      </c>
      <c r="H23" s="367">
        <f>SUM(H16:H22)</f>
        <v>6279</v>
      </c>
      <c r="I23" s="332">
        <f>SUM(I16:I22)</f>
        <v>6250</v>
      </c>
      <c r="J23" s="333">
        <f t="shared" si="8"/>
        <v>12948</v>
      </c>
      <c r="K23" s="371">
        <f t="shared" si="8"/>
        <v>87127</v>
      </c>
    </row>
    <row r="24" spans="1:11" s="53" customFormat="1" ht="15" customHeight="1" outlineLevel="1" thickBot="1" x14ac:dyDescent="0.3">
      <c r="A24" s="116" t="s">
        <v>23</v>
      </c>
      <c r="B24" s="534"/>
      <c r="C24" s="373">
        <f>AVERAGE(C16:C22)</f>
        <v>4975</v>
      </c>
      <c r="D24" s="327">
        <f>AVERAGE(D16:D22)</f>
        <v>1588.4</v>
      </c>
      <c r="E24" s="327">
        <f t="shared" ref="E24:K24" si="9">AVERAGE(E16:E22)</f>
        <v>1165.4000000000001</v>
      </c>
      <c r="F24" s="327">
        <f t="shared" si="9"/>
        <v>2245.8000000000002</v>
      </c>
      <c r="G24" s="361">
        <f t="shared" si="9"/>
        <v>913.5</v>
      </c>
      <c r="H24" s="367">
        <f>AVERAGE(H16:H22)</f>
        <v>897</v>
      </c>
      <c r="I24" s="332">
        <f>AVERAGE(I16:I22)</f>
        <v>1250</v>
      </c>
      <c r="J24" s="333">
        <f t="shared" si="9"/>
        <v>2589.6</v>
      </c>
      <c r="K24" s="371">
        <f t="shared" si="9"/>
        <v>12446.714285714286</v>
      </c>
    </row>
    <row r="25" spans="1:11" s="53" customFormat="1" ht="15" customHeight="1" thickBot="1" x14ac:dyDescent="0.3">
      <c r="A25" s="32" t="s">
        <v>20</v>
      </c>
      <c r="B25" s="534"/>
      <c r="C25" s="374">
        <f>SUM(C16:C20)</f>
        <v>30651</v>
      </c>
      <c r="D25" s="328">
        <f>SUM(D16:D20)</f>
        <v>7942</v>
      </c>
      <c r="E25" s="328">
        <f t="shared" ref="E25:K25" si="10">SUM(E16:E20)</f>
        <v>5827</v>
      </c>
      <c r="F25" s="328">
        <f t="shared" si="10"/>
        <v>11229</v>
      </c>
      <c r="G25" s="362">
        <f t="shared" si="10"/>
        <v>0</v>
      </c>
      <c r="H25" s="368">
        <f>SUM(H16:H20)</f>
        <v>5975</v>
      </c>
      <c r="I25" s="334">
        <f>SUM(I16:I22)</f>
        <v>6250</v>
      </c>
      <c r="J25" s="335">
        <f t="shared" si="10"/>
        <v>12948</v>
      </c>
      <c r="K25" s="372">
        <f t="shared" si="10"/>
        <v>80822</v>
      </c>
    </row>
    <row r="26" spans="1:11" s="53" customFormat="1" ht="15" customHeight="1" thickBot="1" x14ac:dyDescent="0.3">
      <c r="A26" s="32" t="s">
        <v>22</v>
      </c>
      <c r="B26" s="534"/>
      <c r="C26" s="374">
        <f>AVERAGE(C16:C20)</f>
        <v>6130.2</v>
      </c>
      <c r="D26" s="328">
        <f>AVERAGE(D16:D20)</f>
        <v>1588.4</v>
      </c>
      <c r="E26" s="328">
        <f t="shared" ref="E26:K26" si="11">AVERAGE(E16:E20)</f>
        <v>1165.4000000000001</v>
      </c>
      <c r="F26" s="328">
        <f t="shared" si="11"/>
        <v>2245.8000000000002</v>
      </c>
      <c r="G26" s="362" t="e">
        <f t="shared" si="11"/>
        <v>#DIV/0!</v>
      </c>
      <c r="H26" s="368">
        <v>893</v>
      </c>
      <c r="I26" s="290">
        <f>AVERAGE(I16:I20)</f>
        <v>1250</v>
      </c>
      <c r="J26" s="335">
        <f t="shared" si="11"/>
        <v>2589.6</v>
      </c>
      <c r="K26" s="372">
        <f t="shared" si="11"/>
        <v>16164.4</v>
      </c>
    </row>
    <row r="27" spans="1:11" s="53" customFormat="1" ht="15" customHeight="1" x14ac:dyDescent="0.25">
      <c r="A27" s="31" t="s">
        <v>3</v>
      </c>
      <c r="B27" s="184">
        <f>B22+1</f>
        <v>43479</v>
      </c>
      <c r="C27" s="376">
        <v>5880</v>
      </c>
      <c r="D27" s="218">
        <v>1589</v>
      </c>
      <c r="E27" s="219">
        <v>1088</v>
      </c>
      <c r="F27" s="219">
        <v>2309</v>
      </c>
      <c r="G27" s="365"/>
      <c r="H27" s="304">
        <v>1173</v>
      </c>
      <c r="I27" s="369">
        <v>1272</v>
      </c>
      <c r="J27" s="234">
        <v>2664</v>
      </c>
      <c r="K27" s="301">
        <f t="shared" ref="K27:K32" si="12">SUM(C27:J27)</f>
        <v>15975</v>
      </c>
    </row>
    <row r="28" spans="1:11" s="53" customFormat="1" ht="15" customHeight="1" x14ac:dyDescent="0.25">
      <c r="A28" s="31" t="s">
        <v>4</v>
      </c>
      <c r="B28" s="184">
        <f t="shared" ref="B28:B33" si="13">B27+1</f>
        <v>43480</v>
      </c>
      <c r="C28" s="376">
        <v>6321</v>
      </c>
      <c r="D28" s="218">
        <v>1620</v>
      </c>
      <c r="E28" s="219">
        <v>1121</v>
      </c>
      <c r="F28" s="219">
        <v>2344</v>
      </c>
      <c r="G28" s="365"/>
      <c r="H28" s="304">
        <v>1171</v>
      </c>
      <c r="I28" s="369">
        <v>1408</v>
      </c>
      <c r="J28" s="234">
        <v>2696</v>
      </c>
      <c r="K28" s="301">
        <f t="shared" si="12"/>
        <v>16681</v>
      </c>
    </row>
    <row r="29" spans="1:11" s="53" customFormat="1" ht="15" customHeight="1" x14ac:dyDescent="0.25">
      <c r="A29" s="31" t="s">
        <v>5</v>
      </c>
      <c r="B29" s="184">
        <f t="shared" si="13"/>
        <v>43481</v>
      </c>
      <c r="C29" s="376">
        <v>6448</v>
      </c>
      <c r="D29" s="218">
        <v>1581</v>
      </c>
      <c r="E29" s="219">
        <v>1196</v>
      </c>
      <c r="F29" s="219">
        <v>2200</v>
      </c>
      <c r="G29" s="365"/>
      <c r="H29" s="304">
        <v>1102</v>
      </c>
      <c r="I29" s="369">
        <v>1249</v>
      </c>
      <c r="J29" s="234">
        <v>2553</v>
      </c>
      <c r="K29" s="301">
        <f t="shared" si="12"/>
        <v>16329</v>
      </c>
    </row>
    <row r="30" spans="1:11" s="53" customFormat="1" ht="15" customHeight="1" x14ac:dyDescent="0.25">
      <c r="A30" s="31" t="s">
        <v>6</v>
      </c>
      <c r="B30" s="184">
        <f t="shared" si="13"/>
        <v>43482</v>
      </c>
      <c r="C30" s="376">
        <v>6426</v>
      </c>
      <c r="D30" s="218">
        <v>1507</v>
      </c>
      <c r="E30" s="219">
        <v>1070</v>
      </c>
      <c r="F30" s="219">
        <v>2177</v>
      </c>
      <c r="G30" s="365"/>
      <c r="H30" s="304">
        <v>1216</v>
      </c>
      <c r="I30" s="369">
        <v>1362</v>
      </c>
      <c r="J30" s="234">
        <v>2575</v>
      </c>
      <c r="K30" s="301">
        <f t="shared" si="12"/>
        <v>16333</v>
      </c>
    </row>
    <row r="31" spans="1:11" s="53" customFormat="1" ht="15" customHeight="1" x14ac:dyDescent="0.25">
      <c r="A31" s="31" t="s">
        <v>0</v>
      </c>
      <c r="B31" s="184">
        <f t="shared" si="13"/>
        <v>43483</v>
      </c>
      <c r="C31" s="376">
        <v>5672</v>
      </c>
      <c r="D31" s="218">
        <v>1139</v>
      </c>
      <c r="E31" s="219">
        <v>1048</v>
      </c>
      <c r="F31" s="219">
        <v>1917</v>
      </c>
      <c r="G31" s="365"/>
      <c r="H31" s="304">
        <v>1141</v>
      </c>
      <c r="I31" s="369">
        <v>1010</v>
      </c>
      <c r="J31" s="234">
        <v>1836</v>
      </c>
      <c r="K31" s="301">
        <f t="shared" si="12"/>
        <v>13763</v>
      </c>
    </row>
    <row r="32" spans="1:11" s="53" customFormat="1" ht="15" customHeight="1" outlineLevel="1" x14ac:dyDescent="0.25">
      <c r="A32" s="31" t="s">
        <v>1</v>
      </c>
      <c r="B32" s="184">
        <f t="shared" si="13"/>
        <v>43484</v>
      </c>
      <c r="C32" s="376">
        <v>2280</v>
      </c>
      <c r="D32" s="219"/>
      <c r="E32" s="219"/>
      <c r="F32" s="219"/>
      <c r="G32" s="365">
        <v>961</v>
      </c>
      <c r="H32" s="300">
        <v>207</v>
      </c>
      <c r="I32" s="360"/>
      <c r="J32" s="234"/>
      <c r="K32" s="301">
        <f t="shared" si="12"/>
        <v>3448</v>
      </c>
    </row>
    <row r="33" spans="1:12" s="53" customFormat="1" ht="15" customHeight="1" outlineLevel="1" thickBot="1" x14ac:dyDescent="0.3">
      <c r="A33" s="31" t="s">
        <v>2</v>
      </c>
      <c r="B33" s="184">
        <f t="shared" si="13"/>
        <v>43485</v>
      </c>
      <c r="C33" s="376">
        <v>1230</v>
      </c>
      <c r="D33" s="219"/>
      <c r="E33" s="219"/>
      <c r="F33" s="219"/>
      <c r="G33" s="365">
        <v>541</v>
      </c>
      <c r="H33" s="300">
        <v>83</v>
      </c>
      <c r="I33" s="360"/>
      <c r="J33" s="234"/>
      <c r="K33" s="301">
        <f>SUM(C33:J33)</f>
        <v>1854</v>
      </c>
    </row>
    <row r="34" spans="1:12" s="53" customFormat="1" ht="15" customHeight="1" outlineLevel="1" thickBot="1" x14ac:dyDescent="0.3">
      <c r="A34" s="167" t="s">
        <v>21</v>
      </c>
      <c r="B34" s="534" t="s">
        <v>26</v>
      </c>
      <c r="C34" s="373">
        <f>SUM(C27:C33)</f>
        <v>34257</v>
      </c>
      <c r="D34" s="327">
        <f>SUM(D27:D33)</f>
        <v>7436</v>
      </c>
      <c r="E34" s="327">
        <f t="shared" ref="E34:J34" si="14">SUM(E27:E33)</f>
        <v>5523</v>
      </c>
      <c r="F34" s="327">
        <f t="shared" si="14"/>
        <v>10947</v>
      </c>
      <c r="G34" s="361">
        <f t="shared" si="14"/>
        <v>1502</v>
      </c>
      <c r="H34" s="367">
        <f t="shared" si="14"/>
        <v>6093</v>
      </c>
      <c r="I34" s="332">
        <f t="shared" si="14"/>
        <v>6301</v>
      </c>
      <c r="J34" s="333">
        <f t="shared" si="14"/>
        <v>12324</v>
      </c>
      <c r="K34" s="371">
        <f>SUM(K27:K33)</f>
        <v>84383</v>
      </c>
    </row>
    <row r="35" spans="1:12" s="53" customFormat="1" ht="15" customHeight="1" outlineLevel="1" thickBot="1" x14ac:dyDescent="0.3">
      <c r="A35" s="116" t="s">
        <v>23</v>
      </c>
      <c r="B35" s="534"/>
      <c r="C35" s="373">
        <f>AVERAGE(C27:C33)</f>
        <v>4893.8571428571431</v>
      </c>
      <c r="D35" s="327">
        <f t="shared" ref="D35:J35" si="15">AVERAGE(D27:D33)</f>
        <v>1487.2</v>
      </c>
      <c r="E35" s="327">
        <f t="shared" si="15"/>
        <v>1104.5999999999999</v>
      </c>
      <c r="F35" s="327">
        <f t="shared" si="15"/>
        <v>2189.4</v>
      </c>
      <c r="G35" s="361">
        <f t="shared" si="15"/>
        <v>751</v>
      </c>
      <c r="H35" s="367">
        <f t="shared" si="15"/>
        <v>870.42857142857144</v>
      </c>
      <c r="I35" s="332">
        <f t="shared" si="15"/>
        <v>1260.2</v>
      </c>
      <c r="J35" s="333">
        <f t="shared" si="15"/>
        <v>2464.8000000000002</v>
      </c>
      <c r="K35" s="371">
        <f>AVERAGE(K27:K33)</f>
        <v>12054.714285714286</v>
      </c>
    </row>
    <row r="36" spans="1:12" s="53" customFormat="1" ht="15" customHeight="1" thickBot="1" x14ac:dyDescent="0.3">
      <c r="A36" s="32" t="s">
        <v>20</v>
      </c>
      <c r="B36" s="534"/>
      <c r="C36" s="374">
        <f>SUM(C27:C31)</f>
        <v>30747</v>
      </c>
      <c r="D36" s="328">
        <f t="shared" ref="D36:J36" si="16">SUM(D27:D31)</f>
        <v>7436</v>
      </c>
      <c r="E36" s="328">
        <f t="shared" si="16"/>
        <v>5523</v>
      </c>
      <c r="F36" s="328">
        <f t="shared" si="16"/>
        <v>10947</v>
      </c>
      <c r="G36" s="362">
        <f>SUM(G27:G31)</f>
        <v>0</v>
      </c>
      <c r="H36" s="368">
        <f t="shared" si="16"/>
        <v>5803</v>
      </c>
      <c r="I36" s="334">
        <f t="shared" si="16"/>
        <v>6301</v>
      </c>
      <c r="J36" s="335">
        <f t="shared" si="16"/>
        <v>12324</v>
      </c>
      <c r="K36" s="372">
        <f>SUM(K27:K31)</f>
        <v>79081</v>
      </c>
    </row>
    <row r="37" spans="1:12" s="53" customFormat="1" ht="15" customHeight="1" thickBot="1" x14ac:dyDescent="0.3">
      <c r="A37" s="32" t="s">
        <v>22</v>
      </c>
      <c r="B37" s="534"/>
      <c r="C37" s="374">
        <f>AVERAGE(C27:C31)</f>
        <v>6149.4</v>
      </c>
      <c r="D37" s="328">
        <f t="shared" ref="D37:J37" si="17">AVERAGE(D27:D31)</f>
        <v>1487.2</v>
      </c>
      <c r="E37" s="328">
        <f t="shared" si="17"/>
        <v>1104.5999999999999</v>
      </c>
      <c r="F37" s="328">
        <f t="shared" si="17"/>
        <v>2189.4</v>
      </c>
      <c r="G37" s="362">
        <f>AVERAGE(G27:G33)</f>
        <v>751</v>
      </c>
      <c r="H37" s="368">
        <f t="shared" si="17"/>
        <v>1160.5999999999999</v>
      </c>
      <c r="I37" s="334">
        <f t="shared" si="17"/>
        <v>1260.2</v>
      </c>
      <c r="J37" s="335">
        <f t="shared" si="17"/>
        <v>2464.8000000000002</v>
      </c>
      <c r="K37" s="372">
        <f>AVERAGE(K27:K31)</f>
        <v>15816.2</v>
      </c>
    </row>
    <row r="38" spans="1:12" s="53" customFormat="1" ht="15" customHeight="1" x14ac:dyDescent="0.25">
      <c r="A38" s="31" t="s">
        <v>3</v>
      </c>
      <c r="B38" s="186">
        <f>B33+1</f>
        <v>43486</v>
      </c>
      <c r="C38" s="150">
        <v>1556</v>
      </c>
      <c r="D38" s="21"/>
      <c r="E38" s="21">
        <v>208</v>
      </c>
      <c r="F38" s="21"/>
      <c r="G38" s="70">
        <v>770</v>
      </c>
      <c r="H38" s="22">
        <v>99</v>
      </c>
      <c r="I38" s="19">
        <v>80</v>
      </c>
      <c r="J38" s="20">
        <v>97</v>
      </c>
      <c r="K38" s="301">
        <f t="shared" ref="K38:K44" si="18">SUM(C38:J38)</f>
        <v>2810</v>
      </c>
    </row>
    <row r="39" spans="1:12" s="53" customFormat="1" ht="15" customHeight="1" x14ac:dyDescent="0.25">
      <c r="A39" s="31" t="s">
        <v>4</v>
      </c>
      <c r="B39" s="186">
        <f t="shared" ref="B39:B44" si="19">B38+1</f>
        <v>43487</v>
      </c>
      <c r="C39" s="150">
        <v>5488</v>
      </c>
      <c r="D39" s="21">
        <v>1678</v>
      </c>
      <c r="E39" s="21">
        <v>1049</v>
      </c>
      <c r="F39" s="21">
        <v>2086</v>
      </c>
      <c r="G39" s="70"/>
      <c r="H39" s="22">
        <v>1116</v>
      </c>
      <c r="I39" s="19">
        <v>1211</v>
      </c>
      <c r="J39" s="20">
        <v>2544</v>
      </c>
      <c r="K39" s="301">
        <f t="shared" si="18"/>
        <v>15172</v>
      </c>
    </row>
    <row r="40" spans="1:12" s="53" customFormat="1" ht="15" customHeight="1" x14ac:dyDescent="0.25">
      <c r="A40" s="31" t="s">
        <v>5</v>
      </c>
      <c r="B40" s="186">
        <f t="shared" si="19"/>
        <v>43488</v>
      </c>
      <c r="C40" s="150">
        <v>6281</v>
      </c>
      <c r="D40" s="21">
        <v>1684</v>
      </c>
      <c r="E40" s="21">
        <v>1009</v>
      </c>
      <c r="F40" s="21">
        <v>2305</v>
      </c>
      <c r="G40" s="70"/>
      <c r="H40" s="22">
        <v>1250</v>
      </c>
      <c r="I40" s="19">
        <v>1217</v>
      </c>
      <c r="J40" s="20">
        <v>2627</v>
      </c>
      <c r="K40" s="301">
        <f t="shared" si="18"/>
        <v>16373</v>
      </c>
    </row>
    <row r="41" spans="1:12" s="53" customFormat="1" ht="15" customHeight="1" x14ac:dyDescent="0.25">
      <c r="A41" s="31" t="s">
        <v>6</v>
      </c>
      <c r="B41" s="186">
        <f t="shared" si="19"/>
        <v>43489</v>
      </c>
      <c r="C41" s="150">
        <v>6249</v>
      </c>
      <c r="D41" s="21">
        <v>1637</v>
      </c>
      <c r="E41" s="21">
        <v>1015</v>
      </c>
      <c r="F41" s="21">
        <v>2343</v>
      </c>
      <c r="G41" s="70"/>
      <c r="H41" s="22">
        <v>1133</v>
      </c>
      <c r="I41" s="19">
        <v>1238</v>
      </c>
      <c r="J41" s="20">
        <v>2575</v>
      </c>
      <c r="K41" s="301">
        <f>SUM(C41:J41)</f>
        <v>16190</v>
      </c>
    </row>
    <row r="42" spans="1:12" s="53" customFormat="1" ht="15" customHeight="1" x14ac:dyDescent="0.25">
      <c r="A42" s="31" t="s">
        <v>0</v>
      </c>
      <c r="B42" s="186">
        <f t="shared" si="19"/>
        <v>43490</v>
      </c>
      <c r="C42" s="150">
        <v>6434</v>
      </c>
      <c r="D42" s="21">
        <v>1448</v>
      </c>
      <c r="E42" s="21">
        <v>988</v>
      </c>
      <c r="F42" s="21">
        <v>2199</v>
      </c>
      <c r="G42" s="70"/>
      <c r="H42" s="22">
        <v>1079</v>
      </c>
      <c r="I42" s="19">
        <v>1001</v>
      </c>
      <c r="J42" s="20">
        <v>2119</v>
      </c>
      <c r="K42" s="301">
        <f t="shared" si="18"/>
        <v>15268</v>
      </c>
    </row>
    <row r="43" spans="1:12" s="53" customFormat="1" ht="15" customHeight="1" outlineLevel="1" x14ac:dyDescent="0.25">
      <c r="A43" s="31" t="s">
        <v>1</v>
      </c>
      <c r="B43" s="186">
        <f t="shared" si="19"/>
        <v>43491</v>
      </c>
      <c r="C43" s="150">
        <v>5676</v>
      </c>
      <c r="D43" s="21"/>
      <c r="E43" s="21"/>
      <c r="F43" s="21"/>
      <c r="G43" s="70">
        <v>1564</v>
      </c>
      <c r="H43" s="22">
        <v>305</v>
      </c>
      <c r="I43" s="19"/>
      <c r="J43" s="20"/>
      <c r="K43" s="301">
        <f t="shared" si="18"/>
        <v>7545</v>
      </c>
      <c r="L43" s="130"/>
    </row>
    <row r="44" spans="1:12" s="53" customFormat="1" ht="15" customHeight="1" outlineLevel="1" thickBot="1" x14ac:dyDescent="0.3">
      <c r="A44" s="31" t="s">
        <v>2</v>
      </c>
      <c r="B44" s="186">
        <f t="shared" si="19"/>
        <v>43492</v>
      </c>
      <c r="C44" s="377">
        <v>4090</v>
      </c>
      <c r="D44" s="21"/>
      <c r="E44" s="21"/>
      <c r="F44" s="21"/>
      <c r="G44" s="70">
        <v>1004</v>
      </c>
      <c r="H44" s="22">
        <v>192</v>
      </c>
      <c r="I44" s="19"/>
      <c r="J44" s="20"/>
      <c r="K44" s="301">
        <f t="shared" si="18"/>
        <v>5286</v>
      </c>
      <c r="L44" s="130"/>
    </row>
    <row r="45" spans="1:12" s="53" customFormat="1" ht="15" customHeight="1" outlineLevel="1" thickBot="1" x14ac:dyDescent="0.3">
      <c r="A45" s="167" t="s">
        <v>21</v>
      </c>
      <c r="B45" s="534" t="s">
        <v>27</v>
      </c>
      <c r="C45" s="373">
        <f t="shared" ref="C45:K45" si="20">SUM(C38:C44)</f>
        <v>35774</v>
      </c>
      <c r="D45" s="327">
        <f t="shared" si="20"/>
        <v>6447</v>
      </c>
      <c r="E45" s="327">
        <f t="shared" si="20"/>
        <v>4269</v>
      </c>
      <c r="F45" s="327">
        <f t="shared" si="20"/>
        <v>8933</v>
      </c>
      <c r="G45" s="361">
        <f t="shared" si="20"/>
        <v>3338</v>
      </c>
      <c r="H45" s="367">
        <f t="shared" si="20"/>
        <v>5174</v>
      </c>
      <c r="I45" s="332">
        <f t="shared" si="20"/>
        <v>4747</v>
      </c>
      <c r="J45" s="333">
        <f t="shared" si="20"/>
        <v>9962</v>
      </c>
      <c r="K45" s="371">
        <f t="shared" si="20"/>
        <v>78644</v>
      </c>
    </row>
    <row r="46" spans="1:12" s="53" customFormat="1" ht="15" customHeight="1" outlineLevel="1" thickBot="1" x14ac:dyDescent="0.3">
      <c r="A46" s="116" t="s">
        <v>23</v>
      </c>
      <c r="B46" s="534"/>
      <c r="C46" s="373">
        <f t="shared" ref="C46:K46" si="21">AVERAGE(C38:C44)</f>
        <v>5110.5714285714284</v>
      </c>
      <c r="D46" s="327">
        <f t="shared" si="21"/>
        <v>1611.75</v>
      </c>
      <c r="E46" s="327">
        <f t="shared" si="21"/>
        <v>853.8</v>
      </c>
      <c r="F46" s="327">
        <f t="shared" si="21"/>
        <v>2233.25</v>
      </c>
      <c r="G46" s="361">
        <f t="shared" si="21"/>
        <v>1112.6666666666667</v>
      </c>
      <c r="H46" s="367">
        <f t="shared" si="21"/>
        <v>739.14285714285711</v>
      </c>
      <c r="I46" s="332">
        <f t="shared" si="21"/>
        <v>949.4</v>
      </c>
      <c r="J46" s="333">
        <f t="shared" si="21"/>
        <v>1992.4</v>
      </c>
      <c r="K46" s="371">
        <f t="shared" si="21"/>
        <v>11234.857142857143</v>
      </c>
    </row>
    <row r="47" spans="1:12" s="53" customFormat="1" ht="15" customHeight="1" thickBot="1" x14ac:dyDescent="0.3">
      <c r="A47" s="32" t="s">
        <v>20</v>
      </c>
      <c r="B47" s="534"/>
      <c r="C47" s="374">
        <f t="shared" ref="C47:K47" si="22">SUM(C38:C42)</f>
        <v>26008</v>
      </c>
      <c r="D47" s="328">
        <f t="shared" si="22"/>
        <v>6447</v>
      </c>
      <c r="E47" s="328">
        <f t="shared" si="22"/>
        <v>4269</v>
      </c>
      <c r="F47" s="328">
        <f t="shared" si="22"/>
        <v>8933</v>
      </c>
      <c r="G47" s="362">
        <f t="shared" si="22"/>
        <v>770</v>
      </c>
      <c r="H47" s="368">
        <f t="shared" si="22"/>
        <v>4677</v>
      </c>
      <c r="I47" s="334">
        <f t="shared" si="22"/>
        <v>4747</v>
      </c>
      <c r="J47" s="335">
        <f t="shared" si="22"/>
        <v>9962</v>
      </c>
      <c r="K47" s="372">
        <f t="shared" si="22"/>
        <v>65813</v>
      </c>
    </row>
    <row r="48" spans="1:12" s="53" customFormat="1" ht="15" customHeight="1" thickBot="1" x14ac:dyDescent="0.3">
      <c r="A48" s="32" t="s">
        <v>22</v>
      </c>
      <c r="B48" s="534"/>
      <c r="C48" s="374">
        <f t="shared" ref="C48:K48" si="23">AVERAGE(C38:C42)</f>
        <v>5201.6000000000004</v>
      </c>
      <c r="D48" s="328">
        <f t="shared" si="23"/>
        <v>1611.75</v>
      </c>
      <c r="E48" s="328">
        <f t="shared" si="23"/>
        <v>853.8</v>
      </c>
      <c r="F48" s="328">
        <f t="shared" si="23"/>
        <v>2233.25</v>
      </c>
      <c r="G48" s="362">
        <f>AVERAGE(G38:G44)</f>
        <v>1112.6666666666667</v>
      </c>
      <c r="H48" s="368">
        <f t="shared" si="23"/>
        <v>935.4</v>
      </c>
      <c r="I48" s="334">
        <f t="shared" si="23"/>
        <v>949.4</v>
      </c>
      <c r="J48" s="335">
        <f t="shared" si="23"/>
        <v>1992.4</v>
      </c>
      <c r="K48" s="372">
        <f t="shared" si="23"/>
        <v>13162.6</v>
      </c>
    </row>
    <row r="49" spans="1:11" s="53" customFormat="1" ht="15" customHeight="1" x14ac:dyDescent="0.25">
      <c r="A49" s="31" t="s">
        <v>3</v>
      </c>
      <c r="B49" s="186">
        <f>B44+1</f>
        <v>43493</v>
      </c>
      <c r="C49" s="376">
        <v>5571</v>
      </c>
      <c r="D49" s="218">
        <v>1726</v>
      </c>
      <c r="E49" s="218">
        <v>1141</v>
      </c>
      <c r="F49" s="219">
        <v>2263</v>
      </c>
      <c r="G49" s="365"/>
      <c r="H49" s="304">
        <v>1153</v>
      </c>
      <c r="I49" s="369">
        <v>1226</v>
      </c>
      <c r="J49" s="303">
        <v>2733</v>
      </c>
      <c r="K49" s="301">
        <f t="shared" ref="K49:K55" si="24">SUM(C49:J49)</f>
        <v>15813</v>
      </c>
    </row>
    <row r="50" spans="1:11" s="53" customFormat="1" ht="15" customHeight="1" x14ac:dyDescent="0.25">
      <c r="A50" s="158" t="s">
        <v>4</v>
      </c>
      <c r="B50" s="186">
        <f t="shared" ref="B50:B55" si="25">B49+1</f>
        <v>43494</v>
      </c>
      <c r="C50" s="376">
        <v>5499</v>
      </c>
      <c r="D50" s="218">
        <v>1564</v>
      </c>
      <c r="E50" s="219">
        <v>1150</v>
      </c>
      <c r="F50" s="219">
        <v>2429</v>
      </c>
      <c r="G50" s="365"/>
      <c r="H50" s="300">
        <v>1183</v>
      </c>
      <c r="I50" s="360">
        <v>1272</v>
      </c>
      <c r="J50" s="234">
        <v>2356</v>
      </c>
      <c r="K50" s="301">
        <f t="shared" si="24"/>
        <v>15453</v>
      </c>
    </row>
    <row r="51" spans="1:11" s="53" customFormat="1" ht="13.5" x14ac:dyDescent="0.25">
      <c r="A51" s="158" t="s">
        <v>5</v>
      </c>
      <c r="B51" s="186">
        <f t="shared" si="25"/>
        <v>43495</v>
      </c>
      <c r="C51" s="376">
        <v>5373</v>
      </c>
      <c r="D51" s="219">
        <v>1406</v>
      </c>
      <c r="E51" s="219">
        <v>1022</v>
      </c>
      <c r="F51" s="219">
        <v>2182</v>
      </c>
      <c r="G51" s="365"/>
      <c r="H51" s="300">
        <v>1253</v>
      </c>
      <c r="I51" s="360">
        <v>1146</v>
      </c>
      <c r="J51" s="234">
        <v>2086</v>
      </c>
      <c r="K51" s="301">
        <f t="shared" si="24"/>
        <v>14468</v>
      </c>
    </row>
    <row r="52" spans="1:11" s="53" customFormat="1" ht="14.25" thickBot="1" x14ac:dyDescent="0.3">
      <c r="A52" s="158" t="s">
        <v>6</v>
      </c>
      <c r="B52" s="186">
        <f t="shared" si="25"/>
        <v>43496</v>
      </c>
      <c r="C52" s="376">
        <v>4879</v>
      </c>
      <c r="D52" s="219">
        <v>1269</v>
      </c>
      <c r="E52" s="219">
        <v>805</v>
      </c>
      <c r="F52" s="219">
        <v>2152</v>
      </c>
      <c r="G52" s="365"/>
      <c r="H52" s="300">
        <v>858</v>
      </c>
      <c r="I52" s="360">
        <v>1041</v>
      </c>
      <c r="J52" s="234">
        <v>2022</v>
      </c>
      <c r="K52" s="301">
        <f t="shared" si="24"/>
        <v>13026</v>
      </c>
    </row>
    <row r="53" spans="1:11" s="53" customFormat="1" ht="14.25" hidden="1" thickBot="1" x14ac:dyDescent="0.3">
      <c r="A53" s="31" t="s">
        <v>0</v>
      </c>
      <c r="B53" s="188">
        <f t="shared" si="25"/>
        <v>43497</v>
      </c>
      <c r="C53" s="376"/>
      <c r="D53" s="219"/>
      <c r="E53" s="219"/>
      <c r="F53" s="219"/>
      <c r="G53" s="365"/>
      <c r="H53" s="300"/>
      <c r="I53" s="360"/>
      <c r="J53" s="234"/>
      <c r="K53" s="301">
        <f t="shared" si="24"/>
        <v>0</v>
      </c>
    </row>
    <row r="54" spans="1:11" s="53" customFormat="1" ht="14.25" hidden="1" outlineLevel="1" thickBot="1" x14ac:dyDescent="0.3">
      <c r="A54" s="31" t="s">
        <v>1</v>
      </c>
      <c r="B54" s="188">
        <f t="shared" si="25"/>
        <v>43498</v>
      </c>
      <c r="C54" s="150"/>
      <c r="D54" s="21"/>
      <c r="E54" s="21"/>
      <c r="F54" s="21"/>
      <c r="G54" s="70"/>
      <c r="H54" s="22"/>
      <c r="I54" s="19"/>
      <c r="J54" s="20"/>
      <c r="K54" s="301">
        <f t="shared" si="24"/>
        <v>0</v>
      </c>
    </row>
    <row r="55" spans="1:11" s="53" customFormat="1" ht="14.25" hidden="1" outlineLevel="1" thickBot="1" x14ac:dyDescent="0.3">
      <c r="A55" s="158" t="s">
        <v>2</v>
      </c>
      <c r="B55" s="188">
        <f t="shared" si="25"/>
        <v>43499</v>
      </c>
      <c r="C55" s="150"/>
      <c r="D55" s="21"/>
      <c r="E55" s="21"/>
      <c r="F55" s="21"/>
      <c r="G55" s="70"/>
      <c r="H55" s="22"/>
      <c r="I55" s="19"/>
      <c r="J55" s="20"/>
      <c r="K55" s="301">
        <f t="shared" si="24"/>
        <v>0</v>
      </c>
    </row>
    <row r="56" spans="1:11" s="53" customFormat="1" ht="15" customHeight="1" outlineLevel="1" thickBot="1" x14ac:dyDescent="0.3">
      <c r="A56" s="167" t="s">
        <v>21</v>
      </c>
      <c r="B56" s="534" t="s">
        <v>28</v>
      </c>
      <c r="C56" s="373">
        <f>SUM(C49:C55)</f>
        <v>21322</v>
      </c>
      <c r="D56" s="327">
        <f t="shared" ref="D56:J56" si="26">SUM(D49:D55)</f>
        <v>5965</v>
      </c>
      <c r="E56" s="327">
        <f t="shared" si="26"/>
        <v>4118</v>
      </c>
      <c r="F56" s="327">
        <f t="shared" si="26"/>
        <v>9026</v>
      </c>
      <c r="G56" s="361">
        <f t="shared" si="26"/>
        <v>0</v>
      </c>
      <c r="H56" s="367">
        <f t="shared" si="26"/>
        <v>4447</v>
      </c>
      <c r="I56" s="332">
        <f t="shared" si="26"/>
        <v>4685</v>
      </c>
      <c r="J56" s="333">
        <f t="shared" si="26"/>
        <v>9197</v>
      </c>
      <c r="K56" s="371">
        <f>SUM(K49:K55)</f>
        <v>58760</v>
      </c>
    </row>
    <row r="57" spans="1:11" s="53" customFormat="1" ht="15" customHeight="1" outlineLevel="1" thickBot="1" x14ac:dyDescent="0.3">
      <c r="A57" s="116" t="s">
        <v>23</v>
      </c>
      <c r="B57" s="534"/>
      <c r="C57" s="373">
        <f t="shared" ref="C57:J57" si="27">AVERAGE(C49:C55)</f>
        <v>5330.5</v>
      </c>
      <c r="D57" s="327">
        <f t="shared" si="27"/>
        <v>1491.25</v>
      </c>
      <c r="E57" s="327">
        <f t="shared" si="27"/>
        <v>1029.5</v>
      </c>
      <c r="F57" s="327">
        <f t="shared" si="27"/>
        <v>2256.5</v>
      </c>
      <c r="G57" s="361" t="e">
        <f t="shared" si="27"/>
        <v>#DIV/0!</v>
      </c>
      <c r="H57" s="367">
        <f t="shared" si="27"/>
        <v>1111.75</v>
      </c>
      <c r="I57" s="332">
        <f t="shared" si="27"/>
        <v>1171.25</v>
      </c>
      <c r="J57" s="333">
        <f t="shared" si="27"/>
        <v>2299.25</v>
      </c>
      <c r="K57" s="371">
        <f>AVERAGE(K49:K55)</f>
        <v>8394.2857142857138</v>
      </c>
    </row>
    <row r="58" spans="1:11" s="53" customFormat="1" ht="15" customHeight="1" thickBot="1" x14ac:dyDescent="0.3">
      <c r="A58" s="32" t="s">
        <v>20</v>
      </c>
      <c r="B58" s="534"/>
      <c r="C58" s="374">
        <f t="shared" ref="C58:J58" si="28">SUM(C49:C53)</f>
        <v>21322</v>
      </c>
      <c r="D58" s="328">
        <f t="shared" si="28"/>
        <v>5965</v>
      </c>
      <c r="E58" s="328">
        <f t="shared" si="28"/>
        <v>4118</v>
      </c>
      <c r="F58" s="328">
        <f t="shared" si="28"/>
        <v>9026</v>
      </c>
      <c r="G58" s="362">
        <f t="shared" si="28"/>
        <v>0</v>
      </c>
      <c r="H58" s="368">
        <f t="shared" si="28"/>
        <v>4447</v>
      </c>
      <c r="I58" s="334">
        <f t="shared" si="28"/>
        <v>4685</v>
      </c>
      <c r="J58" s="335">
        <f t="shared" si="28"/>
        <v>9197</v>
      </c>
      <c r="K58" s="372">
        <f>SUM(K49:K53)</f>
        <v>58760</v>
      </c>
    </row>
    <row r="59" spans="1:11" s="53" customFormat="1" ht="14.25" thickBot="1" x14ac:dyDescent="0.3">
      <c r="A59" s="32" t="s">
        <v>22</v>
      </c>
      <c r="B59" s="535"/>
      <c r="C59" s="177">
        <f>AVERAGE(C49:C53)</f>
        <v>5330.5</v>
      </c>
      <c r="D59" s="39">
        <f>AVERAGE(D50:D53)</f>
        <v>1413</v>
      </c>
      <c r="E59" s="39">
        <f>AVERAGE(E50:E53)</f>
        <v>992.33333333333337</v>
      </c>
      <c r="F59" s="39">
        <f t="shared" ref="F59:K59" si="29">AVERAGE(F49:F53)</f>
        <v>2256.5</v>
      </c>
      <c r="G59" s="366" t="e">
        <f t="shared" si="29"/>
        <v>#DIV/0!</v>
      </c>
      <c r="H59" s="40">
        <f>AVERAGE(H50:H53)</f>
        <v>1098</v>
      </c>
      <c r="I59" s="37">
        <f>AVERAGE(I50:I53)</f>
        <v>1153</v>
      </c>
      <c r="J59" s="38">
        <f t="shared" si="29"/>
        <v>2299.25</v>
      </c>
      <c r="K59" s="302">
        <f t="shared" si="29"/>
        <v>11752</v>
      </c>
    </row>
    <row r="60" spans="1:11" s="53" customFormat="1" ht="14.25" hidden="1" thickBot="1" x14ac:dyDescent="0.3">
      <c r="A60" s="158" t="s">
        <v>3</v>
      </c>
      <c r="B60" s="379">
        <f>B55+1</f>
        <v>43500</v>
      </c>
      <c r="C60" s="12"/>
      <c r="D60" s="12"/>
      <c r="E60" s="15"/>
      <c r="F60" s="16"/>
      <c r="G60" s="17"/>
      <c r="H60" s="12"/>
      <c r="I60" s="12"/>
      <c r="J60" s="14"/>
      <c r="K60" s="165">
        <f>SUM(C60:J60)</f>
        <v>0</v>
      </c>
    </row>
    <row r="61" spans="1:11" s="53" customFormat="1" ht="14.25" hidden="1" thickBot="1" x14ac:dyDescent="0.3">
      <c r="A61" s="158" t="s">
        <v>4</v>
      </c>
      <c r="B61" s="185">
        <f>B60+1</f>
        <v>43501</v>
      </c>
      <c r="C61" s="12"/>
      <c r="D61" s="12"/>
      <c r="E61" s="15"/>
      <c r="F61" s="165"/>
      <c r="G61" s="17"/>
      <c r="H61" s="12"/>
      <c r="I61" s="12"/>
      <c r="J61" s="14"/>
      <c r="K61" s="65">
        <f>SUM(C61:J61)</f>
        <v>0</v>
      </c>
    </row>
    <row r="62" spans="1:11" s="53" customFormat="1" ht="14.25" hidden="1" thickBot="1" x14ac:dyDescent="0.3">
      <c r="A62" s="158"/>
      <c r="B62" s="185">
        <f>B61+1</f>
        <v>43502</v>
      </c>
      <c r="C62" s="12"/>
      <c r="D62" s="12"/>
      <c r="E62" s="12"/>
      <c r="F62" s="13"/>
      <c r="G62" s="13"/>
      <c r="H62" s="12"/>
      <c r="I62" s="12"/>
      <c r="J62" s="14"/>
      <c r="K62" s="18"/>
    </row>
    <row r="63" spans="1:11" s="53" customFormat="1" ht="14.25" hidden="1" thickBot="1" x14ac:dyDescent="0.3">
      <c r="A63" s="158"/>
      <c r="B63" s="185">
        <f>B62+1</f>
        <v>43503</v>
      </c>
      <c r="C63" s="12"/>
      <c r="D63" s="12"/>
      <c r="E63" s="12"/>
      <c r="F63" s="13"/>
      <c r="G63" s="13"/>
      <c r="H63" s="12"/>
      <c r="I63" s="12"/>
      <c r="J63" s="14"/>
      <c r="K63" s="18"/>
    </row>
    <row r="64" spans="1:11" s="53" customFormat="1" ht="14.25" hidden="1" thickBot="1" x14ac:dyDescent="0.3">
      <c r="A64" s="31"/>
      <c r="B64" s="185">
        <f>B63+1</f>
        <v>43504</v>
      </c>
      <c r="C64" s="19"/>
      <c r="D64" s="19"/>
      <c r="E64" s="19"/>
      <c r="F64" s="13"/>
      <c r="G64" s="13"/>
      <c r="H64" s="12"/>
      <c r="I64" s="12"/>
      <c r="J64" s="14"/>
      <c r="K64" s="18"/>
    </row>
    <row r="65" spans="1:15" s="53" customFormat="1" ht="14.25" hidden="1" outlineLevel="1" thickBot="1" x14ac:dyDescent="0.3">
      <c r="A65" s="31"/>
      <c r="B65" s="185">
        <f>B64+1</f>
        <v>43505</v>
      </c>
      <c r="C65" s="19"/>
      <c r="D65" s="19"/>
      <c r="E65" s="19"/>
      <c r="F65" s="20"/>
      <c r="G65" s="20"/>
      <c r="H65" s="19"/>
      <c r="I65" s="19"/>
      <c r="J65" s="21"/>
      <c r="K65" s="18"/>
    </row>
    <row r="66" spans="1:15" s="53" customFormat="1" ht="14.25" hidden="1" outlineLevel="1" thickBot="1" x14ac:dyDescent="0.3">
      <c r="A66" s="31"/>
      <c r="B66" s="185">
        <f>B61+1</f>
        <v>43502</v>
      </c>
      <c r="C66" s="24"/>
      <c r="D66" s="24"/>
      <c r="E66" s="24"/>
      <c r="F66" s="25"/>
      <c r="G66" s="25"/>
      <c r="H66" s="24"/>
      <c r="I66" s="24"/>
      <c r="J66" s="26"/>
      <c r="K66" s="72"/>
    </row>
    <row r="67" spans="1:15" s="53" customFormat="1" ht="14.25" hidden="1" outlineLevel="1" thickBot="1" x14ac:dyDescent="0.3">
      <c r="A67" s="167" t="s">
        <v>21</v>
      </c>
      <c r="B67" s="524" t="s">
        <v>32</v>
      </c>
      <c r="C67" s="121">
        <f>SUM(C60:C66)</f>
        <v>0</v>
      </c>
      <c r="D67" s="121">
        <f t="shared" ref="D67:K67" si="30">SUM(D60:D66)</f>
        <v>0</v>
      </c>
      <c r="E67" s="121">
        <f t="shared" si="30"/>
        <v>0</v>
      </c>
      <c r="F67" s="121">
        <f t="shared" si="30"/>
        <v>0</v>
      </c>
      <c r="G67" s="121">
        <f t="shared" si="30"/>
        <v>0</v>
      </c>
      <c r="H67" s="121">
        <f t="shared" si="30"/>
        <v>0</v>
      </c>
      <c r="I67" s="121">
        <f t="shared" si="30"/>
        <v>0</v>
      </c>
      <c r="J67" s="121">
        <f t="shared" si="30"/>
        <v>0</v>
      </c>
      <c r="K67" s="121">
        <f t="shared" si="30"/>
        <v>0</v>
      </c>
    </row>
    <row r="68" spans="1:15" s="53" customFormat="1" ht="14.25" hidden="1" outlineLevel="1" thickBot="1" x14ac:dyDescent="0.3">
      <c r="A68" s="116" t="s">
        <v>23</v>
      </c>
      <c r="B68" s="525"/>
      <c r="C68" s="117" t="e">
        <f>AVERAGE(C60:C66)</f>
        <v>#DIV/0!</v>
      </c>
      <c r="D68" s="117" t="e">
        <f t="shared" ref="D68:K68" si="31">AVERAGE(D60:D66)</f>
        <v>#DIV/0!</v>
      </c>
      <c r="E68" s="117" t="e">
        <f t="shared" si="31"/>
        <v>#DIV/0!</v>
      </c>
      <c r="F68" s="117" t="e">
        <f t="shared" si="31"/>
        <v>#DIV/0!</v>
      </c>
      <c r="G68" s="117" t="e">
        <f t="shared" si="31"/>
        <v>#DIV/0!</v>
      </c>
      <c r="H68" s="117" t="e">
        <f t="shared" si="31"/>
        <v>#DIV/0!</v>
      </c>
      <c r="I68" s="117" t="e">
        <f t="shared" si="31"/>
        <v>#DIV/0!</v>
      </c>
      <c r="J68" s="117" t="e">
        <f t="shared" si="31"/>
        <v>#DIV/0!</v>
      </c>
      <c r="K68" s="117">
        <f t="shared" si="31"/>
        <v>0</v>
      </c>
    </row>
    <row r="69" spans="1:15" s="53" customFormat="1" ht="14.25" hidden="1" thickBot="1" x14ac:dyDescent="0.3">
      <c r="A69" s="32" t="s">
        <v>20</v>
      </c>
      <c r="B69" s="525"/>
      <c r="C69" s="33">
        <f>SUM(C60:C64)</f>
        <v>0</v>
      </c>
      <c r="D69" s="33">
        <f t="shared" ref="D69:K69" si="32">SUM(D60:D64)</f>
        <v>0</v>
      </c>
      <c r="E69" s="33">
        <f t="shared" si="32"/>
        <v>0</v>
      </c>
      <c r="F69" s="33">
        <f t="shared" si="32"/>
        <v>0</v>
      </c>
      <c r="G69" s="33">
        <f t="shared" si="32"/>
        <v>0</v>
      </c>
      <c r="H69" s="33">
        <f t="shared" si="32"/>
        <v>0</v>
      </c>
      <c r="I69" s="33">
        <f t="shared" si="32"/>
        <v>0</v>
      </c>
      <c r="J69" s="33">
        <f t="shared" si="32"/>
        <v>0</v>
      </c>
      <c r="K69" s="33">
        <f t="shared" si="32"/>
        <v>0</v>
      </c>
    </row>
    <row r="70" spans="1:15" s="53" customFormat="1" ht="14.25" hidden="1" thickBot="1" x14ac:dyDescent="0.3">
      <c r="A70" s="32" t="s">
        <v>22</v>
      </c>
      <c r="B70" s="526"/>
      <c r="C70" s="37" t="e">
        <f>AVERAGE(C60:C64)</f>
        <v>#DIV/0!</v>
      </c>
      <c r="D70" s="37" t="e">
        <f t="shared" ref="D70:K70" si="33">AVERAGE(D60:D64)</f>
        <v>#DIV/0!</v>
      </c>
      <c r="E70" s="37" t="e">
        <f t="shared" si="33"/>
        <v>#DIV/0!</v>
      </c>
      <c r="F70" s="37" t="e">
        <f t="shared" si="33"/>
        <v>#DIV/0!</v>
      </c>
      <c r="G70" s="37" t="e">
        <f t="shared" si="33"/>
        <v>#DIV/0!</v>
      </c>
      <c r="H70" s="37" t="e">
        <f t="shared" si="33"/>
        <v>#DIV/0!</v>
      </c>
      <c r="I70" s="37" t="e">
        <f t="shared" si="33"/>
        <v>#DIV/0!</v>
      </c>
      <c r="J70" s="37" t="e">
        <f t="shared" si="33"/>
        <v>#DIV/0!</v>
      </c>
      <c r="K70" s="37">
        <f t="shared" si="33"/>
        <v>0</v>
      </c>
    </row>
    <row r="71" spans="1:15" s="53" customFormat="1" ht="15" customHeight="1" x14ac:dyDescent="0.25">
      <c r="A71" s="4"/>
      <c r="B71" s="139"/>
      <c r="C71" s="56"/>
      <c r="D71" s="56"/>
      <c r="E71" s="56"/>
      <c r="F71" s="56"/>
      <c r="G71" s="56"/>
      <c r="H71" s="56"/>
      <c r="I71" s="56"/>
      <c r="J71" s="56"/>
      <c r="K71" s="56"/>
    </row>
    <row r="72" spans="1:15" s="53" customFormat="1" ht="30" customHeight="1" x14ac:dyDescent="0.25">
      <c r="A72" s="202"/>
      <c r="B72" s="44" t="s">
        <v>8</v>
      </c>
      <c r="C72" s="45" t="s">
        <v>9</v>
      </c>
      <c r="D72" s="45" t="s">
        <v>10</v>
      </c>
      <c r="E72" s="66"/>
      <c r="F72" s="528" t="s">
        <v>59</v>
      </c>
      <c r="G72" s="529"/>
      <c r="H72" s="530"/>
      <c r="I72" s="66"/>
      <c r="J72" s="66"/>
      <c r="K72" s="66"/>
      <c r="L72" s="66"/>
      <c r="M72" s="56"/>
      <c r="N72" s="56"/>
      <c r="O72" s="56"/>
    </row>
    <row r="73" spans="1:15" ht="29.25" customHeight="1" x14ac:dyDescent="0.25">
      <c r="A73" s="48" t="s">
        <v>30</v>
      </c>
      <c r="B73" s="203">
        <f>SUM(C58:G58, C47:G47, C36:G36, C25:G25, C14:G14, C69:G69 )</f>
        <v>230796</v>
      </c>
      <c r="C73" s="68">
        <f>SUM(H58:H58, H47:H47, H36:H36, H25:H25, H14:H14, H69:H69)</f>
        <v>24095</v>
      </c>
      <c r="D73" s="68">
        <f>SUM(I58:J58, I47:J47, I36:J36, I25:J25, I14:J14, I69:J69)</f>
        <v>76761</v>
      </c>
      <c r="E73" s="67"/>
      <c r="F73" s="516" t="s">
        <v>30</v>
      </c>
      <c r="G73" s="517"/>
      <c r="H73" s="112">
        <f>SUM(K14, K25, K36, K47, K58, K69)</f>
        <v>331652</v>
      </c>
      <c r="I73" s="67"/>
      <c r="J73" s="67"/>
      <c r="K73" s="67"/>
      <c r="L73" s="67"/>
    </row>
    <row r="74" spans="1:15" ht="30" customHeight="1" x14ac:dyDescent="0.25">
      <c r="A74" s="48" t="s">
        <v>29</v>
      </c>
      <c r="B74" s="201">
        <f>SUM(C56:G56, C45:G45, C34:G34, C23:G23, C12:G12, C67:G67  )</f>
        <v>260586</v>
      </c>
      <c r="C74" s="43">
        <f>SUM(H56:H56, H45:H45, H34:H34, H23:H23, H12:H12, H67:H67 )</f>
        <v>25697</v>
      </c>
      <c r="D74" s="43">
        <f>SUM(I56:J56, I45:J45, I34:J34, I23:J23, I12:J12, I67:J67)</f>
        <v>76761</v>
      </c>
      <c r="E74" s="67"/>
      <c r="F74" s="516" t="s">
        <v>29</v>
      </c>
      <c r="G74" s="517"/>
      <c r="H74" s="113">
        <f>SUM(K56, K45, K34, K23, K12, K67)</f>
        <v>363044</v>
      </c>
      <c r="I74" s="67"/>
      <c r="J74" s="67"/>
      <c r="K74" s="67"/>
      <c r="L74" s="67"/>
    </row>
    <row r="75" spans="1:15" ht="30" customHeight="1" x14ac:dyDescent="0.25">
      <c r="F75" s="516" t="s">
        <v>22</v>
      </c>
      <c r="G75" s="517"/>
      <c r="H75" s="113">
        <f>AVERAGE(K14, K25, K36, K47, K58, K69)</f>
        <v>55275.333333333336</v>
      </c>
    </row>
    <row r="76" spans="1:15" ht="30" customHeight="1" x14ac:dyDescent="0.25">
      <c r="F76" s="516" t="s">
        <v>62</v>
      </c>
      <c r="G76" s="517"/>
      <c r="H76" s="112">
        <f>AVERAGE(K56, K45, K34, K23, K12, K67)</f>
        <v>60507.333333333336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N12" sqref="N12"/>
    </sheetView>
  </sheetViews>
  <sheetFormatPr defaultRowHeight="15" outlineLevelRow="1" x14ac:dyDescent="0.25"/>
  <cols>
    <col min="1" max="1" width="18.7109375" style="1" bestFit="1" customWidth="1"/>
    <col min="2" max="2" width="10.7109375" style="140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29"/>
      <c r="B1" s="178"/>
      <c r="C1" s="499" t="s">
        <v>8</v>
      </c>
      <c r="D1" s="540"/>
      <c r="E1" s="503"/>
      <c r="F1" s="499" t="s">
        <v>83</v>
      </c>
      <c r="G1" s="540"/>
      <c r="H1" s="503"/>
      <c r="I1" s="499" t="s">
        <v>10</v>
      </c>
      <c r="J1" s="540"/>
      <c r="K1" s="540"/>
      <c r="L1" s="550" t="s">
        <v>66</v>
      </c>
      <c r="M1" s="545" t="s">
        <v>19</v>
      </c>
    </row>
    <row r="2" spans="1:14" ht="15" customHeight="1" thickBot="1" x14ac:dyDescent="0.3">
      <c r="A2" s="30"/>
      <c r="B2" s="179"/>
      <c r="C2" s="500"/>
      <c r="D2" s="541"/>
      <c r="E2" s="504"/>
      <c r="F2" s="500"/>
      <c r="G2" s="541"/>
      <c r="H2" s="504"/>
      <c r="I2" s="500"/>
      <c r="J2" s="541"/>
      <c r="K2" s="541"/>
      <c r="L2" s="551"/>
      <c r="M2" s="485"/>
    </row>
    <row r="3" spans="1:14" ht="15" customHeight="1" x14ac:dyDescent="0.25">
      <c r="A3" s="477" t="s">
        <v>52</v>
      </c>
      <c r="B3" s="496" t="s">
        <v>53</v>
      </c>
      <c r="C3" s="552" t="s">
        <v>15</v>
      </c>
      <c r="D3" s="546" t="s">
        <v>16</v>
      </c>
      <c r="E3" s="536" t="s">
        <v>85</v>
      </c>
      <c r="F3" s="548" t="s">
        <v>15</v>
      </c>
      <c r="G3" s="546" t="s">
        <v>16</v>
      </c>
      <c r="H3" s="536" t="s">
        <v>85</v>
      </c>
      <c r="I3" s="548" t="s">
        <v>15</v>
      </c>
      <c r="J3" s="531" t="s">
        <v>17</v>
      </c>
      <c r="K3" s="546" t="s">
        <v>16</v>
      </c>
      <c r="L3" s="543" t="s">
        <v>18</v>
      </c>
      <c r="M3" s="485"/>
    </row>
    <row r="4" spans="1:14" ht="15.75" thickBot="1" x14ac:dyDescent="0.3">
      <c r="A4" s="507"/>
      <c r="B4" s="498"/>
      <c r="C4" s="553"/>
      <c r="D4" s="547"/>
      <c r="E4" s="537"/>
      <c r="F4" s="549"/>
      <c r="G4" s="547"/>
      <c r="H4" s="537"/>
      <c r="I4" s="549"/>
      <c r="J4" s="532"/>
      <c r="K4" s="547"/>
      <c r="L4" s="495"/>
      <c r="M4" s="486"/>
    </row>
    <row r="5" spans="1:14" s="2" customFormat="1" ht="15.75" hidden="1" thickBot="1" x14ac:dyDescent="0.3">
      <c r="A5" s="31" t="s">
        <v>3</v>
      </c>
      <c r="B5" s="180">
        <v>43465</v>
      </c>
      <c r="C5" s="341"/>
      <c r="D5" s="342"/>
      <c r="E5" s="314"/>
      <c r="F5" s="345"/>
      <c r="G5" s="342"/>
      <c r="H5" s="314"/>
      <c r="I5" s="345"/>
      <c r="J5" s="347"/>
      <c r="K5" s="342"/>
      <c r="L5" s="194"/>
      <c r="M5" s="72">
        <f t="shared" ref="M5:M6" si="0">SUM(C5:L5)</f>
        <v>0</v>
      </c>
    </row>
    <row r="6" spans="1:14" s="2" customFormat="1" ht="15.75" thickBot="1" x14ac:dyDescent="0.3">
      <c r="A6" s="31" t="s">
        <v>4</v>
      </c>
      <c r="B6" s="316">
        <f t="shared" ref="B6:B11" si="1">B5+1</f>
        <v>43466</v>
      </c>
      <c r="C6" s="240"/>
      <c r="D6" s="240"/>
      <c r="E6" s="268"/>
      <c r="F6" s="292"/>
      <c r="G6" s="243"/>
      <c r="H6" s="293"/>
      <c r="I6" s="292"/>
      <c r="J6" s="243"/>
      <c r="K6" s="293"/>
      <c r="L6" s="207"/>
      <c r="M6" s="353">
        <f t="shared" si="0"/>
        <v>0</v>
      </c>
    </row>
    <row r="7" spans="1:14" s="2" customFormat="1" ht="15.75" outlineLevel="1" thickBot="1" x14ac:dyDescent="0.3">
      <c r="A7" s="31" t="s">
        <v>5</v>
      </c>
      <c r="B7" s="316">
        <f t="shared" si="1"/>
        <v>43467</v>
      </c>
      <c r="C7" s="240">
        <v>337</v>
      </c>
      <c r="D7" s="240">
        <v>177</v>
      </c>
      <c r="E7" s="268">
        <v>226</v>
      </c>
      <c r="F7" s="354">
        <v>2604</v>
      </c>
      <c r="G7" s="240">
        <v>2224</v>
      </c>
      <c r="H7" s="268">
        <v>379</v>
      </c>
      <c r="I7" s="281">
        <v>747</v>
      </c>
      <c r="J7" s="240">
        <v>549</v>
      </c>
      <c r="K7" s="268">
        <v>2299</v>
      </c>
      <c r="L7" s="206">
        <v>346</v>
      </c>
      <c r="M7" s="352">
        <f>SUM(C7:L7)</f>
        <v>9888</v>
      </c>
    </row>
    <row r="8" spans="1:14" s="2" customFormat="1" ht="15.75" outlineLevel="1" thickBot="1" x14ac:dyDescent="0.3">
      <c r="A8" s="31" t="s">
        <v>6</v>
      </c>
      <c r="B8" s="316">
        <f t="shared" si="1"/>
        <v>43468</v>
      </c>
      <c r="C8" s="240">
        <v>341</v>
      </c>
      <c r="D8" s="240">
        <v>190</v>
      </c>
      <c r="E8" s="268">
        <v>207</v>
      </c>
      <c r="F8" s="354">
        <v>2463</v>
      </c>
      <c r="G8" s="240">
        <v>2452</v>
      </c>
      <c r="H8" s="268">
        <v>376</v>
      </c>
      <c r="I8" s="281">
        <v>863</v>
      </c>
      <c r="J8" s="240">
        <v>535</v>
      </c>
      <c r="K8" s="268">
        <v>2468</v>
      </c>
      <c r="L8" s="206">
        <v>373</v>
      </c>
      <c r="M8" s="352">
        <f>SUM(C8:L8)</f>
        <v>10268</v>
      </c>
      <c r="N8" s="159"/>
    </row>
    <row r="9" spans="1:14" s="2" customFormat="1" ht="15.75" outlineLevel="1" thickBot="1" x14ac:dyDescent="0.3">
      <c r="A9" s="31" t="s">
        <v>0</v>
      </c>
      <c r="B9" s="316">
        <f t="shared" si="1"/>
        <v>43469</v>
      </c>
      <c r="C9" s="240">
        <v>324</v>
      </c>
      <c r="D9" s="240">
        <v>131</v>
      </c>
      <c r="E9" s="268">
        <v>146</v>
      </c>
      <c r="F9" s="354">
        <v>2685</v>
      </c>
      <c r="G9" s="240">
        <v>1753</v>
      </c>
      <c r="H9" s="268">
        <v>355</v>
      </c>
      <c r="I9" s="281">
        <v>758</v>
      </c>
      <c r="J9" s="240">
        <v>405</v>
      </c>
      <c r="K9" s="268">
        <v>1625</v>
      </c>
      <c r="L9" s="206">
        <v>261</v>
      </c>
      <c r="M9" s="352">
        <f>SUM(C9:L9)</f>
        <v>8443</v>
      </c>
      <c r="N9" s="159"/>
    </row>
    <row r="10" spans="1:14" s="2" customFormat="1" ht="15.75" outlineLevel="1" thickBot="1" x14ac:dyDescent="0.3">
      <c r="A10" s="31" t="s">
        <v>1</v>
      </c>
      <c r="B10" s="316">
        <f t="shared" si="1"/>
        <v>43470</v>
      </c>
      <c r="C10" s="240">
        <v>36</v>
      </c>
      <c r="D10" s="240">
        <v>50</v>
      </c>
      <c r="E10" s="268">
        <v>31</v>
      </c>
      <c r="F10" s="281">
        <v>1336</v>
      </c>
      <c r="G10" s="240">
        <v>167</v>
      </c>
      <c r="H10" s="268">
        <v>11254</v>
      </c>
      <c r="I10" s="281"/>
      <c r="J10" s="240"/>
      <c r="K10" s="268"/>
      <c r="L10" s="206"/>
      <c r="M10" s="352">
        <f>SUM(C10:L10)</f>
        <v>12874</v>
      </c>
      <c r="N10" s="159"/>
    </row>
    <row r="11" spans="1:14" s="2" customFormat="1" ht="15" customHeight="1" outlineLevel="1" thickBot="1" x14ac:dyDescent="0.3">
      <c r="A11" s="31" t="s">
        <v>2</v>
      </c>
      <c r="B11" s="316">
        <f t="shared" si="1"/>
        <v>43471</v>
      </c>
      <c r="C11" s="240">
        <v>64</v>
      </c>
      <c r="D11" s="240">
        <v>69</v>
      </c>
      <c r="E11" s="268">
        <v>73</v>
      </c>
      <c r="F11" s="281">
        <v>1797</v>
      </c>
      <c r="G11" s="240">
        <v>252</v>
      </c>
      <c r="H11" s="268">
        <v>11218</v>
      </c>
      <c r="I11" s="281"/>
      <c r="J11" s="240"/>
      <c r="K11" s="268"/>
      <c r="L11" s="206"/>
      <c r="M11" s="352">
        <f>SUM(C11:L11)</f>
        <v>13473</v>
      </c>
      <c r="N11" s="159"/>
    </row>
    <row r="12" spans="1:14" s="3" customFormat="1" ht="15" customHeight="1" outlineLevel="1" thickBot="1" x14ac:dyDescent="0.3">
      <c r="A12" s="167" t="s">
        <v>21</v>
      </c>
      <c r="B12" s="521" t="s">
        <v>24</v>
      </c>
      <c r="C12" s="260">
        <f t="shared" ref="C12:M12" si="2">SUM(C5:C11)</f>
        <v>1102</v>
      </c>
      <c r="D12" s="260">
        <f t="shared" si="2"/>
        <v>617</v>
      </c>
      <c r="E12" s="343">
        <f t="shared" si="2"/>
        <v>683</v>
      </c>
      <c r="F12" s="282">
        <f t="shared" si="2"/>
        <v>10885</v>
      </c>
      <c r="G12" s="260">
        <f t="shared" si="2"/>
        <v>6848</v>
      </c>
      <c r="H12" s="343">
        <f t="shared" si="2"/>
        <v>23582</v>
      </c>
      <c r="I12" s="282">
        <f t="shared" si="2"/>
        <v>2368</v>
      </c>
      <c r="J12" s="260">
        <f t="shared" si="2"/>
        <v>1489</v>
      </c>
      <c r="K12" s="343">
        <f t="shared" si="2"/>
        <v>6392</v>
      </c>
      <c r="L12" s="350">
        <f t="shared" si="2"/>
        <v>980</v>
      </c>
      <c r="M12" s="348">
        <f t="shared" si="2"/>
        <v>54946</v>
      </c>
    </row>
    <row r="13" spans="1:14" s="3" customFormat="1" ht="15" customHeight="1" outlineLevel="1" thickBot="1" x14ac:dyDescent="0.3">
      <c r="A13" s="116" t="s">
        <v>23</v>
      </c>
      <c r="B13" s="522"/>
      <c r="C13" s="260">
        <f>AVERAGE(C5:C11)</f>
        <v>220.4</v>
      </c>
      <c r="D13" s="260">
        <f>AVERAGE(D5:D11)</f>
        <v>123.4</v>
      </c>
      <c r="E13" s="343">
        <f>AVERAGE(E5:E11)</f>
        <v>136.6</v>
      </c>
      <c r="F13" s="282">
        <f t="shared" ref="F13:L13" si="3">AVERAGE(F5:F11)</f>
        <v>2177</v>
      </c>
      <c r="G13" s="260">
        <f t="shared" si="3"/>
        <v>1369.6</v>
      </c>
      <c r="H13" s="343">
        <f>AVERAGE(H5:H11)</f>
        <v>4716.3999999999996</v>
      </c>
      <c r="I13" s="282">
        <f t="shared" si="3"/>
        <v>789.33333333333337</v>
      </c>
      <c r="J13" s="260">
        <f t="shared" si="3"/>
        <v>496.33333333333331</v>
      </c>
      <c r="K13" s="343">
        <f t="shared" si="3"/>
        <v>2130.6666666666665</v>
      </c>
      <c r="L13" s="350">
        <f t="shared" si="3"/>
        <v>326.66666666666669</v>
      </c>
      <c r="M13" s="348">
        <f>AVERAGE(M5:M11)</f>
        <v>7849.4285714285716</v>
      </c>
    </row>
    <row r="14" spans="1:14" s="3" customFormat="1" ht="15" customHeight="1" thickBot="1" x14ac:dyDescent="0.3">
      <c r="A14" s="32" t="s">
        <v>20</v>
      </c>
      <c r="B14" s="522"/>
      <c r="C14" s="261">
        <f t="shared" ref="C14:M14" si="4">SUM(C5:C9)</f>
        <v>1002</v>
      </c>
      <c r="D14" s="261">
        <f t="shared" si="4"/>
        <v>498</v>
      </c>
      <c r="E14" s="344">
        <f t="shared" si="4"/>
        <v>579</v>
      </c>
      <c r="F14" s="284">
        <f t="shared" si="4"/>
        <v>7752</v>
      </c>
      <c r="G14" s="261">
        <f t="shared" si="4"/>
        <v>6429</v>
      </c>
      <c r="H14" s="344">
        <f t="shared" si="4"/>
        <v>1110</v>
      </c>
      <c r="I14" s="284">
        <f t="shared" si="4"/>
        <v>2368</v>
      </c>
      <c r="J14" s="261">
        <f t="shared" si="4"/>
        <v>1489</v>
      </c>
      <c r="K14" s="344">
        <f t="shared" si="4"/>
        <v>6392</v>
      </c>
      <c r="L14" s="351">
        <f t="shared" si="4"/>
        <v>980</v>
      </c>
      <c r="M14" s="349">
        <f t="shared" si="4"/>
        <v>28599</v>
      </c>
    </row>
    <row r="15" spans="1:14" s="3" customFormat="1" ht="15" customHeight="1" thickBot="1" x14ac:dyDescent="0.3">
      <c r="A15" s="32" t="s">
        <v>22</v>
      </c>
      <c r="B15" s="522"/>
      <c r="C15" s="261">
        <f>AVERAGE(C5:C9)</f>
        <v>334</v>
      </c>
      <c r="D15" s="261">
        <f t="shared" ref="D15:L15" si="5">AVERAGE(D5:D9)</f>
        <v>166</v>
      </c>
      <c r="E15" s="344">
        <f>AVERAGE(E5:E9)</f>
        <v>193</v>
      </c>
      <c r="F15" s="284">
        <f>AVERAGE(F5:F9)</f>
        <v>2584</v>
      </c>
      <c r="G15" s="261">
        <f t="shared" si="5"/>
        <v>2143</v>
      </c>
      <c r="H15" s="344">
        <f>AVERAGE(H5:H9)</f>
        <v>370</v>
      </c>
      <c r="I15" s="284">
        <f>AVERAGE(I5:I9)</f>
        <v>789.33333333333337</v>
      </c>
      <c r="J15" s="261">
        <f t="shared" si="5"/>
        <v>496.33333333333331</v>
      </c>
      <c r="K15" s="344">
        <f t="shared" si="5"/>
        <v>2130.6666666666665</v>
      </c>
      <c r="L15" s="351">
        <f t="shared" si="5"/>
        <v>326.66666666666669</v>
      </c>
      <c r="M15" s="349">
        <f>AVERAGE(M5:M9)</f>
        <v>5719.8</v>
      </c>
    </row>
    <row r="16" spans="1:14" s="3" customFormat="1" ht="15" customHeight="1" x14ac:dyDescent="0.25">
      <c r="A16" s="31" t="s">
        <v>3</v>
      </c>
      <c r="B16" s="316">
        <f>B11+1</f>
        <v>43472</v>
      </c>
      <c r="C16" s="240">
        <v>412</v>
      </c>
      <c r="D16" s="240">
        <v>176</v>
      </c>
      <c r="E16" s="268">
        <v>247</v>
      </c>
      <c r="F16" s="281">
        <v>2835</v>
      </c>
      <c r="G16" s="240">
        <v>2194</v>
      </c>
      <c r="H16" s="268">
        <v>332</v>
      </c>
      <c r="I16" s="281">
        <v>872</v>
      </c>
      <c r="J16" s="240">
        <v>579</v>
      </c>
      <c r="K16" s="268">
        <v>2208</v>
      </c>
      <c r="L16" s="206">
        <v>375</v>
      </c>
      <c r="M16" s="352">
        <f t="shared" ref="M16:M21" si="6">SUM(C16:L16)</f>
        <v>10230</v>
      </c>
    </row>
    <row r="17" spans="1:13" s="3" customFormat="1" ht="15" customHeight="1" x14ac:dyDescent="0.25">
      <c r="A17" s="31" t="s">
        <v>4</v>
      </c>
      <c r="B17" s="317">
        <f t="shared" ref="B17:B22" si="7">B16+1</f>
        <v>43473</v>
      </c>
      <c r="C17" s="240">
        <v>414</v>
      </c>
      <c r="D17" s="240">
        <v>203</v>
      </c>
      <c r="E17" s="268">
        <v>217</v>
      </c>
      <c r="F17" s="281">
        <v>2670</v>
      </c>
      <c r="G17" s="240">
        <v>2518</v>
      </c>
      <c r="H17" s="268">
        <v>349</v>
      </c>
      <c r="I17" s="281">
        <v>850</v>
      </c>
      <c r="J17" s="240">
        <v>548</v>
      </c>
      <c r="K17" s="268">
        <v>2316</v>
      </c>
      <c r="L17" s="206">
        <v>387</v>
      </c>
      <c r="M17" s="352">
        <f t="shared" si="6"/>
        <v>10472</v>
      </c>
    </row>
    <row r="18" spans="1:13" s="3" customFormat="1" ht="15" customHeight="1" x14ac:dyDescent="0.25">
      <c r="A18" s="31" t="s">
        <v>5</v>
      </c>
      <c r="B18" s="317">
        <f t="shared" si="7"/>
        <v>43474</v>
      </c>
      <c r="C18" s="240">
        <v>401</v>
      </c>
      <c r="D18" s="240">
        <v>219</v>
      </c>
      <c r="E18" s="268">
        <v>296</v>
      </c>
      <c r="F18" s="281">
        <v>2627</v>
      </c>
      <c r="G18" s="240">
        <v>2364</v>
      </c>
      <c r="H18" s="268">
        <v>331</v>
      </c>
      <c r="I18" s="281">
        <v>793</v>
      </c>
      <c r="J18" s="240">
        <v>580</v>
      </c>
      <c r="K18" s="268">
        <v>2270</v>
      </c>
      <c r="L18" s="206">
        <v>369</v>
      </c>
      <c r="M18" s="352">
        <f t="shared" si="6"/>
        <v>10250</v>
      </c>
    </row>
    <row r="19" spans="1:13" s="3" customFormat="1" ht="15" customHeight="1" x14ac:dyDescent="0.25">
      <c r="A19" s="31" t="s">
        <v>6</v>
      </c>
      <c r="B19" s="318">
        <f t="shared" si="7"/>
        <v>43475</v>
      </c>
      <c r="C19" s="240">
        <v>382</v>
      </c>
      <c r="D19" s="240">
        <v>190</v>
      </c>
      <c r="E19" s="268">
        <v>274</v>
      </c>
      <c r="F19" s="281">
        <v>2962</v>
      </c>
      <c r="G19" s="240">
        <v>2381</v>
      </c>
      <c r="H19" s="268">
        <v>322</v>
      </c>
      <c r="I19" s="281">
        <v>897</v>
      </c>
      <c r="J19" s="240">
        <v>565</v>
      </c>
      <c r="K19" s="268">
        <v>2413</v>
      </c>
      <c r="L19" s="206">
        <v>371</v>
      </c>
      <c r="M19" s="352">
        <f t="shared" si="6"/>
        <v>10757</v>
      </c>
    </row>
    <row r="20" spans="1:13" s="3" customFormat="1" ht="15" customHeight="1" x14ac:dyDescent="0.25">
      <c r="A20" s="31" t="s">
        <v>0</v>
      </c>
      <c r="B20" s="318">
        <f t="shared" si="7"/>
        <v>43476</v>
      </c>
      <c r="C20" s="240">
        <v>352</v>
      </c>
      <c r="D20" s="240">
        <v>192</v>
      </c>
      <c r="E20" s="268">
        <v>231</v>
      </c>
      <c r="F20" s="281">
        <v>3215</v>
      </c>
      <c r="G20" s="240">
        <v>2119</v>
      </c>
      <c r="H20" s="268">
        <v>345</v>
      </c>
      <c r="I20" s="281">
        <v>796</v>
      </c>
      <c r="J20" s="240">
        <v>435</v>
      </c>
      <c r="K20" s="268">
        <v>1956</v>
      </c>
      <c r="L20" s="206">
        <v>323</v>
      </c>
      <c r="M20" s="352">
        <f t="shared" si="6"/>
        <v>9964</v>
      </c>
    </row>
    <row r="21" spans="1:13" s="3" customFormat="1" ht="15" customHeight="1" outlineLevel="1" x14ac:dyDescent="0.25">
      <c r="A21" s="31" t="s">
        <v>1</v>
      </c>
      <c r="B21" s="311">
        <f t="shared" si="7"/>
        <v>43477</v>
      </c>
      <c r="C21" s="240">
        <v>55</v>
      </c>
      <c r="D21" s="240">
        <v>76</v>
      </c>
      <c r="E21" s="268">
        <v>39</v>
      </c>
      <c r="F21" s="281">
        <v>1575</v>
      </c>
      <c r="G21" s="240">
        <v>222</v>
      </c>
      <c r="H21" s="268">
        <v>10320</v>
      </c>
      <c r="I21" s="281"/>
      <c r="J21" s="240"/>
      <c r="K21" s="268"/>
      <c r="L21" s="206"/>
      <c r="M21" s="352">
        <f t="shared" si="6"/>
        <v>12287</v>
      </c>
    </row>
    <row r="22" spans="1:13" s="3" customFormat="1" ht="15" customHeight="1" outlineLevel="1" thickBot="1" x14ac:dyDescent="0.3">
      <c r="A22" s="31" t="s">
        <v>2</v>
      </c>
      <c r="B22" s="317">
        <f t="shared" si="7"/>
        <v>43478</v>
      </c>
      <c r="C22" s="240">
        <v>39</v>
      </c>
      <c r="D22" s="240">
        <v>36</v>
      </c>
      <c r="E22" s="268">
        <v>46</v>
      </c>
      <c r="F22" s="281">
        <v>1308</v>
      </c>
      <c r="G22" s="240">
        <v>196</v>
      </c>
      <c r="H22" s="268">
        <v>7201</v>
      </c>
      <c r="I22" s="281"/>
      <c r="J22" s="240"/>
      <c r="K22" s="268"/>
      <c r="L22" s="206"/>
      <c r="M22" s="352">
        <f>SUM(C22:L22)</f>
        <v>8826</v>
      </c>
    </row>
    <row r="23" spans="1:13" s="3" customFormat="1" ht="15" customHeight="1" outlineLevel="1" thickBot="1" x14ac:dyDescent="0.3">
      <c r="A23" s="167" t="s">
        <v>21</v>
      </c>
      <c r="B23" s="521" t="s">
        <v>25</v>
      </c>
      <c r="C23" s="260">
        <f>SUM(C16:C22)</f>
        <v>2055</v>
      </c>
      <c r="D23" s="260">
        <f t="shared" ref="D23:M23" si="8">SUM(D16:D22)</f>
        <v>1092</v>
      </c>
      <c r="E23" s="343">
        <f>SUM(E16:E22)</f>
        <v>1350</v>
      </c>
      <c r="F23" s="282">
        <f t="shared" si="8"/>
        <v>17192</v>
      </c>
      <c r="G23" s="260">
        <f t="shared" si="8"/>
        <v>11994</v>
      </c>
      <c r="H23" s="343">
        <f>SUM(H16:H22)</f>
        <v>19200</v>
      </c>
      <c r="I23" s="282">
        <f t="shared" si="8"/>
        <v>4208</v>
      </c>
      <c r="J23" s="260">
        <f t="shared" si="8"/>
        <v>2707</v>
      </c>
      <c r="K23" s="343">
        <f t="shared" si="8"/>
        <v>11163</v>
      </c>
      <c r="L23" s="350">
        <f t="shared" si="8"/>
        <v>1825</v>
      </c>
      <c r="M23" s="348">
        <f t="shared" si="8"/>
        <v>72786</v>
      </c>
    </row>
    <row r="24" spans="1:13" s="3" customFormat="1" ht="15" customHeight="1" outlineLevel="1" thickBot="1" x14ac:dyDescent="0.3">
      <c r="A24" s="116" t="s">
        <v>23</v>
      </c>
      <c r="B24" s="522"/>
      <c r="C24" s="260">
        <f>AVERAGE(C16:C22)</f>
        <v>293.57142857142856</v>
      </c>
      <c r="D24" s="260">
        <f t="shared" ref="D24:M24" si="9">AVERAGE(D16:D22)</f>
        <v>156</v>
      </c>
      <c r="E24" s="343">
        <f>AVERAGE(E16:E22)</f>
        <v>192.85714285714286</v>
      </c>
      <c r="F24" s="282">
        <f t="shared" si="9"/>
        <v>2456</v>
      </c>
      <c r="G24" s="260">
        <f t="shared" si="9"/>
        <v>1713.4285714285713</v>
      </c>
      <c r="H24" s="343">
        <f>AVERAGE(H16:H22)</f>
        <v>2742.8571428571427</v>
      </c>
      <c r="I24" s="282">
        <f t="shared" si="9"/>
        <v>841.6</v>
      </c>
      <c r="J24" s="260">
        <f t="shared" si="9"/>
        <v>541.4</v>
      </c>
      <c r="K24" s="343">
        <f t="shared" si="9"/>
        <v>2232.6</v>
      </c>
      <c r="L24" s="350">
        <f t="shared" si="9"/>
        <v>365</v>
      </c>
      <c r="M24" s="348">
        <f t="shared" si="9"/>
        <v>10398</v>
      </c>
    </row>
    <row r="25" spans="1:13" s="3" customFormat="1" ht="15" customHeight="1" thickBot="1" x14ac:dyDescent="0.3">
      <c r="A25" s="32" t="s">
        <v>20</v>
      </c>
      <c r="B25" s="522"/>
      <c r="C25" s="261">
        <f>SUM(C16:C20)</f>
        <v>1961</v>
      </c>
      <c r="D25" s="261">
        <f t="shared" ref="D25:L25" si="10">SUM(D16:D20)</f>
        <v>980</v>
      </c>
      <c r="E25" s="344">
        <f>SUM(E16:E20)</f>
        <v>1265</v>
      </c>
      <c r="F25" s="284">
        <f t="shared" si="10"/>
        <v>14309</v>
      </c>
      <c r="G25" s="261">
        <f t="shared" si="10"/>
        <v>11576</v>
      </c>
      <c r="H25" s="344">
        <f>SUM(H16:H20)</f>
        <v>1679</v>
      </c>
      <c r="I25" s="284">
        <f t="shared" si="10"/>
        <v>4208</v>
      </c>
      <c r="J25" s="261">
        <f t="shared" si="10"/>
        <v>2707</v>
      </c>
      <c r="K25" s="344">
        <f>SUM(K16:K20)</f>
        <v>11163</v>
      </c>
      <c r="L25" s="351">
        <f t="shared" si="10"/>
        <v>1825</v>
      </c>
      <c r="M25" s="349">
        <f>SUM(M16:M20)</f>
        <v>51673</v>
      </c>
    </row>
    <row r="26" spans="1:13" s="3" customFormat="1" ht="15" customHeight="1" thickBot="1" x14ac:dyDescent="0.3">
      <c r="A26" s="32" t="s">
        <v>22</v>
      </c>
      <c r="B26" s="523"/>
      <c r="C26" s="261">
        <f>AVERAGE(C16:C20)</f>
        <v>392.2</v>
      </c>
      <c r="D26" s="261">
        <f t="shared" ref="D26:M26" si="11">AVERAGE(D16:D20)</f>
        <v>196</v>
      </c>
      <c r="E26" s="344">
        <f>AVERAGE(E16:E20)</f>
        <v>253</v>
      </c>
      <c r="F26" s="284">
        <f t="shared" si="11"/>
        <v>2861.8</v>
      </c>
      <c r="G26" s="261">
        <f t="shared" si="11"/>
        <v>2315.1999999999998</v>
      </c>
      <c r="H26" s="344">
        <f>AVERAGE(H16:H20)</f>
        <v>335.8</v>
      </c>
      <c r="I26" s="284">
        <f t="shared" si="11"/>
        <v>841.6</v>
      </c>
      <c r="J26" s="261">
        <f t="shared" si="11"/>
        <v>541.4</v>
      </c>
      <c r="K26" s="344">
        <f t="shared" si="11"/>
        <v>2232.6</v>
      </c>
      <c r="L26" s="351">
        <f t="shared" si="11"/>
        <v>365</v>
      </c>
      <c r="M26" s="349">
        <f t="shared" si="11"/>
        <v>10334.6</v>
      </c>
    </row>
    <row r="27" spans="1:13" s="3" customFormat="1" ht="15" customHeight="1" x14ac:dyDescent="0.25">
      <c r="A27" s="31" t="s">
        <v>3</v>
      </c>
      <c r="B27" s="319">
        <f>B22+1</f>
        <v>43479</v>
      </c>
      <c r="C27" s="240">
        <v>386</v>
      </c>
      <c r="D27" s="240">
        <v>250</v>
      </c>
      <c r="E27" s="268">
        <v>222</v>
      </c>
      <c r="F27" s="281">
        <v>3035</v>
      </c>
      <c r="G27" s="240">
        <v>2373</v>
      </c>
      <c r="H27" s="268">
        <v>322</v>
      </c>
      <c r="I27" s="281">
        <v>809</v>
      </c>
      <c r="J27" s="240">
        <v>577</v>
      </c>
      <c r="K27" s="268">
        <v>2055</v>
      </c>
      <c r="L27" s="206">
        <v>577</v>
      </c>
      <c r="M27" s="352">
        <f t="shared" ref="M27:M33" si="12">SUM(C27:L27)</f>
        <v>10606</v>
      </c>
    </row>
    <row r="28" spans="1:13" s="3" customFormat="1" ht="15" customHeight="1" x14ac:dyDescent="0.25">
      <c r="A28" s="31" t="s">
        <v>4</v>
      </c>
      <c r="B28" s="305">
        <f t="shared" ref="B28:B33" si="13">B27+1</f>
        <v>43480</v>
      </c>
      <c r="C28" s="307">
        <v>396</v>
      </c>
      <c r="D28" s="240">
        <v>230</v>
      </c>
      <c r="E28" s="268">
        <v>269</v>
      </c>
      <c r="F28" s="281">
        <v>2472</v>
      </c>
      <c r="G28" s="240">
        <v>2410</v>
      </c>
      <c r="H28" s="268">
        <v>379</v>
      </c>
      <c r="I28" s="281">
        <v>802</v>
      </c>
      <c r="J28" s="240">
        <v>622</v>
      </c>
      <c r="K28" s="268">
        <v>2477</v>
      </c>
      <c r="L28" s="206">
        <v>622</v>
      </c>
      <c r="M28" s="352">
        <f t="shared" si="12"/>
        <v>10679</v>
      </c>
    </row>
    <row r="29" spans="1:13" s="3" customFormat="1" ht="15" customHeight="1" x14ac:dyDescent="0.25">
      <c r="A29" s="31" t="s">
        <v>5</v>
      </c>
      <c r="B29" s="305">
        <f t="shared" si="13"/>
        <v>43481</v>
      </c>
      <c r="C29" s="307">
        <v>379</v>
      </c>
      <c r="D29" s="240">
        <v>201</v>
      </c>
      <c r="E29" s="268">
        <v>245</v>
      </c>
      <c r="F29" s="281">
        <v>3041</v>
      </c>
      <c r="G29" s="240">
        <v>2468</v>
      </c>
      <c r="H29" s="268">
        <v>363</v>
      </c>
      <c r="I29" s="281">
        <v>886</v>
      </c>
      <c r="J29" s="240">
        <v>542</v>
      </c>
      <c r="K29" s="268">
        <v>2239</v>
      </c>
      <c r="L29" s="206">
        <v>542</v>
      </c>
      <c r="M29" s="352">
        <f t="shared" si="12"/>
        <v>10906</v>
      </c>
    </row>
    <row r="30" spans="1:13" s="3" customFormat="1" ht="15" customHeight="1" x14ac:dyDescent="0.25">
      <c r="A30" s="31" t="s">
        <v>6</v>
      </c>
      <c r="B30" s="305">
        <f t="shared" si="13"/>
        <v>43482</v>
      </c>
      <c r="C30" s="307">
        <v>351</v>
      </c>
      <c r="D30" s="240">
        <v>213</v>
      </c>
      <c r="E30" s="268">
        <v>210</v>
      </c>
      <c r="F30" s="281">
        <v>2614</v>
      </c>
      <c r="G30" s="240">
        <v>2480</v>
      </c>
      <c r="H30" s="268">
        <v>314</v>
      </c>
      <c r="I30" s="281">
        <v>856</v>
      </c>
      <c r="J30" s="240">
        <v>552</v>
      </c>
      <c r="K30" s="268">
        <v>2412</v>
      </c>
      <c r="L30" s="206">
        <v>552</v>
      </c>
      <c r="M30" s="352">
        <f t="shared" si="12"/>
        <v>10554</v>
      </c>
    </row>
    <row r="31" spans="1:13" s="3" customFormat="1" ht="15" customHeight="1" x14ac:dyDescent="0.25">
      <c r="A31" s="31" t="s">
        <v>0</v>
      </c>
      <c r="B31" s="305">
        <f t="shared" si="13"/>
        <v>43483</v>
      </c>
      <c r="C31" s="307">
        <v>272</v>
      </c>
      <c r="D31" s="240">
        <v>178</v>
      </c>
      <c r="E31" s="268">
        <v>190</v>
      </c>
      <c r="F31" s="281">
        <v>2263</v>
      </c>
      <c r="G31" s="240">
        <v>1874</v>
      </c>
      <c r="H31" s="268">
        <v>357</v>
      </c>
      <c r="I31" s="281">
        <v>710</v>
      </c>
      <c r="J31" s="240">
        <v>364</v>
      </c>
      <c r="K31" s="268">
        <v>1800</v>
      </c>
      <c r="L31" s="206">
        <v>364</v>
      </c>
      <c r="M31" s="352">
        <f t="shared" si="12"/>
        <v>8372</v>
      </c>
    </row>
    <row r="32" spans="1:13" s="3" customFormat="1" ht="15" customHeight="1" outlineLevel="1" x14ac:dyDescent="0.25">
      <c r="A32" s="31" t="s">
        <v>1</v>
      </c>
      <c r="B32" s="305">
        <f t="shared" si="13"/>
        <v>43484</v>
      </c>
      <c r="C32" s="240">
        <v>55</v>
      </c>
      <c r="D32" s="240">
        <v>33</v>
      </c>
      <c r="E32" s="268">
        <v>27</v>
      </c>
      <c r="F32" s="281">
        <v>1463</v>
      </c>
      <c r="G32" s="240">
        <v>183</v>
      </c>
      <c r="H32" s="268">
        <v>9158</v>
      </c>
      <c r="I32" s="281"/>
      <c r="J32" s="240"/>
      <c r="K32" s="268"/>
      <c r="L32" s="206"/>
      <c r="M32" s="352">
        <f t="shared" si="12"/>
        <v>10919</v>
      </c>
    </row>
    <row r="33" spans="1:14" s="3" customFormat="1" ht="15" customHeight="1" outlineLevel="1" thickBot="1" x14ac:dyDescent="0.3">
      <c r="A33" s="31" t="s">
        <v>2</v>
      </c>
      <c r="B33" s="305">
        <f t="shared" si="13"/>
        <v>43485</v>
      </c>
      <c r="C33" s="240">
        <v>34</v>
      </c>
      <c r="D33" s="240">
        <v>37</v>
      </c>
      <c r="E33" s="268">
        <v>29</v>
      </c>
      <c r="F33" s="281">
        <v>958</v>
      </c>
      <c r="G33" s="240">
        <v>98</v>
      </c>
      <c r="H33" s="268">
        <v>5560</v>
      </c>
      <c r="I33" s="281"/>
      <c r="J33" s="240"/>
      <c r="K33" s="268"/>
      <c r="L33" s="206"/>
      <c r="M33" s="352">
        <f t="shared" si="12"/>
        <v>6716</v>
      </c>
    </row>
    <row r="34" spans="1:14" s="3" customFormat="1" ht="15" customHeight="1" outlineLevel="1" thickBot="1" x14ac:dyDescent="0.3">
      <c r="A34" s="167" t="s">
        <v>21</v>
      </c>
      <c r="B34" s="521" t="s">
        <v>26</v>
      </c>
      <c r="C34" s="260">
        <f>SUM(C27:C33)</f>
        <v>1873</v>
      </c>
      <c r="D34" s="260">
        <f t="shared" ref="D34:M34" si="14">SUM(D27:D33)</f>
        <v>1142</v>
      </c>
      <c r="E34" s="343">
        <f>SUM(E27:E33)</f>
        <v>1192</v>
      </c>
      <c r="F34" s="282">
        <f>SUM(F27:F33)</f>
        <v>15846</v>
      </c>
      <c r="G34" s="260">
        <f t="shared" si="14"/>
        <v>11886</v>
      </c>
      <c r="H34" s="343">
        <f>SUM(H27:H33)</f>
        <v>16453</v>
      </c>
      <c r="I34" s="282">
        <f t="shared" si="14"/>
        <v>4063</v>
      </c>
      <c r="J34" s="260">
        <f t="shared" si="14"/>
        <v>2657</v>
      </c>
      <c r="K34" s="343">
        <f t="shared" si="14"/>
        <v>10983</v>
      </c>
      <c r="L34" s="350">
        <f t="shared" si="14"/>
        <v>2657</v>
      </c>
      <c r="M34" s="348">
        <f t="shared" si="14"/>
        <v>68752</v>
      </c>
    </row>
    <row r="35" spans="1:14" s="3" customFormat="1" ht="15" customHeight="1" outlineLevel="1" thickBot="1" x14ac:dyDescent="0.3">
      <c r="A35" s="116" t="s">
        <v>23</v>
      </c>
      <c r="B35" s="522"/>
      <c r="C35" s="260">
        <f>AVERAGE(C27:C33)</f>
        <v>267.57142857142856</v>
      </c>
      <c r="D35" s="260">
        <f t="shared" ref="D35:M35" si="15">AVERAGE(D27:D33)</f>
        <v>163.14285714285714</v>
      </c>
      <c r="E35" s="343">
        <f>AVERAGE(E27:E33)</f>
        <v>170.28571428571428</v>
      </c>
      <c r="F35" s="282">
        <f>AVERAGE(F27:F33)</f>
        <v>2263.7142857142858</v>
      </c>
      <c r="G35" s="260">
        <f t="shared" si="15"/>
        <v>1698</v>
      </c>
      <c r="H35" s="343">
        <f>AVERAGE(H27:H33)</f>
        <v>2350.4285714285716</v>
      </c>
      <c r="I35" s="282">
        <f t="shared" si="15"/>
        <v>812.6</v>
      </c>
      <c r="J35" s="260">
        <f t="shared" si="15"/>
        <v>531.4</v>
      </c>
      <c r="K35" s="343">
        <f t="shared" si="15"/>
        <v>2196.6</v>
      </c>
      <c r="L35" s="350">
        <f t="shared" si="15"/>
        <v>531.4</v>
      </c>
      <c r="M35" s="348">
        <f t="shared" si="15"/>
        <v>9821.7142857142862</v>
      </c>
    </row>
    <row r="36" spans="1:14" s="3" customFormat="1" ht="15" customHeight="1" thickBot="1" x14ac:dyDescent="0.3">
      <c r="A36" s="32" t="s">
        <v>20</v>
      </c>
      <c r="B36" s="522"/>
      <c r="C36" s="261">
        <f>SUM(C27:C31)</f>
        <v>1784</v>
      </c>
      <c r="D36" s="261">
        <f t="shared" ref="D36:M36" si="16">SUM(D27:D31)</f>
        <v>1072</v>
      </c>
      <c r="E36" s="344">
        <f>SUM(E27:E31)</f>
        <v>1136</v>
      </c>
      <c r="F36" s="284">
        <f>SUM(F27:F31)</f>
        <v>13425</v>
      </c>
      <c r="G36" s="261">
        <f t="shared" si="16"/>
        <v>11605</v>
      </c>
      <c r="H36" s="344">
        <f>SUM(H27:H31)</f>
        <v>1735</v>
      </c>
      <c r="I36" s="284">
        <f t="shared" si="16"/>
        <v>4063</v>
      </c>
      <c r="J36" s="261">
        <f t="shared" si="16"/>
        <v>2657</v>
      </c>
      <c r="K36" s="344">
        <f t="shared" si="16"/>
        <v>10983</v>
      </c>
      <c r="L36" s="351">
        <f t="shared" si="16"/>
        <v>2657</v>
      </c>
      <c r="M36" s="349">
        <f t="shared" si="16"/>
        <v>51117</v>
      </c>
      <c r="N36" s="217"/>
    </row>
    <row r="37" spans="1:14" s="3" customFormat="1" ht="15" customHeight="1" thickBot="1" x14ac:dyDescent="0.3">
      <c r="A37" s="32" t="s">
        <v>22</v>
      </c>
      <c r="B37" s="523"/>
      <c r="C37" s="261">
        <f>AVERAGE(C27:C31)</f>
        <v>356.8</v>
      </c>
      <c r="D37" s="261">
        <f t="shared" ref="D37:M37" si="17">AVERAGE(D27:D31)</f>
        <v>214.4</v>
      </c>
      <c r="E37" s="344">
        <f>AVERAGE(E27:E31)</f>
        <v>227.2</v>
      </c>
      <c r="F37" s="284">
        <f>AVERAGE(F27:F31)</f>
        <v>2685</v>
      </c>
      <c r="G37" s="261">
        <f t="shared" si="17"/>
        <v>2321</v>
      </c>
      <c r="H37" s="344">
        <f>AVERAGE(H27:H31)</f>
        <v>347</v>
      </c>
      <c r="I37" s="284">
        <f t="shared" si="17"/>
        <v>812.6</v>
      </c>
      <c r="J37" s="261">
        <f t="shared" si="17"/>
        <v>531.4</v>
      </c>
      <c r="K37" s="344">
        <f t="shared" si="17"/>
        <v>2196.6</v>
      </c>
      <c r="L37" s="351">
        <f t="shared" si="17"/>
        <v>531.4</v>
      </c>
      <c r="M37" s="349">
        <f t="shared" si="17"/>
        <v>10223.4</v>
      </c>
    </row>
    <row r="38" spans="1:14" s="3" customFormat="1" ht="15" customHeight="1" x14ac:dyDescent="0.25">
      <c r="A38" s="31" t="s">
        <v>3</v>
      </c>
      <c r="B38" s="320">
        <f>B33+1</f>
        <v>43486</v>
      </c>
      <c r="C38" s="240">
        <v>42</v>
      </c>
      <c r="D38" s="240">
        <v>32</v>
      </c>
      <c r="E38" s="268">
        <v>40</v>
      </c>
      <c r="F38" s="281">
        <v>285</v>
      </c>
      <c r="G38" s="240">
        <v>163</v>
      </c>
      <c r="H38" s="268"/>
      <c r="I38" s="281">
        <v>148</v>
      </c>
      <c r="J38" s="240"/>
      <c r="K38" s="268">
        <v>190</v>
      </c>
      <c r="L38" s="206"/>
      <c r="M38" s="352">
        <f t="shared" ref="M38:M44" si="18">SUM(C38:L38)</f>
        <v>900</v>
      </c>
    </row>
    <row r="39" spans="1:14" s="3" customFormat="1" ht="15" customHeight="1" x14ac:dyDescent="0.25">
      <c r="A39" s="31" t="s">
        <v>4</v>
      </c>
      <c r="B39" s="321">
        <f t="shared" ref="B39:B44" si="19">B38+1</f>
        <v>43487</v>
      </c>
      <c r="C39" s="240">
        <v>281</v>
      </c>
      <c r="D39" s="240">
        <v>181</v>
      </c>
      <c r="E39" s="268">
        <v>207</v>
      </c>
      <c r="F39" s="281">
        <v>2814</v>
      </c>
      <c r="G39" s="240">
        <v>2317</v>
      </c>
      <c r="H39" s="268">
        <v>336</v>
      </c>
      <c r="I39" s="281">
        <v>842</v>
      </c>
      <c r="J39" s="240">
        <v>501</v>
      </c>
      <c r="K39" s="268">
        <v>2284</v>
      </c>
      <c r="L39" s="206">
        <v>385</v>
      </c>
      <c r="M39" s="352">
        <f t="shared" si="18"/>
        <v>10148</v>
      </c>
    </row>
    <row r="40" spans="1:14" s="3" customFormat="1" ht="15" customHeight="1" x14ac:dyDescent="0.25">
      <c r="A40" s="31" t="s">
        <v>5</v>
      </c>
      <c r="B40" s="321">
        <f t="shared" si="19"/>
        <v>43488</v>
      </c>
      <c r="C40" s="240">
        <v>348</v>
      </c>
      <c r="D40" s="240">
        <v>212</v>
      </c>
      <c r="E40" s="268">
        <v>217</v>
      </c>
      <c r="F40" s="281">
        <v>3461</v>
      </c>
      <c r="G40" s="240">
        <v>2427</v>
      </c>
      <c r="H40" s="268">
        <v>393</v>
      </c>
      <c r="I40" s="281">
        <v>931</v>
      </c>
      <c r="J40" s="240">
        <v>553</v>
      </c>
      <c r="K40" s="268">
        <v>2513</v>
      </c>
      <c r="L40" s="206">
        <v>362</v>
      </c>
      <c r="M40" s="352">
        <f t="shared" si="18"/>
        <v>11417</v>
      </c>
    </row>
    <row r="41" spans="1:14" s="3" customFormat="1" ht="15" customHeight="1" x14ac:dyDescent="0.25">
      <c r="A41" s="31" t="s">
        <v>6</v>
      </c>
      <c r="B41" s="321">
        <f t="shared" si="19"/>
        <v>43489</v>
      </c>
      <c r="C41" s="240">
        <v>327</v>
      </c>
      <c r="D41" s="240">
        <v>188</v>
      </c>
      <c r="E41" s="268">
        <v>251</v>
      </c>
      <c r="F41" s="281">
        <v>3127</v>
      </c>
      <c r="G41" s="240">
        <v>2290</v>
      </c>
      <c r="H41" s="268">
        <v>285</v>
      </c>
      <c r="I41" s="281">
        <v>899</v>
      </c>
      <c r="J41" s="240">
        <v>477</v>
      </c>
      <c r="K41" s="268">
        <v>2414</v>
      </c>
      <c r="L41" s="206">
        <v>341</v>
      </c>
      <c r="M41" s="352">
        <f t="shared" si="18"/>
        <v>10599</v>
      </c>
    </row>
    <row r="42" spans="1:14" s="3" customFormat="1" ht="15" customHeight="1" x14ac:dyDescent="0.25">
      <c r="A42" s="31" t="s">
        <v>0</v>
      </c>
      <c r="B42" s="321">
        <f t="shared" si="19"/>
        <v>43490</v>
      </c>
      <c r="C42" s="240">
        <v>349</v>
      </c>
      <c r="D42" s="240">
        <v>199</v>
      </c>
      <c r="E42" s="268">
        <v>216</v>
      </c>
      <c r="F42" s="281">
        <v>3081</v>
      </c>
      <c r="G42" s="240">
        <v>2126</v>
      </c>
      <c r="H42" s="268">
        <v>351</v>
      </c>
      <c r="I42" s="281">
        <v>606</v>
      </c>
      <c r="J42" s="240">
        <v>343</v>
      </c>
      <c r="K42" s="268">
        <v>2014</v>
      </c>
      <c r="L42" s="206">
        <v>340</v>
      </c>
      <c r="M42" s="352">
        <f t="shared" si="18"/>
        <v>9625</v>
      </c>
    </row>
    <row r="43" spans="1:14" s="3" customFormat="1" ht="15" customHeight="1" outlineLevel="1" x14ac:dyDescent="0.25">
      <c r="A43" s="31" t="s">
        <v>1</v>
      </c>
      <c r="B43" s="321">
        <f t="shared" si="19"/>
        <v>43491</v>
      </c>
      <c r="C43" s="240">
        <v>102</v>
      </c>
      <c r="D43" s="240">
        <v>124</v>
      </c>
      <c r="E43" s="268">
        <v>86</v>
      </c>
      <c r="F43" s="281">
        <v>1741</v>
      </c>
      <c r="G43" s="240">
        <v>255</v>
      </c>
      <c r="H43" s="268">
        <v>11329</v>
      </c>
      <c r="I43" s="281"/>
      <c r="J43" s="240"/>
      <c r="K43" s="268"/>
      <c r="L43" s="206"/>
      <c r="M43" s="352">
        <f t="shared" si="18"/>
        <v>13637</v>
      </c>
      <c r="N43" s="130"/>
    </row>
    <row r="44" spans="1:14" s="3" customFormat="1" ht="15" customHeight="1" outlineLevel="1" thickBot="1" x14ac:dyDescent="0.3">
      <c r="A44" s="31" t="s">
        <v>2</v>
      </c>
      <c r="B44" s="321">
        <f t="shared" si="19"/>
        <v>43492</v>
      </c>
      <c r="C44" s="240">
        <v>87</v>
      </c>
      <c r="D44" s="240">
        <v>118</v>
      </c>
      <c r="E44" s="268">
        <v>50</v>
      </c>
      <c r="F44" s="281">
        <v>1553</v>
      </c>
      <c r="G44" s="240">
        <v>228</v>
      </c>
      <c r="H44" s="268">
        <v>9487</v>
      </c>
      <c r="I44" s="281"/>
      <c r="J44" s="240"/>
      <c r="K44" s="268"/>
      <c r="L44" s="206"/>
      <c r="M44" s="352">
        <f t="shared" si="18"/>
        <v>11523</v>
      </c>
      <c r="N44" s="130"/>
    </row>
    <row r="45" spans="1:14" s="3" customFormat="1" ht="15" customHeight="1" outlineLevel="1" thickBot="1" x14ac:dyDescent="0.3">
      <c r="A45" s="167" t="s">
        <v>21</v>
      </c>
      <c r="B45" s="521" t="s">
        <v>27</v>
      </c>
      <c r="C45" s="260">
        <f t="shared" ref="C45:M45" si="20">SUM(C38:C44)</f>
        <v>1536</v>
      </c>
      <c r="D45" s="260">
        <f t="shared" si="20"/>
        <v>1054</v>
      </c>
      <c r="E45" s="343">
        <f>SUM(E38:E44)</f>
        <v>1067</v>
      </c>
      <c r="F45" s="282">
        <f>SUM(F38:F44)</f>
        <v>16062</v>
      </c>
      <c r="G45" s="260">
        <f t="shared" si="20"/>
        <v>9806</v>
      </c>
      <c r="H45" s="343">
        <f>SUM(H38:H44)</f>
        <v>22181</v>
      </c>
      <c r="I45" s="282">
        <f t="shared" si="20"/>
        <v>3426</v>
      </c>
      <c r="J45" s="260">
        <f t="shared" si="20"/>
        <v>1874</v>
      </c>
      <c r="K45" s="343">
        <f t="shared" si="20"/>
        <v>9415</v>
      </c>
      <c r="L45" s="350">
        <f t="shared" si="20"/>
        <v>1428</v>
      </c>
      <c r="M45" s="348">
        <f t="shared" si="20"/>
        <v>67849</v>
      </c>
    </row>
    <row r="46" spans="1:14" s="3" customFormat="1" ht="15" customHeight="1" outlineLevel="1" thickBot="1" x14ac:dyDescent="0.3">
      <c r="A46" s="116" t="s">
        <v>23</v>
      </c>
      <c r="B46" s="522"/>
      <c r="C46" s="260">
        <f t="shared" ref="C46:M46" si="21">AVERAGE(C38:C44)</f>
        <v>219.42857142857142</v>
      </c>
      <c r="D46" s="260">
        <f t="shared" si="21"/>
        <v>150.57142857142858</v>
      </c>
      <c r="E46" s="343">
        <f>AVERAGE(E38:E44)</f>
        <v>152.42857142857142</v>
      </c>
      <c r="F46" s="282">
        <f t="shared" si="21"/>
        <v>2294.5714285714284</v>
      </c>
      <c r="G46" s="260">
        <f t="shared" si="21"/>
        <v>1400.8571428571429</v>
      </c>
      <c r="H46" s="343">
        <f>AVERAGE(H38:H44)</f>
        <v>3696.8333333333335</v>
      </c>
      <c r="I46" s="282">
        <f t="shared" si="21"/>
        <v>685.2</v>
      </c>
      <c r="J46" s="260">
        <f t="shared" si="21"/>
        <v>468.5</v>
      </c>
      <c r="K46" s="343">
        <f t="shared" si="21"/>
        <v>1883</v>
      </c>
      <c r="L46" s="350">
        <f t="shared" si="21"/>
        <v>357</v>
      </c>
      <c r="M46" s="348">
        <f t="shared" si="21"/>
        <v>9692.7142857142862</v>
      </c>
    </row>
    <row r="47" spans="1:14" s="3" customFormat="1" ht="15" customHeight="1" thickBot="1" x14ac:dyDescent="0.3">
      <c r="A47" s="32" t="s">
        <v>20</v>
      </c>
      <c r="B47" s="522"/>
      <c r="C47" s="261">
        <f t="shared" ref="C47:M47" si="22">SUM(C38:C42)</f>
        <v>1347</v>
      </c>
      <c r="D47" s="261">
        <f t="shared" si="22"/>
        <v>812</v>
      </c>
      <c r="E47" s="344">
        <f>SUM(E38:E42)</f>
        <v>931</v>
      </c>
      <c r="F47" s="284">
        <f t="shared" si="22"/>
        <v>12768</v>
      </c>
      <c r="G47" s="261">
        <f t="shared" si="22"/>
        <v>9323</v>
      </c>
      <c r="H47" s="344">
        <f>SUM(H38:H42)</f>
        <v>1365</v>
      </c>
      <c r="I47" s="284">
        <f t="shared" si="22"/>
        <v>3426</v>
      </c>
      <c r="J47" s="261">
        <f t="shared" si="22"/>
        <v>1874</v>
      </c>
      <c r="K47" s="344">
        <f t="shared" si="22"/>
        <v>9415</v>
      </c>
      <c r="L47" s="351">
        <f t="shared" si="22"/>
        <v>1428</v>
      </c>
      <c r="M47" s="349">
        <f t="shared" si="22"/>
        <v>42689</v>
      </c>
    </row>
    <row r="48" spans="1:14" s="3" customFormat="1" ht="15" customHeight="1" thickBot="1" x14ac:dyDescent="0.3">
      <c r="A48" s="32" t="s">
        <v>22</v>
      </c>
      <c r="B48" s="523"/>
      <c r="C48" s="261">
        <f t="shared" ref="C48:M48" si="23">AVERAGE(C38:C42)</f>
        <v>269.39999999999998</v>
      </c>
      <c r="D48" s="261">
        <f t="shared" si="23"/>
        <v>162.4</v>
      </c>
      <c r="E48" s="344">
        <f>AVERAGE(E38:E42)</f>
        <v>186.2</v>
      </c>
      <c r="F48" s="284">
        <f t="shared" si="23"/>
        <v>2553.6</v>
      </c>
      <c r="G48" s="261">
        <f t="shared" si="23"/>
        <v>1864.6</v>
      </c>
      <c r="H48" s="344">
        <f>AVERAGE(H38:H42)</f>
        <v>341.25</v>
      </c>
      <c r="I48" s="284">
        <f t="shared" si="23"/>
        <v>685.2</v>
      </c>
      <c r="J48" s="261">
        <f t="shared" si="23"/>
        <v>468.5</v>
      </c>
      <c r="K48" s="344">
        <f t="shared" si="23"/>
        <v>1883</v>
      </c>
      <c r="L48" s="351">
        <f t="shared" si="23"/>
        <v>357</v>
      </c>
      <c r="M48" s="349">
        <f t="shared" si="23"/>
        <v>8537.7999999999993</v>
      </c>
    </row>
    <row r="49" spans="1:13" s="3" customFormat="1" ht="15" customHeight="1" x14ac:dyDescent="0.25">
      <c r="A49" s="31" t="s">
        <v>3</v>
      </c>
      <c r="B49" s="320">
        <f>B44+1</f>
        <v>43493</v>
      </c>
      <c r="C49" s="240">
        <v>377</v>
      </c>
      <c r="D49" s="240">
        <v>176</v>
      </c>
      <c r="E49" s="268">
        <v>236</v>
      </c>
      <c r="F49" s="281">
        <v>3032</v>
      </c>
      <c r="G49" s="240">
        <v>2578</v>
      </c>
      <c r="H49" s="268">
        <v>342</v>
      </c>
      <c r="I49" s="281">
        <v>870</v>
      </c>
      <c r="J49" s="240">
        <v>568</v>
      </c>
      <c r="K49" s="268">
        <v>2446</v>
      </c>
      <c r="L49" s="206">
        <v>393</v>
      </c>
      <c r="M49" s="352">
        <f t="shared" ref="M49:M55" si="24">SUM(C49:L49)</f>
        <v>11018</v>
      </c>
    </row>
    <row r="50" spans="1:13" s="3" customFormat="1" ht="15" customHeight="1" x14ac:dyDescent="0.25">
      <c r="A50" s="158" t="s">
        <v>4</v>
      </c>
      <c r="B50" s="321">
        <f t="shared" ref="B50:B55" si="25">B49+1</f>
        <v>43494</v>
      </c>
      <c r="C50" s="240">
        <v>369</v>
      </c>
      <c r="D50" s="240">
        <v>190</v>
      </c>
      <c r="E50" s="268">
        <v>291</v>
      </c>
      <c r="F50" s="281">
        <v>3066</v>
      </c>
      <c r="G50" s="240">
        <v>2602</v>
      </c>
      <c r="H50" s="268">
        <v>372</v>
      </c>
      <c r="I50" s="281">
        <v>734</v>
      </c>
      <c r="J50" s="240">
        <v>468</v>
      </c>
      <c r="K50" s="268">
        <v>2523</v>
      </c>
      <c r="L50" s="206">
        <v>371</v>
      </c>
      <c r="M50" s="352">
        <f t="shared" si="24"/>
        <v>10986</v>
      </c>
    </row>
    <row r="51" spans="1:13" s="3" customFormat="1" x14ac:dyDescent="0.25">
      <c r="A51" s="158" t="s">
        <v>5</v>
      </c>
      <c r="B51" s="321">
        <f t="shared" si="25"/>
        <v>43495</v>
      </c>
      <c r="C51" s="240">
        <v>328</v>
      </c>
      <c r="D51" s="240">
        <v>188</v>
      </c>
      <c r="E51" s="268">
        <v>216</v>
      </c>
      <c r="F51" s="281">
        <v>2910</v>
      </c>
      <c r="G51" s="240">
        <v>2348</v>
      </c>
      <c r="H51" s="268">
        <v>307</v>
      </c>
      <c r="I51" s="281">
        <v>939</v>
      </c>
      <c r="J51" s="240">
        <v>436</v>
      </c>
      <c r="K51" s="268">
        <v>2421</v>
      </c>
      <c r="L51" s="206">
        <v>370</v>
      </c>
      <c r="M51" s="352">
        <f t="shared" si="24"/>
        <v>10463</v>
      </c>
    </row>
    <row r="52" spans="1:13" s="3" customFormat="1" ht="15.75" thickBot="1" x14ac:dyDescent="0.3">
      <c r="A52" s="158" t="s">
        <v>6</v>
      </c>
      <c r="B52" s="321">
        <f t="shared" si="25"/>
        <v>43496</v>
      </c>
      <c r="C52" s="240">
        <v>296</v>
      </c>
      <c r="D52" s="240">
        <v>144</v>
      </c>
      <c r="E52" s="268">
        <v>235</v>
      </c>
      <c r="F52" s="281">
        <v>2832</v>
      </c>
      <c r="G52" s="240">
        <v>1932</v>
      </c>
      <c r="H52" s="268">
        <v>279</v>
      </c>
      <c r="I52" s="281">
        <v>628</v>
      </c>
      <c r="J52" s="240">
        <v>397</v>
      </c>
      <c r="K52" s="268">
        <v>2072</v>
      </c>
      <c r="L52" s="206">
        <v>298</v>
      </c>
      <c r="M52" s="352">
        <f t="shared" si="24"/>
        <v>9113</v>
      </c>
    </row>
    <row r="53" spans="1:13" s="3" customFormat="1" ht="15.75" hidden="1" thickBot="1" x14ac:dyDescent="0.3">
      <c r="A53" s="31" t="s">
        <v>0</v>
      </c>
      <c r="B53" s="322">
        <f t="shared" si="25"/>
        <v>43497</v>
      </c>
      <c r="C53" s="240"/>
      <c r="D53" s="240"/>
      <c r="E53" s="268"/>
      <c r="F53" s="281"/>
      <c r="G53" s="240"/>
      <c r="H53" s="268"/>
      <c r="I53" s="281"/>
      <c r="J53" s="240"/>
      <c r="K53" s="268"/>
      <c r="L53" s="206"/>
      <c r="M53" s="352">
        <f t="shared" si="24"/>
        <v>0</v>
      </c>
    </row>
    <row r="54" spans="1:13" s="3" customFormat="1" ht="15.75" hidden="1" outlineLevel="1" thickBot="1" x14ac:dyDescent="0.3">
      <c r="A54" s="31" t="s">
        <v>1</v>
      </c>
      <c r="B54" s="322">
        <f t="shared" si="25"/>
        <v>43498</v>
      </c>
      <c r="C54" s="240"/>
      <c r="D54" s="240"/>
      <c r="E54" s="268"/>
      <c r="F54" s="281"/>
      <c r="G54" s="240"/>
      <c r="H54" s="268"/>
      <c r="I54" s="281"/>
      <c r="J54" s="240"/>
      <c r="K54" s="268"/>
      <c r="L54" s="206"/>
      <c r="M54" s="352">
        <f t="shared" si="24"/>
        <v>0</v>
      </c>
    </row>
    <row r="55" spans="1:13" s="3" customFormat="1" ht="15.75" hidden="1" outlineLevel="1" thickBot="1" x14ac:dyDescent="0.3">
      <c r="A55" s="158" t="s">
        <v>2</v>
      </c>
      <c r="B55" s="322">
        <f t="shared" si="25"/>
        <v>43499</v>
      </c>
      <c r="C55" s="240"/>
      <c r="D55" s="240"/>
      <c r="E55" s="268"/>
      <c r="F55" s="281"/>
      <c r="G55" s="240"/>
      <c r="H55" s="268"/>
      <c r="I55" s="281"/>
      <c r="J55" s="240"/>
      <c r="K55" s="268"/>
      <c r="L55" s="206"/>
      <c r="M55" s="352">
        <f t="shared" si="24"/>
        <v>0</v>
      </c>
    </row>
    <row r="56" spans="1:13" s="3" customFormat="1" ht="15" customHeight="1" outlineLevel="1" thickBot="1" x14ac:dyDescent="0.3">
      <c r="A56" s="167" t="s">
        <v>21</v>
      </c>
      <c r="B56" s="521" t="s">
        <v>28</v>
      </c>
      <c r="C56" s="260">
        <f t="shared" ref="C56:M56" si="26">SUM(C49:C55)</f>
        <v>1370</v>
      </c>
      <c r="D56" s="260">
        <f t="shared" si="26"/>
        <v>698</v>
      </c>
      <c r="E56" s="343">
        <f>SUM(E49:E55)</f>
        <v>978</v>
      </c>
      <c r="F56" s="282">
        <f>SUM(F49:F55)</f>
        <v>11840</v>
      </c>
      <c r="G56" s="260">
        <f t="shared" si="26"/>
        <v>9460</v>
      </c>
      <c r="H56" s="343">
        <f>SUM(H49:H55)</f>
        <v>1300</v>
      </c>
      <c r="I56" s="282">
        <f t="shared" si="26"/>
        <v>3171</v>
      </c>
      <c r="J56" s="260">
        <f t="shared" si="26"/>
        <v>1869</v>
      </c>
      <c r="K56" s="343">
        <f t="shared" si="26"/>
        <v>9462</v>
      </c>
      <c r="L56" s="350">
        <f t="shared" si="26"/>
        <v>1432</v>
      </c>
      <c r="M56" s="348">
        <f t="shared" si="26"/>
        <v>41580</v>
      </c>
    </row>
    <row r="57" spans="1:13" s="3" customFormat="1" ht="15" customHeight="1" outlineLevel="1" thickBot="1" x14ac:dyDescent="0.3">
      <c r="A57" s="116" t="s">
        <v>23</v>
      </c>
      <c r="B57" s="522"/>
      <c r="C57" s="260">
        <f t="shared" ref="C57:M57" si="27">AVERAGE(C49:C55)</f>
        <v>342.5</v>
      </c>
      <c r="D57" s="260">
        <f t="shared" si="27"/>
        <v>174.5</v>
      </c>
      <c r="E57" s="343">
        <f>AVERAGE(E49:E55)</f>
        <v>244.5</v>
      </c>
      <c r="F57" s="282">
        <f t="shared" si="27"/>
        <v>2960</v>
      </c>
      <c r="G57" s="260">
        <f t="shared" si="27"/>
        <v>2365</v>
      </c>
      <c r="H57" s="343">
        <f>AVERAGE(H49:H55)</f>
        <v>325</v>
      </c>
      <c r="I57" s="282">
        <f t="shared" si="27"/>
        <v>792.75</v>
      </c>
      <c r="J57" s="260">
        <f t="shared" si="27"/>
        <v>467.25</v>
      </c>
      <c r="K57" s="343">
        <f t="shared" si="27"/>
        <v>2365.5</v>
      </c>
      <c r="L57" s="350">
        <f t="shared" si="27"/>
        <v>358</v>
      </c>
      <c r="M57" s="348">
        <f t="shared" si="27"/>
        <v>5940</v>
      </c>
    </row>
    <row r="58" spans="1:13" s="3" customFormat="1" ht="15" customHeight="1" thickBot="1" x14ac:dyDescent="0.3">
      <c r="A58" s="32" t="s">
        <v>20</v>
      </c>
      <c r="B58" s="522"/>
      <c r="C58" s="261">
        <f t="shared" ref="C58:M58" si="28">SUM(C49:C53)</f>
        <v>1370</v>
      </c>
      <c r="D58" s="261">
        <f t="shared" si="28"/>
        <v>698</v>
      </c>
      <c r="E58" s="344">
        <f>SUM(E49:E53)</f>
        <v>978</v>
      </c>
      <c r="F58" s="284">
        <f>SUM(F49:F53)</f>
        <v>11840</v>
      </c>
      <c r="G58" s="261">
        <f t="shared" si="28"/>
        <v>9460</v>
      </c>
      <c r="H58" s="344">
        <f>SUM(H49:H53)</f>
        <v>1300</v>
      </c>
      <c r="I58" s="284">
        <f t="shared" si="28"/>
        <v>3171</v>
      </c>
      <c r="J58" s="261">
        <f t="shared" si="28"/>
        <v>1869</v>
      </c>
      <c r="K58" s="344">
        <f t="shared" si="28"/>
        <v>9462</v>
      </c>
      <c r="L58" s="351">
        <f t="shared" si="28"/>
        <v>1432</v>
      </c>
      <c r="M58" s="349">
        <f t="shared" si="28"/>
        <v>41580</v>
      </c>
    </row>
    <row r="59" spans="1:13" s="3" customFormat="1" ht="15.75" thickBot="1" x14ac:dyDescent="0.3">
      <c r="A59" s="32" t="s">
        <v>22</v>
      </c>
      <c r="B59" s="523"/>
      <c r="C59" s="261">
        <f t="shared" ref="C59:M59" si="29">AVERAGE(C49:C53)</f>
        <v>342.5</v>
      </c>
      <c r="D59" s="261">
        <f t="shared" si="29"/>
        <v>174.5</v>
      </c>
      <c r="E59" s="344">
        <f>AVERAGE(E49:E53)</f>
        <v>244.5</v>
      </c>
      <c r="F59" s="46">
        <f>AVERAGE(F49:F53)</f>
        <v>2960</v>
      </c>
      <c r="G59" s="242">
        <f t="shared" si="29"/>
        <v>2365</v>
      </c>
      <c r="H59" s="346">
        <f>AVERAGE(H49:H53)</f>
        <v>325</v>
      </c>
      <c r="I59" s="46">
        <f t="shared" si="29"/>
        <v>792.75</v>
      </c>
      <c r="J59" s="242">
        <f t="shared" si="29"/>
        <v>467.25</v>
      </c>
      <c r="K59" s="346">
        <f t="shared" si="29"/>
        <v>2365.5</v>
      </c>
      <c r="L59" s="237">
        <f t="shared" si="29"/>
        <v>358</v>
      </c>
      <c r="M59" s="47">
        <f t="shared" si="29"/>
        <v>8316</v>
      </c>
    </row>
    <row r="60" spans="1:13" s="3" customFormat="1" ht="15.75" hidden="1" thickBot="1" x14ac:dyDescent="0.3">
      <c r="A60" s="158" t="s">
        <v>3</v>
      </c>
      <c r="B60" s="185">
        <f>B55+1</f>
        <v>43500</v>
      </c>
      <c r="C60" s="149"/>
      <c r="D60" s="13"/>
      <c r="E60" s="143"/>
      <c r="F60" s="12"/>
      <c r="G60" s="13"/>
      <c r="H60" s="143"/>
      <c r="I60" s="12"/>
      <c r="J60" s="14"/>
      <c r="K60" s="14"/>
      <c r="L60" s="14"/>
      <c r="M60" s="165">
        <f>SUM(C60:L60)</f>
        <v>0</v>
      </c>
    </row>
    <row r="61" spans="1:13" s="3" customFormat="1" ht="15.75" hidden="1" thickBot="1" x14ac:dyDescent="0.3">
      <c r="A61" s="158" t="s">
        <v>4</v>
      </c>
      <c r="B61" s="186">
        <f>B60+1</f>
        <v>43501</v>
      </c>
      <c r="C61" s="149"/>
      <c r="D61" s="13"/>
      <c r="E61" s="143"/>
      <c r="F61" s="12"/>
      <c r="G61" s="13"/>
      <c r="H61" s="143"/>
      <c r="I61" s="12"/>
      <c r="J61" s="14"/>
      <c r="K61" s="14"/>
      <c r="L61" s="14"/>
      <c r="M61" s="65">
        <f>SUM(C61:L61)</f>
        <v>0</v>
      </c>
    </row>
    <row r="62" spans="1:13" s="3" customFormat="1" ht="15.75" hidden="1" thickBot="1" x14ac:dyDescent="0.3">
      <c r="A62" s="158" t="s">
        <v>5</v>
      </c>
      <c r="B62" s="187"/>
      <c r="C62" s="149"/>
      <c r="D62" s="13"/>
      <c r="E62" s="143"/>
      <c r="F62" s="12"/>
      <c r="G62" s="13"/>
      <c r="H62" s="143"/>
      <c r="I62" s="12"/>
      <c r="J62" s="14"/>
      <c r="K62" s="14"/>
      <c r="L62" s="14"/>
      <c r="M62" s="18"/>
    </row>
    <row r="63" spans="1:13" s="3" customFormat="1" ht="15.75" hidden="1" thickBot="1" x14ac:dyDescent="0.3">
      <c r="A63" s="158" t="s">
        <v>6</v>
      </c>
      <c r="B63" s="187"/>
      <c r="C63" s="149"/>
      <c r="D63" s="13"/>
      <c r="E63" s="143"/>
      <c r="F63" s="12"/>
      <c r="G63" s="13"/>
      <c r="H63" s="143"/>
      <c r="I63" s="12"/>
      <c r="J63" s="14"/>
      <c r="K63" s="14"/>
      <c r="L63" s="14"/>
      <c r="M63" s="18"/>
    </row>
    <row r="64" spans="1:13" s="3" customFormat="1" ht="15.75" hidden="1" thickBot="1" x14ac:dyDescent="0.3">
      <c r="A64" s="158" t="s">
        <v>0</v>
      </c>
      <c r="B64" s="187"/>
      <c r="C64" s="150"/>
      <c r="D64" s="13"/>
      <c r="E64" s="143"/>
      <c r="F64" s="12"/>
      <c r="G64" s="13"/>
      <c r="H64" s="143"/>
      <c r="I64" s="12"/>
      <c r="J64" s="14"/>
      <c r="K64" s="14"/>
      <c r="L64" s="14"/>
      <c r="M64" s="18"/>
    </row>
    <row r="65" spans="1:13" s="3" customFormat="1" ht="15.75" hidden="1" outlineLevel="1" thickBot="1" x14ac:dyDescent="0.3">
      <c r="A65" s="158" t="s">
        <v>1</v>
      </c>
      <c r="B65" s="187"/>
      <c r="C65" s="150"/>
      <c r="D65" s="20"/>
      <c r="E65" s="144"/>
      <c r="F65" s="19"/>
      <c r="G65" s="20"/>
      <c r="H65" s="144"/>
      <c r="I65" s="19"/>
      <c r="J65" s="21"/>
      <c r="K65" s="21"/>
      <c r="L65" s="21"/>
      <c r="M65" s="18"/>
    </row>
    <row r="66" spans="1:13" s="3" customFormat="1" ht="15.75" hidden="1" outlineLevel="1" thickBot="1" x14ac:dyDescent="0.3">
      <c r="A66" s="158" t="s">
        <v>2</v>
      </c>
      <c r="B66" s="189"/>
      <c r="C66" s="173"/>
      <c r="D66" s="63"/>
      <c r="E66" s="309"/>
      <c r="F66" s="62"/>
      <c r="G66" s="63"/>
      <c r="H66" s="309"/>
      <c r="I66" s="62"/>
      <c r="J66" s="64"/>
      <c r="K66" s="64"/>
      <c r="L66" s="64"/>
      <c r="M66" s="65"/>
    </row>
    <row r="67" spans="1:13" s="3" customFormat="1" ht="15.75" hidden="1" outlineLevel="1" thickBot="1" x14ac:dyDescent="0.3">
      <c r="A67" s="167" t="s">
        <v>21</v>
      </c>
      <c r="B67" s="524" t="s">
        <v>32</v>
      </c>
      <c r="C67" s="174">
        <f t="shared" ref="C67:L67" si="30">SUM(C60:C66)</f>
        <v>0</v>
      </c>
      <c r="D67" s="122">
        <f t="shared" si="30"/>
        <v>0</v>
      </c>
      <c r="E67" s="122">
        <f>SUM(E60:E66)</f>
        <v>0</v>
      </c>
      <c r="F67" s="121">
        <f t="shared" si="30"/>
        <v>0</v>
      </c>
      <c r="G67" s="122">
        <f t="shared" si="30"/>
        <v>0</v>
      </c>
      <c r="H67" s="122">
        <f>SUM(H60:H66)</f>
        <v>0</v>
      </c>
      <c r="I67" s="121">
        <f t="shared" si="30"/>
        <v>0</v>
      </c>
      <c r="J67" s="123">
        <f t="shared" si="30"/>
        <v>0</v>
      </c>
      <c r="K67" s="123">
        <f t="shared" si="30"/>
        <v>0</v>
      </c>
      <c r="L67" s="123">
        <f t="shared" si="30"/>
        <v>0</v>
      </c>
      <c r="M67" s="124">
        <f>SUM(M60:M66)</f>
        <v>0</v>
      </c>
    </row>
    <row r="68" spans="1:13" s="3" customFormat="1" ht="15.75" hidden="1" outlineLevel="1" thickBot="1" x14ac:dyDescent="0.3">
      <c r="A68" s="116" t="s">
        <v>23</v>
      </c>
      <c r="B68" s="525"/>
      <c r="C68" s="175" t="e">
        <f t="shared" ref="C68:M68" si="31">AVERAGE(C60:C66)</f>
        <v>#DIV/0!</v>
      </c>
      <c r="D68" s="118" t="e">
        <f t="shared" si="31"/>
        <v>#DIV/0!</v>
      </c>
      <c r="E68" s="118" t="e">
        <f>AVERAGE(E60:E66)</f>
        <v>#DIV/0!</v>
      </c>
      <c r="F68" s="117" t="e">
        <f t="shared" si="31"/>
        <v>#DIV/0!</v>
      </c>
      <c r="G68" s="118" t="e">
        <f t="shared" si="31"/>
        <v>#DIV/0!</v>
      </c>
      <c r="H68" s="118" t="e">
        <f>AVERAGE(H60:H66)</f>
        <v>#DIV/0!</v>
      </c>
      <c r="I68" s="117" t="e">
        <f t="shared" si="31"/>
        <v>#DIV/0!</v>
      </c>
      <c r="J68" s="119" t="e">
        <f t="shared" si="31"/>
        <v>#DIV/0!</v>
      </c>
      <c r="K68" s="119" t="e">
        <f t="shared" si="31"/>
        <v>#DIV/0!</v>
      </c>
      <c r="L68" s="119" t="e">
        <f t="shared" si="31"/>
        <v>#DIV/0!</v>
      </c>
      <c r="M68" s="120">
        <f t="shared" si="31"/>
        <v>0</v>
      </c>
    </row>
    <row r="69" spans="1:13" s="3" customFormat="1" ht="15.75" hidden="1" thickBot="1" x14ac:dyDescent="0.3">
      <c r="A69" s="32" t="s">
        <v>20</v>
      </c>
      <c r="B69" s="525"/>
      <c r="C69" s="176">
        <f t="shared" ref="C69:M69" si="32">SUM(C60:C64)</f>
        <v>0</v>
      </c>
      <c r="D69" s="34">
        <f t="shared" si="32"/>
        <v>0</v>
      </c>
      <c r="E69" s="34">
        <f>SUM(E60:E64)</f>
        <v>0</v>
      </c>
      <c r="F69" s="33">
        <f t="shared" si="32"/>
        <v>0</v>
      </c>
      <c r="G69" s="34">
        <f t="shared" si="32"/>
        <v>0</v>
      </c>
      <c r="H69" s="34">
        <f>SUM(H60:H64)</f>
        <v>0</v>
      </c>
      <c r="I69" s="33">
        <f t="shared" si="32"/>
        <v>0</v>
      </c>
      <c r="J69" s="35">
        <f t="shared" si="32"/>
        <v>0</v>
      </c>
      <c r="K69" s="35">
        <f t="shared" si="32"/>
        <v>0</v>
      </c>
      <c r="L69" s="35">
        <f t="shared" si="32"/>
        <v>0</v>
      </c>
      <c r="M69" s="36">
        <f t="shared" si="32"/>
        <v>0</v>
      </c>
    </row>
    <row r="70" spans="1:13" s="3" customFormat="1" ht="15.75" hidden="1" thickBot="1" x14ac:dyDescent="0.3">
      <c r="A70" s="32" t="s">
        <v>22</v>
      </c>
      <c r="B70" s="526"/>
      <c r="C70" s="177" t="e">
        <f t="shared" ref="C70:M70" si="33">AVERAGE(C60:C64)</f>
        <v>#DIV/0!</v>
      </c>
      <c r="D70" s="38" t="e">
        <f t="shared" si="33"/>
        <v>#DIV/0!</v>
      </c>
      <c r="E70" s="38" t="e">
        <f>AVERAGE(E60:E64)</f>
        <v>#DIV/0!</v>
      </c>
      <c r="F70" s="37" t="e">
        <f t="shared" si="33"/>
        <v>#DIV/0!</v>
      </c>
      <c r="G70" s="38" t="e">
        <f t="shared" si="33"/>
        <v>#DIV/0!</v>
      </c>
      <c r="H70" s="38" t="e">
        <f>AVERAGE(H60:H64)</f>
        <v>#DIV/0!</v>
      </c>
      <c r="I70" s="37" t="e">
        <f t="shared" si="33"/>
        <v>#DIV/0!</v>
      </c>
      <c r="J70" s="39" t="e">
        <f t="shared" si="33"/>
        <v>#DIV/0!</v>
      </c>
      <c r="K70" s="39" t="e">
        <f t="shared" si="33"/>
        <v>#DIV/0!</v>
      </c>
      <c r="L70" s="39" t="e">
        <f t="shared" si="33"/>
        <v>#DIV/0!</v>
      </c>
      <c r="M70" s="41">
        <f t="shared" si="33"/>
        <v>0</v>
      </c>
    </row>
    <row r="71" spans="1:13" s="3" customFormat="1" ht="21" customHeight="1" x14ac:dyDescent="0.25">
      <c r="A71" s="4"/>
      <c r="B71" s="13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9"/>
      <c r="C72" s="42"/>
      <c r="D72" s="44" t="s">
        <v>8</v>
      </c>
      <c r="E72" s="45" t="s">
        <v>97</v>
      </c>
      <c r="F72" s="45" t="s">
        <v>9</v>
      </c>
      <c r="G72" s="45" t="s">
        <v>10</v>
      </c>
    </row>
    <row r="73" spans="1:13" ht="29.25" customHeight="1" x14ac:dyDescent="0.25">
      <c r="C73" s="48" t="s">
        <v>29</v>
      </c>
      <c r="D73" s="43">
        <f>SUM(C56:E56, C45:E45, C34:E34, C23:E23, C12:E12, C67:E67  )</f>
        <v>17809</v>
      </c>
      <c r="E73" s="43">
        <f>SUM(L56, L45, L34, L23, L12, L67)</f>
        <v>8322</v>
      </c>
      <c r="F73" s="43">
        <f>SUM(F56:H56, F45:H45, F34:H34, F23:H23, F12:H12, F67:H67 )</f>
        <v>204535</v>
      </c>
      <c r="G73" s="43">
        <f>SUM(I56:K56, I45:K45, I34:K34, I23:K23, I12:K12, I67:K67)</f>
        <v>75247</v>
      </c>
    </row>
    <row r="74" spans="1:13" ht="29.25" customHeight="1" x14ac:dyDescent="0.25">
      <c r="C74" s="48" t="s">
        <v>30</v>
      </c>
      <c r="D74" s="43">
        <f>SUM(C58:E58, C47:E47, C36:E36, C25:E25, C14:E14, C69:E69 )</f>
        <v>16413</v>
      </c>
      <c r="E74" s="43">
        <f>SUM(L58, L47, L36, L25, L14, L69)</f>
        <v>8322</v>
      </c>
      <c r="F74" s="43">
        <f>SUM(F58:H58, F47:H47, F36:H36, F25:H25, F14:H14, F69:H69)</f>
        <v>115676</v>
      </c>
      <c r="G74" s="43">
        <f>SUM(I58:K58, I47:K47, I36:K36, I25:K25, I14:K14, I69:K69)</f>
        <v>75247</v>
      </c>
    </row>
    <row r="75" spans="1:13" ht="30" customHeight="1" x14ac:dyDescent="0.25"/>
    <row r="76" spans="1:13" ht="30" customHeight="1" x14ac:dyDescent="0.25">
      <c r="C76" s="528" t="s">
        <v>56</v>
      </c>
      <c r="D76" s="529"/>
      <c r="E76" s="529"/>
      <c r="F76" s="530"/>
    </row>
    <row r="77" spans="1:13" x14ac:dyDescent="0.25">
      <c r="C77" s="516" t="s">
        <v>29</v>
      </c>
      <c r="D77" s="517"/>
      <c r="E77" s="308"/>
      <c r="F77" s="113">
        <f>SUM(M56, M45, M34, M23, M12, M67)</f>
        <v>305913</v>
      </c>
    </row>
    <row r="78" spans="1:13" x14ac:dyDescent="0.25">
      <c r="C78" s="516" t="s">
        <v>30</v>
      </c>
      <c r="D78" s="517"/>
      <c r="E78" s="308"/>
      <c r="F78" s="112">
        <f>SUM(M14, M25, M36, M47, M58, M69)</f>
        <v>215658</v>
      </c>
    </row>
    <row r="79" spans="1:13" x14ac:dyDescent="0.25">
      <c r="C79" s="516" t="s">
        <v>62</v>
      </c>
      <c r="D79" s="517"/>
      <c r="E79" s="308"/>
      <c r="F79" s="113">
        <f>AVERAGE(M56, M45, M34, M23, M12, M67)</f>
        <v>50985.5</v>
      </c>
    </row>
    <row r="80" spans="1:13" x14ac:dyDescent="0.25">
      <c r="C80" s="516" t="s">
        <v>22</v>
      </c>
      <c r="D80" s="517"/>
      <c r="E80" s="308"/>
      <c r="F80" s="112">
        <f>AVERAGE(M14, M25, M36, M47, M58, M69)</f>
        <v>35943</v>
      </c>
    </row>
  </sheetData>
  <mergeCells count="28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</mergeCells>
  <pageMargins left="0.7" right="0.7" top="0.75" bottom="0.75" header="0.3" footer="0.3"/>
  <pageSetup paperSize="5" scale="47" orientation="landscape" r:id="rId1"/>
  <ignoredErrors>
    <ignoredError sqref="C56 C45 C23:C26 C34:C37" emptyCellReference="1"/>
    <ignoredError sqref="I13:J13 K13 K23:K24 I57:J57 C57:C58 C59:D59 C46:C48 D23:D26 I46:L48 K57:L58 L15 I15:J15 I23:J26 D34:D37 I58:J58 I59:L59 I56:L56 L23:L26 L13 I34:L37 I45:L45 C15:D15 K26 D45:D48 D56:D58 G45 G34:G37 G56 G59 G58 G23:G26 G15 F46:G48 F57:G57 F13:G13 K15" evalError="1" emptyCellReference="1"/>
    <ignoredError sqref="M59 I67:K71 D67:D71 F67:G71" evalError="1"/>
    <ignoredError sqref="M22 M23" formulaRange="1" emptyCellReference="1"/>
    <ignoredError sqref="M56:M58 M24 F23:F26 M26:M48" evalError="1" formulaRange="1" emptyCellReference="1"/>
    <ignoredError sqref="F36:F37 F58:F59 M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34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defaultRowHeight="15" outlineLevelRow="1" x14ac:dyDescent="0.25"/>
  <cols>
    <col min="1" max="1" width="18.7109375" style="1" bestFit="1" customWidth="1"/>
    <col min="2" max="2" width="10.7109375" style="140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9"/>
      <c r="B1" s="178"/>
      <c r="C1" s="499" t="s">
        <v>10</v>
      </c>
      <c r="D1" s="503"/>
      <c r="E1" s="499" t="s">
        <v>14</v>
      </c>
      <c r="F1" s="503"/>
      <c r="G1" s="545" t="s">
        <v>19</v>
      </c>
    </row>
    <row r="2" spans="1:8" ht="14.25" customHeight="1" thickBot="1" x14ac:dyDescent="0.3">
      <c r="A2" s="30"/>
      <c r="B2" s="179"/>
      <c r="C2" s="500"/>
      <c r="D2" s="504"/>
      <c r="E2" s="500"/>
      <c r="F2" s="504"/>
      <c r="G2" s="485"/>
    </row>
    <row r="3" spans="1:8" ht="14.25" customHeight="1" x14ac:dyDescent="0.25">
      <c r="A3" s="477" t="s">
        <v>52</v>
      </c>
      <c r="B3" s="496" t="s">
        <v>53</v>
      </c>
      <c r="C3" s="544" t="s">
        <v>41</v>
      </c>
      <c r="D3" s="536" t="s">
        <v>42</v>
      </c>
      <c r="E3" s="544" t="s">
        <v>54</v>
      </c>
      <c r="F3" s="536" t="s">
        <v>42</v>
      </c>
      <c r="G3" s="485"/>
    </row>
    <row r="4" spans="1:8" ht="14.25" thickBot="1" x14ac:dyDescent="0.3">
      <c r="A4" s="507"/>
      <c r="B4" s="498"/>
      <c r="C4" s="507"/>
      <c r="D4" s="537"/>
      <c r="E4" s="507"/>
      <c r="F4" s="537"/>
      <c r="G4" s="485"/>
    </row>
    <row r="5" spans="1:8" s="52" customFormat="1" ht="14.25" hidden="1" thickBot="1" x14ac:dyDescent="0.3">
      <c r="A5" s="31" t="s">
        <v>3</v>
      </c>
      <c r="B5" s="180">
        <v>43465</v>
      </c>
      <c r="C5" s="313"/>
      <c r="D5" s="314"/>
      <c r="E5" s="27"/>
      <c r="F5" s="25"/>
      <c r="G5" s="72">
        <f t="shared" ref="G5:G11" si="0">SUM(C5:F5)</f>
        <v>0</v>
      </c>
    </row>
    <row r="6" spans="1:8" s="52" customFormat="1" ht="14.25" thickBot="1" x14ac:dyDescent="0.3">
      <c r="A6" s="31" t="s">
        <v>4</v>
      </c>
      <c r="B6" s="316">
        <v>43466</v>
      </c>
      <c r="C6" s="401"/>
      <c r="D6" s="405">
        <v>246</v>
      </c>
      <c r="E6" s="401"/>
      <c r="F6" s="405">
        <v>363</v>
      </c>
      <c r="G6" s="338">
        <f t="shared" si="0"/>
        <v>609</v>
      </c>
    </row>
    <row r="7" spans="1:8" s="52" customFormat="1" ht="14.25" thickBot="1" x14ac:dyDescent="0.3">
      <c r="A7" s="31" t="s">
        <v>5</v>
      </c>
      <c r="B7" s="316">
        <v>43467</v>
      </c>
      <c r="C7" s="402">
        <v>1145</v>
      </c>
      <c r="D7" s="406">
        <v>1258</v>
      </c>
      <c r="E7" s="402">
        <v>838</v>
      </c>
      <c r="F7" s="406">
        <v>810</v>
      </c>
      <c r="G7" s="411">
        <f t="shared" si="0"/>
        <v>4051</v>
      </c>
    </row>
    <row r="8" spans="1:8" s="52" customFormat="1" ht="14.25" thickBot="1" x14ac:dyDescent="0.3">
      <c r="A8" s="31" t="s">
        <v>6</v>
      </c>
      <c r="B8" s="316">
        <v>43468</v>
      </c>
      <c r="C8" s="402">
        <v>1256</v>
      </c>
      <c r="D8" s="406">
        <v>1227</v>
      </c>
      <c r="E8" s="402">
        <v>906</v>
      </c>
      <c r="F8" s="406">
        <v>791</v>
      </c>
      <c r="G8" s="411">
        <f t="shared" si="0"/>
        <v>4180</v>
      </c>
      <c r="H8" s="159"/>
    </row>
    <row r="9" spans="1:8" s="52" customFormat="1" ht="14.25" thickBot="1" x14ac:dyDescent="0.3">
      <c r="A9" s="31" t="s">
        <v>0</v>
      </c>
      <c r="B9" s="316">
        <v>43469</v>
      </c>
      <c r="C9" s="402">
        <v>1252</v>
      </c>
      <c r="D9" s="406">
        <v>919</v>
      </c>
      <c r="E9" s="402">
        <v>870</v>
      </c>
      <c r="F9" s="406">
        <v>695</v>
      </c>
      <c r="G9" s="411">
        <f t="shared" si="0"/>
        <v>3736</v>
      </c>
      <c r="H9" s="159"/>
    </row>
    <row r="10" spans="1:8" s="52" customFormat="1" ht="14.25" outlineLevel="1" thickBot="1" x14ac:dyDescent="0.3">
      <c r="A10" s="31" t="s">
        <v>1</v>
      </c>
      <c r="B10" s="316">
        <v>43470</v>
      </c>
      <c r="C10" s="402"/>
      <c r="D10" s="406">
        <v>213</v>
      </c>
      <c r="E10" s="402"/>
      <c r="F10" s="406">
        <v>327</v>
      </c>
      <c r="G10" s="411">
        <f t="shared" si="0"/>
        <v>540</v>
      </c>
      <c r="H10" s="159"/>
    </row>
    <row r="11" spans="1:8" s="52" customFormat="1" ht="15" customHeight="1" outlineLevel="1" thickBot="1" x14ac:dyDescent="0.3">
      <c r="A11" s="31" t="s">
        <v>2</v>
      </c>
      <c r="B11" s="316">
        <v>43471</v>
      </c>
      <c r="C11" s="402"/>
      <c r="D11" s="406">
        <v>308</v>
      </c>
      <c r="E11" s="402"/>
      <c r="F11" s="406">
        <v>317</v>
      </c>
      <c r="G11" s="411">
        <f t="shared" si="0"/>
        <v>625</v>
      </c>
      <c r="H11" s="159"/>
    </row>
    <row r="12" spans="1:8" s="53" customFormat="1" ht="15" customHeight="1" outlineLevel="1" thickBot="1" x14ac:dyDescent="0.3">
      <c r="A12" s="167" t="s">
        <v>21</v>
      </c>
      <c r="B12" s="521" t="s">
        <v>24</v>
      </c>
      <c r="C12" s="403">
        <f>SUM(C5:C11)</f>
        <v>3653</v>
      </c>
      <c r="D12" s="407">
        <f>SUM(D5:D11)</f>
        <v>4171</v>
      </c>
      <c r="E12" s="403">
        <f>SUM(E5:E11)</f>
        <v>2614</v>
      </c>
      <c r="F12" s="407">
        <f>SUM(F5:F11)</f>
        <v>3303</v>
      </c>
      <c r="G12" s="412">
        <f>SUM(G5:G11)</f>
        <v>13741</v>
      </c>
    </row>
    <row r="13" spans="1:8" s="53" customFormat="1" ht="15" customHeight="1" outlineLevel="1" thickBot="1" x14ac:dyDescent="0.3">
      <c r="A13" s="116" t="s">
        <v>23</v>
      </c>
      <c r="B13" s="522"/>
      <c r="C13" s="403">
        <f>AVERAGE(C5:C11)</f>
        <v>1217.6666666666667</v>
      </c>
      <c r="D13" s="407">
        <f>AVERAGE(D5:D11)</f>
        <v>695.16666666666663</v>
      </c>
      <c r="E13" s="403">
        <f>AVERAGE(E5:E11)</f>
        <v>871.33333333333337</v>
      </c>
      <c r="F13" s="407">
        <f>AVERAGE(F5:F11)</f>
        <v>550.5</v>
      </c>
      <c r="G13" s="412">
        <f>AVERAGE(G5:G11)</f>
        <v>1963</v>
      </c>
    </row>
    <row r="14" spans="1:8" s="53" customFormat="1" ht="15" customHeight="1" thickBot="1" x14ac:dyDescent="0.3">
      <c r="A14" s="32" t="s">
        <v>20</v>
      </c>
      <c r="B14" s="522"/>
      <c r="C14" s="404">
        <f>SUM(C5:C9)</f>
        <v>3653</v>
      </c>
      <c r="D14" s="408">
        <f>SUM(D5:D9)</f>
        <v>3650</v>
      </c>
      <c r="E14" s="404">
        <f>SUM(E5:E9)</f>
        <v>2614</v>
      </c>
      <c r="F14" s="408">
        <f>SUM(F5:F9)</f>
        <v>2659</v>
      </c>
      <c r="G14" s="413">
        <f>SUM(G5:G9)</f>
        <v>12576</v>
      </c>
    </row>
    <row r="15" spans="1:8" s="53" customFormat="1" ht="15" customHeight="1" thickBot="1" x14ac:dyDescent="0.3">
      <c r="A15" s="32" t="s">
        <v>22</v>
      </c>
      <c r="B15" s="522"/>
      <c r="C15" s="404">
        <f>AVERAGE(C5:C9)</f>
        <v>1217.6666666666667</v>
      </c>
      <c r="D15" s="408">
        <f>AVERAGE(D5:D9)</f>
        <v>912.5</v>
      </c>
      <c r="E15" s="404">
        <f>AVERAGE(E5:E9)</f>
        <v>871.33333333333337</v>
      </c>
      <c r="F15" s="408">
        <f>AVERAGE(F5:F9)</f>
        <v>664.75</v>
      </c>
      <c r="G15" s="413">
        <f>AVERAGE(G5:G9)</f>
        <v>2515.1999999999998</v>
      </c>
    </row>
    <row r="16" spans="1:8" s="53" customFormat="1" ht="15" customHeight="1" x14ac:dyDescent="0.25">
      <c r="A16" s="31" t="s">
        <v>3</v>
      </c>
      <c r="B16" s="316">
        <f>B11+1</f>
        <v>43472</v>
      </c>
      <c r="C16" s="340">
        <f>567+594</f>
        <v>1161</v>
      </c>
      <c r="D16" s="409">
        <f>526+601</f>
        <v>1127</v>
      </c>
      <c r="E16" s="340">
        <f>467+422</f>
        <v>889</v>
      </c>
      <c r="F16" s="409">
        <f>612+473</f>
        <v>1085</v>
      </c>
      <c r="G16" s="411">
        <f t="shared" ref="G16:G22" si="1">SUM(C16:F16)</f>
        <v>4262</v>
      </c>
    </row>
    <row r="17" spans="1:8" s="53" customFormat="1" ht="15" customHeight="1" x14ac:dyDescent="0.25">
      <c r="A17" s="31" t="s">
        <v>4</v>
      </c>
      <c r="B17" s="317">
        <f t="shared" ref="B17:B22" si="2">B16+1</f>
        <v>43473</v>
      </c>
      <c r="C17" s="340">
        <f>600+585</f>
        <v>1185</v>
      </c>
      <c r="D17" s="409">
        <f>583+608</f>
        <v>1191</v>
      </c>
      <c r="E17" s="340">
        <f>415+394</f>
        <v>809</v>
      </c>
      <c r="F17" s="409">
        <f>555+456</f>
        <v>1011</v>
      </c>
      <c r="G17" s="411">
        <f t="shared" si="1"/>
        <v>4196</v>
      </c>
    </row>
    <row r="18" spans="1:8" s="53" customFormat="1" ht="15" customHeight="1" x14ac:dyDescent="0.25">
      <c r="A18" s="31" t="s">
        <v>5</v>
      </c>
      <c r="B18" s="317">
        <f t="shared" si="2"/>
        <v>43474</v>
      </c>
      <c r="C18" s="340">
        <f>663+617</f>
        <v>1280</v>
      </c>
      <c r="D18" s="409">
        <f>598+574</f>
        <v>1172</v>
      </c>
      <c r="E18" s="340">
        <f>389+428</f>
        <v>817</v>
      </c>
      <c r="F18" s="409">
        <f>462+453</f>
        <v>915</v>
      </c>
      <c r="G18" s="411">
        <f t="shared" si="1"/>
        <v>4184</v>
      </c>
    </row>
    <row r="19" spans="1:8" s="53" customFormat="1" ht="15" customHeight="1" x14ac:dyDescent="0.25">
      <c r="A19" s="31" t="s">
        <v>6</v>
      </c>
      <c r="B19" s="318">
        <f t="shared" si="2"/>
        <v>43475</v>
      </c>
      <c r="C19" s="340">
        <f>514+569</f>
        <v>1083</v>
      </c>
      <c r="D19" s="409">
        <f>659+586</f>
        <v>1245</v>
      </c>
      <c r="E19" s="340">
        <f>504+419</f>
        <v>923</v>
      </c>
      <c r="F19" s="409">
        <f>427+438</f>
        <v>865</v>
      </c>
      <c r="G19" s="411">
        <f t="shared" si="1"/>
        <v>4116</v>
      </c>
    </row>
    <row r="20" spans="1:8" s="53" customFormat="1" ht="15" customHeight="1" x14ac:dyDescent="0.25">
      <c r="A20" s="31" t="s">
        <v>0</v>
      </c>
      <c r="B20" s="318">
        <f t="shared" si="2"/>
        <v>43476</v>
      </c>
      <c r="C20" s="340">
        <f>534+473</f>
        <v>1007</v>
      </c>
      <c r="D20" s="409">
        <f>371+561</f>
        <v>932</v>
      </c>
      <c r="E20" s="340">
        <f>248+360</f>
        <v>608</v>
      </c>
      <c r="F20" s="409">
        <f>523+410</f>
        <v>933</v>
      </c>
      <c r="G20" s="411">
        <f t="shared" si="1"/>
        <v>3480</v>
      </c>
    </row>
    <row r="21" spans="1:8" s="53" customFormat="1" ht="15" customHeight="1" outlineLevel="1" x14ac:dyDescent="0.25">
      <c r="A21" s="31" t="s">
        <v>1</v>
      </c>
      <c r="B21" s="311">
        <f t="shared" si="2"/>
        <v>43477</v>
      </c>
      <c r="C21" s="340"/>
      <c r="D21" s="409">
        <f>172+187</f>
        <v>359</v>
      </c>
      <c r="E21" s="340"/>
      <c r="F21" s="409">
        <f>165+179</f>
        <v>344</v>
      </c>
      <c r="G21" s="411">
        <f t="shared" si="1"/>
        <v>703</v>
      </c>
      <c r="H21" s="162"/>
    </row>
    <row r="22" spans="1:8" s="53" customFormat="1" ht="15" customHeight="1" outlineLevel="1" thickBot="1" x14ac:dyDescent="0.3">
      <c r="A22" s="31" t="s">
        <v>2</v>
      </c>
      <c r="B22" s="317">
        <f t="shared" si="2"/>
        <v>43478</v>
      </c>
      <c r="C22" s="340"/>
      <c r="D22" s="409">
        <f>156+107</f>
        <v>263</v>
      </c>
      <c r="E22" s="340"/>
      <c r="F22" s="409">
        <f>175+120</f>
        <v>295</v>
      </c>
      <c r="G22" s="411">
        <f t="shared" si="1"/>
        <v>558</v>
      </c>
    </row>
    <row r="23" spans="1:8" s="53" customFormat="1" ht="15" customHeight="1" outlineLevel="1" thickBot="1" x14ac:dyDescent="0.3">
      <c r="A23" s="167" t="s">
        <v>21</v>
      </c>
      <c r="B23" s="521" t="s">
        <v>25</v>
      </c>
      <c r="C23" s="403">
        <f>SUM(C16:C22)</f>
        <v>5716</v>
      </c>
      <c r="D23" s="407">
        <f>SUM(D16:D22)</f>
        <v>6289</v>
      </c>
      <c r="E23" s="403">
        <f>SUM(E16:E22)</f>
        <v>4046</v>
      </c>
      <c r="F23" s="407">
        <f>SUM(F16:F22)</f>
        <v>5448</v>
      </c>
      <c r="G23" s="412">
        <f>SUM(G16:G22)</f>
        <v>21499</v>
      </c>
    </row>
    <row r="24" spans="1:8" s="53" customFormat="1" ht="15" customHeight="1" outlineLevel="1" thickBot="1" x14ac:dyDescent="0.3">
      <c r="A24" s="116" t="s">
        <v>23</v>
      </c>
      <c r="B24" s="522"/>
      <c r="C24" s="403">
        <f>AVERAGE(C16:C22)</f>
        <v>1143.2</v>
      </c>
      <c r="D24" s="407">
        <f>AVERAGE(D16:D22)</f>
        <v>898.42857142857144</v>
      </c>
      <c r="E24" s="403">
        <f>AVERAGE(E16:E22)</f>
        <v>809.2</v>
      </c>
      <c r="F24" s="407">
        <f>AVERAGE(F16:F22)</f>
        <v>778.28571428571433</v>
      </c>
      <c r="G24" s="412">
        <f>AVERAGE(G16:G22)</f>
        <v>3071.2857142857142</v>
      </c>
    </row>
    <row r="25" spans="1:8" s="53" customFormat="1" ht="15" customHeight="1" thickBot="1" x14ac:dyDescent="0.3">
      <c r="A25" s="32" t="s">
        <v>20</v>
      </c>
      <c r="B25" s="522"/>
      <c r="C25" s="404">
        <f>SUM(C16:C20)</f>
        <v>5716</v>
      </c>
      <c r="D25" s="408">
        <f>SUM(D16:D20)</f>
        <v>5667</v>
      </c>
      <c r="E25" s="404">
        <f>SUM(E16:E20)</f>
        <v>4046</v>
      </c>
      <c r="F25" s="408">
        <f>SUM(F16:F20)</f>
        <v>4809</v>
      </c>
      <c r="G25" s="413">
        <f>SUM(G16:G20)</f>
        <v>20238</v>
      </c>
    </row>
    <row r="26" spans="1:8" s="53" customFormat="1" ht="15" customHeight="1" thickBot="1" x14ac:dyDescent="0.3">
      <c r="A26" s="32" t="s">
        <v>22</v>
      </c>
      <c r="B26" s="523"/>
      <c r="C26" s="404">
        <f>AVERAGE(C16:C20)</f>
        <v>1143.2</v>
      </c>
      <c r="D26" s="408">
        <f>AVERAGE(D16:D20)</f>
        <v>1133.4000000000001</v>
      </c>
      <c r="E26" s="404">
        <f>AVERAGE(E16:E20)</f>
        <v>809.2</v>
      </c>
      <c r="F26" s="408">
        <f>AVERAGE(F16:F20)</f>
        <v>961.8</v>
      </c>
      <c r="G26" s="413">
        <f>AVERAGE(G16:G20)</f>
        <v>4047.6</v>
      </c>
    </row>
    <row r="27" spans="1:8" s="53" customFormat="1" ht="15" customHeight="1" x14ac:dyDescent="0.25">
      <c r="A27" s="31" t="s">
        <v>3</v>
      </c>
      <c r="B27" s="319">
        <f>B22+1</f>
        <v>43479</v>
      </c>
      <c r="C27" s="340">
        <f>614+554</f>
        <v>1168</v>
      </c>
      <c r="D27" s="409">
        <f>642+522</f>
        <v>1164</v>
      </c>
      <c r="E27" s="340">
        <f>399+393</f>
        <v>792</v>
      </c>
      <c r="F27" s="409">
        <f>455+417</f>
        <v>872</v>
      </c>
      <c r="G27" s="411">
        <f>SUM(C27:F27)</f>
        <v>3996</v>
      </c>
    </row>
    <row r="28" spans="1:8" s="53" customFormat="1" ht="15" customHeight="1" x14ac:dyDescent="0.25">
      <c r="A28" s="31" t="s">
        <v>4</v>
      </c>
      <c r="B28" s="305">
        <f t="shared" ref="B28:B33" si="3">B27+1</f>
        <v>43480</v>
      </c>
      <c r="C28" s="340">
        <f>601+620</f>
        <v>1221</v>
      </c>
      <c r="D28" s="409">
        <f>627+541</f>
        <v>1168</v>
      </c>
      <c r="E28" s="340">
        <f>433+435</f>
        <v>868</v>
      </c>
      <c r="F28" s="409">
        <f>507+440</f>
        <v>947</v>
      </c>
      <c r="G28" s="411">
        <f t="shared" ref="G28:G33" si="4">SUM(C28:F28)</f>
        <v>4204</v>
      </c>
    </row>
    <row r="29" spans="1:8" s="53" customFormat="1" ht="15" customHeight="1" x14ac:dyDescent="0.25">
      <c r="A29" s="31" t="s">
        <v>5</v>
      </c>
      <c r="B29" s="305">
        <f t="shared" si="3"/>
        <v>43481</v>
      </c>
      <c r="C29" s="340">
        <f>657+610</f>
        <v>1267</v>
      </c>
      <c r="D29" s="409">
        <f>475+552</f>
        <v>1027</v>
      </c>
      <c r="E29" s="340">
        <f>437+430</f>
        <v>867</v>
      </c>
      <c r="F29" s="409">
        <f>590+429</f>
        <v>1019</v>
      </c>
      <c r="G29" s="411">
        <f t="shared" si="4"/>
        <v>4180</v>
      </c>
    </row>
    <row r="30" spans="1:8" s="53" customFormat="1" ht="15" customHeight="1" x14ac:dyDescent="0.25">
      <c r="A30" s="31" t="s">
        <v>6</v>
      </c>
      <c r="B30" s="305">
        <f t="shared" si="3"/>
        <v>43482</v>
      </c>
      <c r="C30" s="402">
        <v>1262</v>
      </c>
      <c r="D30" s="409">
        <f>616+594</f>
        <v>1210</v>
      </c>
      <c r="E30" s="402">
        <v>838</v>
      </c>
      <c r="F30" s="409">
        <f>461+427</f>
        <v>888</v>
      </c>
      <c r="G30" s="411">
        <f t="shared" si="4"/>
        <v>4198</v>
      </c>
    </row>
    <row r="31" spans="1:8" s="53" customFormat="1" ht="15" customHeight="1" x14ac:dyDescent="0.25">
      <c r="A31" s="31" t="s">
        <v>0</v>
      </c>
      <c r="B31" s="305">
        <f t="shared" si="3"/>
        <v>43483</v>
      </c>
      <c r="C31" s="402">
        <v>933</v>
      </c>
      <c r="D31" s="409">
        <f>451+462</f>
        <v>913</v>
      </c>
      <c r="E31" s="402">
        <v>680</v>
      </c>
      <c r="F31" s="409">
        <f>285+375</f>
        <v>660</v>
      </c>
      <c r="G31" s="411">
        <f t="shared" si="4"/>
        <v>3186</v>
      </c>
    </row>
    <row r="32" spans="1:8" s="53" customFormat="1" ht="15" customHeight="1" outlineLevel="1" x14ac:dyDescent="0.25">
      <c r="A32" s="31" t="s">
        <v>1</v>
      </c>
      <c r="B32" s="305">
        <f t="shared" si="3"/>
        <v>43484</v>
      </c>
      <c r="C32" s="402"/>
      <c r="D32" s="409">
        <f>179+152</f>
        <v>331</v>
      </c>
      <c r="E32" s="402"/>
      <c r="F32" s="409">
        <f>164+176</f>
        <v>340</v>
      </c>
      <c r="G32" s="411">
        <f t="shared" si="4"/>
        <v>671</v>
      </c>
    </row>
    <row r="33" spans="1:8" s="53" customFormat="1" ht="15" customHeight="1" outlineLevel="1" thickBot="1" x14ac:dyDescent="0.3">
      <c r="A33" s="31" t="s">
        <v>2</v>
      </c>
      <c r="B33" s="305">
        <f t="shared" si="3"/>
        <v>43485</v>
      </c>
      <c r="C33" s="402"/>
      <c r="D33" s="409">
        <f>106+88</f>
        <v>194</v>
      </c>
      <c r="E33" s="402"/>
      <c r="F33" s="409">
        <f>113+141</f>
        <v>254</v>
      </c>
      <c r="G33" s="411">
        <f t="shared" si="4"/>
        <v>448</v>
      </c>
      <c r="H33" s="162"/>
    </row>
    <row r="34" spans="1:8" s="53" customFormat="1" ht="15" customHeight="1" outlineLevel="1" thickBot="1" x14ac:dyDescent="0.3">
      <c r="A34" s="167" t="s">
        <v>21</v>
      </c>
      <c r="B34" s="521" t="s">
        <v>26</v>
      </c>
      <c r="C34" s="403">
        <f>SUM(C27:C33)</f>
        <v>5851</v>
      </c>
      <c r="D34" s="407">
        <f>SUM(D27:D33)</f>
        <v>6007</v>
      </c>
      <c r="E34" s="403">
        <f>SUM(E27:E33)</f>
        <v>4045</v>
      </c>
      <c r="F34" s="407">
        <f>SUM(F27:F33)</f>
        <v>4980</v>
      </c>
      <c r="G34" s="412">
        <f>SUM(G27:G33)</f>
        <v>20883</v>
      </c>
    </row>
    <row r="35" spans="1:8" s="53" customFormat="1" ht="15" customHeight="1" outlineLevel="1" thickBot="1" x14ac:dyDescent="0.3">
      <c r="A35" s="116" t="s">
        <v>23</v>
      </c>
      <c r="B35" s="522"/>
      <c r="C35" s="403">
        <f>AVERAGE(C27:C33)</f>
        <v>1170.2</v>
      </c>
      <c r="D35" s="407">
        <f>AVERAGE(D27:D33)</f>
        <v>858.14285714285711</v>
      </c>
      <c r="E35" s="403">
        <f>AVERAGE(E27:E33)</f>
        <v>809</v>
      </c>
      <c r="F35" s="407">
        <f>AVERAGE(F27:F33)</f>
        <v>711.42857142857144</v>
      </c>
      <c r="G35" s="412">
        <f>AVERAGE(G27:G33)</f>
        <v>2983.2857142857142</v>
      </c>
    </row>
    <row r="36" spans="1:8" s="53" customFormat="1" ht="15" customHeight="1" thickBot="1" x14ac:dyDescent="0.3">
      <c r="A36" s="32" t="s">
        <v>20</v>
      </c>
      <c r="B36" s="522"/>
      <c r="C36" s="404">
        <f>SUM(C27:C31)</f>
        <v>5851</v>
      </c>
      <c r="D36" s="408">
        <f>SUM(D27:D31)</f>
        <v>5482</v>
      </c>
      <c r="E36" s="404">
        <f>SUM(E27:E31)</f>
        <v>4045</v>
      </c>
      <c r="F36" s="408">
        <f>SUM(F27:F31)</f>
        <v>4386</v>
      </c>
      <c r="G36" s="413">
        <f>SUM(G27:G31)</f>
        <v>19764</v>
      </c>
    </row>
    <row r="37" spans="1:8" s="53" customFormat="1" ht="15" customHeight="1" thickBot="1" x14ac:dyDescent="0.3">
      <c r="A37" s="32" t="s">
        <v>22</v>
      </c>
      <c r="B37" s="523"/>
      <c r="C37" s="404">
        <f>AVERAGE(C27:C31)</f>
        <v>1170.2</v>
      </c>
      <c r="D37" s="408">
        <f>AVERAGE(D27:D31)</f>
        <v>1096.4000000000001</v>
      </c>
      <c r="E37" s="404">
        <f>AVERAGE(E27:E31)</f>
        <v>809</v>
      </c>
      <c r="F37" s="408">
        <f>AVERAGE(F27:F31)</f>
        <v>877.2</v>
      </c>
      <c r="G37" s="413">
        <f>AVERAGE(G27:G31)</f>
        <v>3952.8</v>
      </c>
    </row>
    <row r="38" spans="1:8" s="53" customFormat="1" ht="15" customHeight="1" x14ac:dyDescent="0.25">
      <c r="A38" s="31" t="s">
        <v>3</v>
      </c>
      <c r="B38" s="320">
        <f>B33+1</f>
        <v>43486</v>
      </c>
      <c r="C38" s="402"/>
      <c r="D38" s="409">
        <f>115+97</f>
        <v>212</v>
      </c>
      <c r="E38" s="402"/>
      <c r="F38" s="409">
        <f>55+71</f>
        <v>126</v>
      </c>
      <c r="G38" s="411">
        <f>SUM(C38:F38)</f>
        <v>338</v>
      </c>
      <c r="H38" s="162"/>
    </row>
    <row r="39" spans="1:8" s="53" customFormat="1" ht="15" customHeight="1" x14ac:dyDescent="0.25">
      <c r="A39" s="31" t="s">
        <v>4</v>
      </c>
      <c r="B39" s="321">
        <f t="shared" ref="B39:B44" si="5">B38+1</f>
        <v>43487</v>
      </c>
      <c r="C39" s="402">
        <v>1020</v>
      </c>
      <c r="D39" s="409">
        <f>711+627</f>
        <v>1338</v>
      </c>
      <c r="E39" s="402">
        <v>726</v>
      </c>
      <c r="F39" s="409">
        <f>433+447</f>
        <v>880</v>
      </c>
      <c r="G39" s="411">
        <f t="shared" ref="G39:G44" si="6">SUM(C39:F39)</f>
        <v>3964</v>
      </c>
      <c r="H39" s="162"/>
    </row>
    <row r="40" spans="1:8" s="53" customFormat="1" ht="15" customHeight="1" x14ac:dyDescent="0.25">
      <c r="A40" s="31" t="s">
        <v>5</v>
      </c>
      <c r="B40" s="321">
        <f t="shared" si="5"/>
        <v>43488</v>
      </c>
      <c r="C40" s="402">
        <v>1195</v>
      </c>
      <c r="D40" s="409">
        <f>598+590</f>
        <v>1188</v>
      </c>
      <c r="E40" s="402">
        <v>842</v>
      </c>
      <c r="F40" s="409">
        <f>523+474</f>
        <v>997</v>
      </c>
      <c r="G40" s="411">
        <f>SUM(C40:F40)</f>
        <v>4222</v>
      </c>
      <c r="H40" s="162"/>
    </row>
    <row r="41" spans="1:8" s="53" customFormat="1" ht="15" customHeight="1" x14ac:dyDescent="0.25">
      <c r="A41" s="31" t="s">
        <v>6</v>
      </c>
      <c r="B41" s="321">
        <f t="shared" si="5"/>
        <v>43489</v>
      </c>
      <c r="C41" s="402">
        <v>1142</v>
      </c>
      <c r="D41" s="409">
        <f>566+536</f>
        <v>1102</v>
      </c>
      <c r="E41" s="340">
        <f>376+367</f>
        <v>743</v>
      </c>
      <c r="F41" s="409">
        <f>466+398</f>
        <v>864</v>
      </c>
      <c r="G41" s="411">
        <f t="shared" si="6"/>
        <v>3851</v>
      </c>
      <c r="H41" s="162"/>
    </row>
    <row r="42" spans="1:8" s="53" customFormat="1" ht="15" customHeight="1" x14ac:dyDescent="0.25">
      <c r="A42" s="31" t="s">
        <v>0</v>
      </c>
      <c r="B42" s="321">
        <f t="shared" si="5"/>
        <v>43490</v>
      </c>
      <c r="C42" s="402">
        <v>1030</v>
      </c>
      <c r="D42" s="409">
        <f>379+509</f>
        <v>888</v>
      </c>
      <c r="E42" s="340">
        <f>297+398</f>
        <v>695</v>
      </c>
      <c r="F42" s="409">
        <f>549+376</f>
        <v>925</v>
      </c>
      <c r="G42" s="411">
        <f t="shared" si="6"/>
        <v>3538</v>
      </c>
      <c r="H42" s="162"/>
    </row>
    <row r="43" spans="1:8" s="53" customFormat="1" ht="15" customHeight="1" outlineLevel="1" x14ac:dyDescent="0.25">
      <c r="A43" s="31" t="s">
        <v>1</v>
      </c>
      <c r="B43" s="321">
        <f t="shared" si="5"/>
        <v>43491</v>
      </c>
      <c r="C43" s="402"/>
      <c r="D43" s="409">
        <f>158+175</f>
        <v>333</v>
      </c>
      <c r="E43" s="402"/>
      <c r="F43" s="409">
        <f>250+214</f>
        <v>464</v>
      </c>
      <c r="G43" s="411">
        <f t="shared" si="6"/>
        <v>797</v>
      </c>
      <c r="H43" s="162"/>
    </row>
    <row r="44" spans="1:8" s="53" customFormat="1" ht="15" customHeight="1" outlineLevel="1" thickBot="1" x14ac:dyDescent="0.3">
      <c r="A44" s="31" t="s">
        <v>2</v>
      </c>
      <c r="B44" s="321">
        <f t="shared" si="5"/>
        <v>43492</v>
      </c>
      <c r="C44" s="402"/>
      <c r="D44" s="409">
        <f>180+106</f>
        <v>286</v>
      </c>
      <c r="E44" s="402"/>
      <c r="F44" s="409">
        <f>185+152</f>
        <v>337</v>
      </c>
      <c r="G44" s="411">
        <f t="shared" si="6"/>
        <v>623</v>
      </c>
      <c r="H44" s="162"/>
    </row>
    <row r="45" spans="1:8" s="53" customFormat="1" ht="15" customHeight="1" outlineLevel="1" thickBot="1" x14ac:dyDescent="0.3">
      <c r="A45" s="167" t="s">
        <v>21</v>
      </c>
      <c r="B45" s="521" t="s">
        <v>27</v>
      </c>
      <c r="C45" s="403">
        <f>SUM(C38:C44)</f>
        <v>4387</v>
      </c>
      <c r="D45" s="407">
        <f>SUM(D38:D44)</f>
        <v>5347</v>
      </c>
      <c r="E45" s="403">
        <f>SUM(E38:E44)</f>
        <v>3006</v>
      </c>
      <c r="F45" s="407">
        <f>SUM(F38:F44)</f>
        <v>4593</v>
      </c>
      <c r="G45" s="412">
        <f>SUM(G38:G44)</f>
        <v>17333</v>
      </c>
    </row>
    <row r="46" spans="1:8" s="53" customFormat="1" ht="15" customHeight="1" outlineLevel="1" thickBot="1" x14ac:dyDescent="0.3">
      <c r="A46" s="116" t="s">
        <v>23</v>
      </c>
      <c r="B46" s="522"/>
      <c r="C46" s="403">
        <f>AVERAGE(C38:C44)</f>
        <v>1096.75</v>
      </c>
      <c r="D46" s="407">
        <f>AVERAGE(D38:D44)</f>
        <v>763.85714285714289</v>
      </c>
      <c r="E46" s="403">
        <f>AVERAGE(E38:E44)</f>
        <v>751.5</v>
      </c>
      <c r="F46" s="407">
        <f>AVERAGE(F38:F44)</f>
        <v>656.14285714285711</v>
      </c>
      <c r="G46" s="412">
        <f>AVERAGE(G38:G44)</f>
        <v>2476.1428571428573</v>
      </c>
    </row>
    <row r="47" spans="1:8" s="53" customFormat="1" ht="15" customHeight="1" thickBot="1" x14ac:dyDescent="0.3">
      <c r="A47" s="32" t="s">
        <v>20</v>
      </c>
      <c r="B47" s="522"/>
      <c r="C47" s="404">
        <f>SUM(C38:C42)</f>
        <v>4387</v>
      </c>
      <c r="D47" s="408">
        <f>SUM(D38:D42)</f>
        <v>4728</v>
      </c>
      <c r="E47" s="404">
        <f>SUM(E38:E42)</f>
        <v>3006</v>
      </c>
      <c r="F47" s="408">
        <f>SUM(F38:F42)</f>
        <v>3792</v>
      </c>
      <c r="G47" s="413">
        <f>SUM(G38:G42)</f>
        <v>15913</v>
      </c>
    </row>
    <row r="48" spans="1:8" s="53" customFormat="1" ht="15" customHeight="1" thickBot="1" x14ac:dyDescent="0.3">
      <c r="A48" s="32" t="s">
        <v>22</v>
      </c>
      <c r="B48" s="523"/>
      <c r="C48" s="404">
        <f>AVERAGE(C38:C42)</f>
        <v>1096.75</v>
      </c>
      <c r="D48" s="408">
        <f>AVERAGE(D38:D42)</f>
        <v>945.6</v>
      </c>
      <c r="E48" s="404">
        <f>AVERAGE(E38:E42)</f>
        <v>751.5</v>
      </c>
      <c r="F48" s="408">
        <f>AVERAGE(F38:F42)</f>
        <v>758.4</v>
      </c>
      <c r="G48" s="413">
        <f>AVERAGE(G38:G42)</f>
        <v>3182.6</v>
      </c>
    </row>
    <row r="49" spans="1:8" s="53" customFormat="1" ht="15" customHeight="1" x14ac:dyDescent="0.25">
      <c r="A49" s="31" t="s">
        <v>3</v>
      </c>
      <c r="B49" s="320">
        <f>B44+1</f>
        <v>43493</v>
      </c>
      <c r="C49" s="340">
        <f>584+595</f>
        <v>1179</v>
      </c>
      <c r="D49" s="409">
        <f>510+519</f>
        <v>1029</v>
      </c>
      <c r="E49" s="340">
        <f>431+403</f>
        <v>834</v>
      </c>
      <c r="F49" s="409">
        <f>596+418</f>
        <v>1014</v>
      </c>
      <c r="G49" s="411">
        <f t="shared" ref="G49:G55" si="7">SUM(C49:F49)</f>
        <v>4056</v>
      </c>
      <c r="H49" s="162"/>
    </row>
    <row r="50" spans="1:8" s="53" customFormat="1" ht="15" customHeight="1" x14ac:dyDescent="0.25">
      <c r="A50" s="158" t="s">
        <v>4</v>
      </c>
      <c r="B50" s="321">
        <f t="shared" ref="B50:B55" si="8">B49+1</f>
        <v>43494</v>
      </c>
      <c r="C50" s="340">
        <f>591+671</f>
        <v>1262</v>
      </c>
      <c r="D50" s="409">
        <f>679+526</f>
        <v>1205</v>
      </c>
      <c r="E50" s="340">
        <f>47+416</f>
        <v>463</v>
      </c>
      <c r="F50" s="409">
        <f>411+404</f>
        <v>815</v>
      </c>
      <c r="G50" s="411">
        <f t="shared" si="7"/>
        <v>3745</v>
      </c>
      <c r="H50" s="162"/>
    </row>
    <row r="51" spans="1:8" s="53" customFormat="1" ht="15" customHeight="1" x14ac:dyDescent="0.25">
      <c r="A51" s="158" t="s">
        <v>5</v>
      </c>
      <c r="B51" s="321">
        <f t="shared" si="8"/>
        <v>43495</v>
      </c>
      <c r="C51" s="340">
        <f>537+489</f>
        <v>1026</v>
      </c>
      <c r="D51" s="409">
        <f>359+570</f>
        <v>929</v>
      </c>
      <c r="E51" s="340">
        <f>378+313</f>
        <v>691</v>
      </c>
      <c r="F51" s="409">
        <f>642+380</f>
        <v>1022</v>
      </c>
      <c r="G51" s="411">
        <f t="shared" si="7"/>
        <v>3668</v>
      </c>
      <c r="H51" s="162"/>
    </row>
    <row r="52" spans="1:8" s="53" customFormat="1" ht="14.25" thickBot="1" x14ac:dyDescent="0.3">
      <c r="A52" s="158" t="s">
        <v>6</v>
      </c>
      <c r="B52" s="321">
        <f t="shared" si="8"/>
        <v>43496</v>
      </c>
      <c r="C52" s="402">
        <v>871</v>
      </c>
      <c r="D52" s="406">
        <v>864</v>
      </c>
      <c r="E52" s="402">
        <v>571</v>
      </c>
      <c r="F52" s="406">
        <v>883</v>
      </c>
      <c r="G52" s="411">
        <f t="shared" si="7"/>
        <v>3189</v>
      </c>
      <c r="H52" s="162"/>
    </row>
    <row r="53" spans="1:8" s="53" customFormat="1" ht="14.25" hidden="1" thickBot="1" x14ac:dyDescent="0.3">
      <c r="A53" s="31" t="s">
        <v>0</v>
      </c>
      <c r="B53" s="322">
        <f t="shared" si="8"/>
        <v>43497</v>
      </c>
      <c r="C53" s="402"/>
      <c r="D53" s="406"/>
      <c r="E53" s="402"/>
      <c r="F53" s="406"/>
      <c r="G53" s="411">
        <f t="shared" si="7"/>
        <v>0</v>
      </c>
      <c r="H53" s="162"/>
    </row>
    <row r="54" spans="1:8" s="53" customFormat="1" ht="14.25" hidden="1" outlineLevel="1" thickBot="1" x14ac:dyDescent="0.3">
      <c r="A54" s="31" t="s">
        <v>1</v>
      </c>
      <c r="B54" s="322">
        <f t="shared" si="8"/>
        <v>43498</v>
      </c>
      <c r="C54" s="402"/>
      <c r="D54" s="406"/>
      <c r="E54" s="402"/>
      <c r="F54" s="406"/>
      <c r="G54" s="411">
        <f t="shared" si="7"/>
        <v>0</v>
      </c>
      <c r="H54" s="162"/>
    </row>
    <row r="55" spans="1:8" s="53" customFormat="1" ht="14.25" hidden="1" outlineLevel="1" thickBot="1" x14ac:dyDescent="0.3">
      <c r="A55" s="158" t="s">
        <v>2</v>
      </c>
      <c r="B55" s="322">
        <f t="shared" si="8"/>
        <v>43499</v>
      </c>
      <c r="C55" s="402"/>
      <c r="D55" s="406"/>
      <c r="E55" s="402"/>
      <c r="F55" s="406"/>
      <c r="G55" s="411">
        <f t="shared" si="7"/>
        <v>0</v>
      </c>
    </row>
    <row r="56" spans="1:8" s="53" customFormat="1" ht="15" customHeight="1" outlineLevel="1" thickBot="1" x14ac:dyDescent="0.3">
      <c r="A56" s="167" t="s">
        <v>21</v>
      </c>
      <c r="B56" s="521" t="s">
        <v>28</v>
      </c>
      <c r="C56" s="403">
        <f>SUM(C49:C55)</f>
        <v>4338</v>
      </c>
      <c r="D56" s="407">
        <f>SUM(D49:D55)</f>
        <v>4027</v>
      </c>
      <c r="E56" s="403">
        <f>SUM(E49:E55)</f>
        <v>2559</v>
      </c>
      <c r="F56" s="407">
        <f>SUM(F49:F55)</f>
        <v>3734</v>
      </c>
      <c r="G56" s="412">
        <f>SUM(G49:G55)</f>
        <v>14658</v>
      </c>
    </row>
    <row r="57" spans="1:8" s="53" customFormat="1" ht="15" customHeight="1" outlineLevel="1" thickBot="1" x14ac:dyDescent="0.3">
      <c r="A57" s="116" t="s">
        <v>23</v>
      </c>
      <c r="B57" s="522"/>
      <c r="C57" s="403">
        <f>AVERAGE(C49:C55)</f>
        <v>1084.5</v>
      </c>
      <c r="D57" s="407">
        <f>AVERAGE(D49:D55)</f>
        <v>1006.75</v>
      </c>
      <c r="E57" s="403">
        <f>AVERAGE(E49:E55)</f>
        <v>639.75</v>
      </c>
      <c r="F57" s="407">
        <f>AVERAGE(F49:F55)</f>
        <v>933.5</v>
      </c>
      <c r="G57" s="412">
        <f>AVERAGE(G49:G55)</f>
        <v>2094</v>
      </c>
    </row>
    <row r="58" spans="1:8" s="53" customFormat="1" ht="15" customHeight="1" thickBot="1" x14ac:dyDescent="0.3">
      <c r="A58" s="32" t="s">
        <v>20</v>
      </c>
      <c r="B58" s="522"/>
      <c r="C58" s="404">
        <f>SUM(C49:C53)</f>
        <v>4338</v>
      </c>
      <c r="D58" s="408">
        <f>SUM(D49:D53)</f>
        <v>4027</v>
      </c>
      <c r="E58" s="404">
        <f>SUM(E49:E53)</f>
        <v>2559</v>
      </c>
      <c r="F58" s="408">
        <f>SUM(F49:F53)</f>
        <v>3734</v>
      </c>
      <c r="G58" s="413">
        <f>SUM(G49:G53)</f>
        <v>14658</v>
      </c>
    </row>
    <row r="59" spans="1:8" s="53" customFormat="1" ht="14.25" thickBot="1" x14ac:dyDescent="0.3">
      <c r="A59" s="32" t="s">
        <v>22</v>
      </c>
      <c r="B59" s="523"/>
      <c r="C59" s="339">
        <f>AVERAGE(C49:C53)</f>
        <v>1084.5</v>
      </c>
      <c r="D59" s="410">
        <f>AVERAGE(D49:D53)</f>
        <v>1006.75</v>
      </c>
      <c r="E59" s="339">
        <f>AVERAGE(E49:E53)</f>
        <v>639.75</v>
      </c>
      <c r="F59" s="410">
        <f>AVERAGE(F49:F53)</f>
        <v>933.5</v>
      </c>
      <c r="G59" s="414">
        <f>AVERAGE(G49:G53)</f>
        <v>2931.6</v>
      </c>
    </row>
    <row r="60" spans="1:8" s="53" customFormat="1" ht="13.5" hidden="1" x14ac:dyDescent="0.25">
      <c r="A60" s="158" t="s">
        <v>3</v>
      </c>
      <c r="B60" s="185">
        <f>B55+1</f>
        <v>43500</v>
      </c>
      <c r="C60" s="12"/>
      <c r="D60" s="69"/>
      <c r="E60" s="12"/>
      <c r="F60" s="13"/>
      <c r="G60" s="16">
        <f>SUM(C60:F60)</f>
        <v>0</v>
      </c>
    </row>
    <row r="61" spans="1:8" s="53" customFormat="1" ht="13.5" hidden="1" x14ac:dyDescent="0.25">
      <c r="A61" s="158" t="s">
        <v>4</v>
      </c>
      <c r="B61" s="186">
        <f t="shared" ref="B61:B66" si="9">B60+1</f>
        <v>43501</v>
      </c>
      <c r="C61" s="12"/>
      <c r="D61" s="69"/>
      <c r="E61" s="19"/>
      <c r="F61" s="20"/>
      <c r="G61" s="18">
        <f>SUM(C61:F61)</f>
        <v>0</v>
      </c>
    </row>
    <row r="62" spans="1:8" s="53" customFormat="1" ht="13.5" hidden="1" x14ac:dyDescent="0.25">
      <c r="A62" s="158"/>
      <c r="B62" s="186">
        <f t="shared" si="9"/>
        <v>43502</v>
      </c>
      <c r="C62" s="12"/>
      <c r="D62" s="69"/>
      <c r="E62" s="19"/>
      <c r="F62" s="20"/>
      <c r="G62" s="18"/>
    </row>
    <row r="63" spans="1:8" s="53" customFormat="1" ht="13.5" hidden="1" x14ac:dyDescent="0.25">
      <c r="A63" s="158"/>
      <c r="B63" s="186">
        <f t="shared" si="9"/>
        <v>43503</v>
      </c>
      <c r="C63" s="12"/>
      <c r="D63" s="69"/>
      <c r="E63" s="19"/>
      <c r="F63" s="20"/>
      <c r="G63" s="18"/>
    </row>
    <row r="64" spans="1:8" s="53" customFormat="1" ht="13.5" hidden="1" x14ac:dyDescent="0.25">
      <c r="A64" s="31"/>
      <c r="B64" s="186">
        <f t="shared" si="9"/>
        <v>43504</v>
      </c>
      <c r="C64" s="12"/>
      <c r="D64" s="69"/>
      <c r="E64" s="19"/>
      <c r="F64" s="20"/>
      <c r="G64" s="18"/>
    </row>
    <row r="65" spans="1:7" s="53" customFormat="1" ht="13.5" hidden="1" outlineLevel="1" x14ac:dyDescent="0.25">
      <c r="A65" s="31"/>
      <c r="B65" s="186">
        <f t="shared" si="9"/>
        <v>43505</v>
      </c>
      <c r="C65" s="19"/>
      <c r="D65" s="70"/>
      <c r="E65" s="19"/>
      <c r="F65" s="20"/>
      <c r="G65" s="18"/>
    </row>
    <row r="66" spans="1:7" s="53" customFormat="1" ht="13.5" hidden="1" outlineLevel="1" x14ac:dyDescent="0.25">
      <c r="A66" s="31"/>
      <c r="B66" s="186">
        <f t="shared" si="9"/>
        <v>43506</v>
      </c>
      <c r="C66" s="24"/>
      <c r="D66" s="71"/>
      <c r="E66" s="24"/>
      <c r="F66" s="25"/>
      <c r="G66" s="72"/>
    </row>
    <row r="67" spans="1:7" s="53" customFormat="1" ht="14.25" hidden="1" outlineLevel="1" thickBot="1" x14ac:dyDescent="0.3">
      <c r="A67" s="167" t="s">
        <v>21</v>
      </c>
      <c r="B67" s="524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  <c r="F67" s="121">
        <f>SUM(F60:F66)</f>
        <v>0</v>
      </c>
      <c r="G67" s="121">
        <f>SUM(G60:G66)</f>
        <v>0</v>
      </c>
    </row>
    <row r="68" spans="1:7" s="53" customFormat="1" ht="14.25" hidden="1" outlineLevel="1" thickBot="1" x14ac:dyDescent="0.3">
      <c r="A68" s="116" t="s">
        <v>23</v>
      </c>
      <c r="B68" s="525"/>
      <c r="C68" s="117" t="e">
        <f>AVERAGE(C60:C66)</f>
        <v>#DIV/0!</v>
      </c>
      <c r="D68" s="117" t="e">
        <f>AVERAGE(D60:D66)</f>
        <v>#DIV/0!</v>
      </c>
      <c r="E68" s="117" t="e">
        <f>AVERAGE(E60:E66)</f>
        <v>#DIV/0!</v>
      </c>
      <c r="F68" s="117" t="e">
        <f>AVERAGE(F60:F66)</f>
        <v>#DIV/0!</v>
      </c>
      <c r="G68" s="117">
        <f>AVERAGE(G60:G66)</f>
        <v>0</v>
      </c>
    </row>
    <row r="69" spans="1:7" s="53" customFormat="1" ht="14.25" hidden="1" thickBot="1" x14ac:dyDescent="0.3">
      <c r="A69" s="32" t="s">
        <v>20</v>
      </c>
      <c r="B69" s="525"/>
      <c r="C69" s="33">
        <f>SUM(C60:C64)</f>
        <v>0</v>
      </c>
      <c r="D69" s="33">
        <f>SUM(D60:D64)</f>
        <v>0</v>
      </c>
      <c r="E69" s="33">
        <f>SUM(E60:E64)</f>
        <v>0</v>
      </c>
      <c r="F69" s="33">
        <f>SUM(F60:F64)</f>
        <v>0</v>
      </c>
      <c r="G69" s="33">
        <f>SUM(G60:G64)</f>
        <v>0</v>
      </c>
    </row>
    <row r="70" spans="1:7" s="53" customFormat="1" ht="14.25" hidden="1" thickBot="1" x14ac:dyDescent="0.3">
      <c r="A70" s="32" t="s">
        <v>22</v>
      </c>
      <c r="B70" s="526"/>
      <c r="C70" s="37" t="e">
        <f>AVERAGE(C60:C64)</f>
        <v>#DIV/0!</v>
      </c>
      <c r="D70" s="37" t="e">
        <f>AVERAGE(D60:D64)</f>
        <v>#DIV/0!</v>
      </c>
      <c r="E70" s="37" t="e">
        <f>AVERAGE(E60:E64)</f>
        <v>#DIV/0!</v>
      </c>
      <c r="F70" s="37" t="e">
        <f>AVERAGE(F60:F64)</f>
        <v>#DIV/0!</v>
      </c>
      <c r="G70" s="37">
        <f>AVERAGE(G60:G64)</f>
        <v>0</v>
      </c>
    </row>
    <row r="71" spans="1:7" s="53" customFormat="1" ht="15" customHeight="1" x14ac:dyDescent="0.25">
      <c r="A71" s="4"/>
      <c r="B71" s="139"/>
      <c r="C71" s="56"/>
      <c r="D71" s="56"/>
      <c r="E71" s="56"/>
      <c r="F71" s="56"/>
      <c r="G71" s="56"/>
    </row>
    <row r="72" spans="1:7" s="53" customFormat="1" ht="30" customHeight="1" x14ac:dyDescent="0.25">
      <c r="A72" s="199"/>
      <c r="B72" s="45" t="s">
        <v>10</v>
      </c>
      <c r="C72" s="45" t="s">
        <v>14</v>
      </c>
      <c r="D72" s="56"/>
      <c r="E72" s="528" t="s">
        <v>60</v>
      </c>
      <c r="F72" s="529"/>
      <c r="G72" s="530"/>
    </row>
    <row r="73" spans="1:7" ht="30" customHeight="1" x14ac:dyDescent="0.25">
      <c r="A73" s="48" t="s">
        <v>30</v>
      </c>
      <c r="B73" s="201">
        <f>SUM(C58:D58, C47:D47, C36:D36, C25:D25, C14:D14, C69:D69)</f>
        <v>47499</v>
      </c>
      <c r="C73" s="43">
        <f>SUM(E69:F69, E58:F58, E47:F47, E36:F36, E25:F25, E14:F14)</f>
        <v>35650</v>
      </c>
      <c r="D73" s="125"/>
      <c r="E73" s="516" t="s">
        <v>30</v>
      </c>
      <c r="F73" s="517"/>
      <c r="G73" s="112">
        <f>SUM(G14, G25, G36, G47, G58, G69)</f>
        <v>83149</v>
      </c>
    </row>
    <row r="74" spans="1:7" ht="30" customHeight="1" x14ac:dyDescent="0.25">
      <c r="A74" s="48" t="s">
        <v>29</v>
      </c>
      <c r="B74" s="201">
        <f>SUM(C56:D56, C45:D45, C34:D34, C23:D23, C12:D12, C67:D67)</f>
        <v>49786</v>
      </c>
      <c r="C74" s="43">
        <f>SUM(E67:F67, E56:F56, E45:F45, E34:F34, E23:F23, E12:F12)</f>
        <v>38328</v>
      </c>
      <c r="D74" s="125"/>
      <c r="E74" s="516" t="s">
        <v>29</v>
      </c>
      <c r="F74" s="517"/>
      <c r="G74" s="113">
        <f>SUM(G56, G45, G34, G23, G12, G67)</f>
        <v>88114</v>
      </c>
    </row>
    <row r="75" spans="1:7" ht="30" customHeight="1" x14ac:dyDescent="0.25">
      <c r="E75" s="516" t="s">
        <v>22</v>
      </c>
      <c r="F75" s="517"/>
      <c r="G75" s="113">
        <f>AVERAGE(G14, G25, G36, G47, G58, G69)</f>
        <v>13858.166666666666</v>
      </c>
    </row>
    <row r="76" spans="1:7" x14ac:dyDescent="0.25">
      <c r="E76" s="516" t="s">
        <v>62</v>
      </c>
      <c r="F76" s="517"/>
      <c r="G76" s="112">
        <f>AVERAGE(G56, G45, G34, G23, G12, G67)</f>
        <v>14685.666666666666</v>
      </c>
    </row>
    <row r="78" spans="1:7" x14ac:dyDescent="0.25">
      <c r="C78" s="160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3:G26 G34 C34" formulaRange="1" emptyCellReference="1"/>
    <ignoredError sqref="G59 G49 G43:G44 G18:G22 G27:G33 F25:F26" formulaRange="1"/>
    <ignoredError sqref="D59:F59 D35:F37 E45:F45 G35:G37 D46:F48 D56:F58 D15:F15 G13 G45:G48 C46:C48 C56:C58 C45 C35:C37 C59 G15 G39:G42" evalError="1" formulaRange="1" emptyCellReference="1"/>
    <ignoredError sqref="G56:G58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G74" sqref="G74"/>
    </sheetView>
  </sheetViews>
  <sheetFormatPr defaultRowHeight="15" outlineLevelRow="1" x14ac:dyDescent="0.25"/>
  <cols>
    <col min="1" max="1" width="18.7109375" style="1" bestFit="1" customWidth="1"/>
    <col min="2" max="2" width="16.28515625" style="140" customWidth="1"/>
    <col min="3" max="9" width="15.7109375" style="11" customWidth="1"/>
    <col min="10" max="10" width="18.5703125" style="11" bestFit="1" customWidth="1"/>
    <col min="11" max="16384" width="9.140625" style="11"/>
  </cols>
  <sheetData>
    <row r="1" spans="1:10" ht="15" customHeight="1" x14ac:dyDescent="0.25">
      <c r="A1" s="29"/>
      <c r="B1" s="178"/>
      <c r="C1" s="499" t="s">
        <v>107</v>
      </c>
      <c r="D1" s="540"/>
      <c r="E1" s="540"/>
      <c r="F1" s="503"/>
      <c r="G1" s="499" t="s">
        <v>104</v>
      </c>
      <c r="H1" s="499" t="s">
        <v>105</v>
      </c>
      <c r="I1" s="545" t="s">
        <v>19</v>
      </c>
    </row>
    <row r="2" spans="1:10" ht="15" customHeight="1" thickBot="1" x14ac:dyDescent="0.3">
      <c r="A2" s="30"/>
      <c r="B2" s="179"/>
      <c r="C2" s="500"/>
      <c r="D2" s="541"/>
      <c r="E2" s="541"/>
      <c r="F2" s="504"/>
      <c r="G2" s="500"/>
      <c r="H2" s="500"/>
      <c r="I2" s="485"/>
    </row>
    <row r="3" spans="1:10" ht="13.5" customHeight="1" x14ac:dyDescent="0.25">
      <c r="A3" s="477" t="s">
        <v>52</v>
      </c>
      <c r="B3" s="496" t="s">
        <v>53</v>
      </c>
      <c r="C3" s="548" t="s">
        <v>7</v>
      </c>
      <c r="D3" s="548" t="s">
        <v>101</v>
      </c>
      <c r="E3" s="544" t="s">
        <v>102</v>
      </c>
      <c r="F3" s="543" t="s">
        <v>103</v>
      </c>
      <c r="G3" s="544" t="s">
        <v>98</v>
      </c>
      <c r="H3" s="543" t="s">
        <v>10</v>
      </c>
      <c r="I3" s="485"/>
    </row>
    <row r="4" spans="1:10" ht="15" customHeight="1" thickBot="1" x14ac:dyDescent="0.3">
      <c r="A4" s="507"/>
      <c r="B4" s="498"/>
      <c r="C4" s="549"/>
      <c r="D4" s="495"/>
      <c r="E4" s="507"/>
      <c r="F4" s="495"/>
      <c r="G4" s="507"/>
      <c r="H4" s="495"/>
      <c r="I4" s="486"/>
    </row>
    <row r="5" spans="1:10" s="52" customFormat="1" ht="14.25" hidden="1" thickBot="1" x14ac:dyDescent="0.3">
      <c r="A5" s="31" t="s">
        <v>3</v>
      </c>
      <c r="B5" s="205">
        <v>43465</v>
      </c>
      <c r="C5" s="312"/>
      <c r="D5" s="312"/>
      <c r="E5" s="313"/>
      <c r="F5" s="313"/>
      <c r="G5" s="323"/>
      <c r="H5" s="313"/>
      <c r="I5" s="61">
        <f t="shared" ref="I5" si="0">SUM(C5:H5)</f>
        <v>0</v>
      </c>
    </row>
    <row r="6" spans="1:10" s="52" customFormat="1" ht="14.25" thickBot="1" x14ac:dyDescent="0.3">
      <c r="A6" s="31" t="s">
        <v>4</v>
      </c>
      <c r="B6" s="311">
        <f t="shared" ref="B6:B11" si="1">B5+1</f>
        <v>43466</v>
      </c>
      <c r="C6" s="329"/>
      <c r="D6" s="330"/>
      <c r="E6" s="59"/>
      <c r="F6" s="59"/>
      <c r="G6" s="330"/>
      <c r="H6" s="58">
        <v>268</v>
      </c>
      <c r="I6" s="61">
        <f t="shared" ref="I6:I11" si="2">SUM(C6:H6)</f>
        <v>268</v>
      </c>
    </row>
    <row r="7" spans="1:10" s="52" customFormat="1" ht="14.25" thickBot="1" x14ac:dyDescent="0.3">
      <c r="A7" s="31" t="s">
        <v>5</v>
      </c>
      <c r="B7" s="311">
        <f t="shared" si="1"/>
        <v>43467</v>
      </c>
      <c r="C7" s="331"/>
      <c r="D7" s="324"/>
      <c r="E7" s="21"/>
      <c r="F7" s="21"/>
      <c r="G7" s="324">
        <v>315</v>
      </c>
      <c r="H7" s="20">
        <v>149</v>
      </c>
      <c r="I7" s="61">
        <f t="shared" si="2"/>
        <v>464</v>
      </c>
    </row>
    <row r="8" spans="1:10" s="52" customFormat="1" ht="14.25" thickBot="1" x14ac:dyDescent="0.3">
      <c r="A8" s="31" t="s">
        <v>6</v>
      </c>
      <c r="B8" s="311">
        <f t="shared" si="1"/>
        <v>43468</v>
      </c>
      <c r="C8" s="295">
        <f>SUM(115+77)</f>
        <v>192</v>
      </c>
      <c r="D8" s="325">
        <f>SUM(43+70)</f>
        <v>113</v>
      </c>
      <c r="E8" s="21">
        <f>SUM(151+58)</f>
        <v>209</v>
      </c>
      <c r="F8" s="21">
        <f>SUM(188+292)</f>
        <v>480</v>
      </c>
      <c r="G8" s="324">
        <v>347</v>
      </c>
      <c r="H8" s="20">
        <v>207</v>
      </c>
      <c r="I8" s="61">
        <f t="shared" si="2"/>
        <v>1548</v>
      </c>
      <c r="J8" s="159"/>
    </row>
    <row r="9" spans="1:10" s="52" customFormat="1" ht="14.25" thickBot="1" x14ac:dyDescent="0.3">
      <c r="A9" s="31" t="s">
        <v>0</v>
      </c>
      <c r="B9" s="311">
        <f t="shared" si="1"/>
        <v>43469</v>
      </c>
      <c r="C9" s="250">
        <f>SUM(88+83)</f>
        <v>171</v>
      </c>
      <c r="D9" s="325">
        <f>SUM(59+73)</f>
        <v>132</v>
      </c>
      <c r="E9" s="21">
        <f>SUM(230+67)</f>
        <v>297</v>
      </c>
      <c r="F9" s="21">
        <f>SUM(174+328)</f>
        <v>502</v>
      </c>
      <c r="G9" s="324">
        <v>333</v>
      </c>
      <c r="H9" s="20">
        <v>177</v>
      </c>
      <c r="I9" s="61">
        <f t="shared" si="2"/>
        <v>1612</v>
      </c>
      <c r="J9" s="159"/>
    </row>
    <row r="10" spans="1:10" s="52" customFormat="1" ht="14.25" outlineLevel="1" thickBot="1" x14ac:dyDescent="0.3">
      <c r="A10" s="31" t="s">
        <v>1</v>
      </c>
      <c r="B10" s="311">
        <f t="shared" si="1"/>
        <v>43470</v>
      </c>
      <c r="C10" s="250">
        <f>SUM(12+16)</f>
        <v>28</v>
      </c>
      <c r="D10" s="325">
        <f>SUM(10+7)</f>
        <v>17</v>
      </c>
      <c r="E10" s="21">
        <f>SUM(43+36)</f>
        <v>79</v>
      </c>
      <c r="F10" s="21">
        <f>SUM(45+51)</f>
        <v>96</v>
      </c>
      <c r="G10" s="324"/>
      <c r="H10" s="20">
        <v>652</v>
      </c>
      <c r="I10" s="61">
        <f t="shared" si="2"/>
        <v>872</v>
      </c>
      <c r="J10" s="159"/>
    </row>
    <row r="11" spans="1:10" s="52" customFormat="1" ht="15" customHeight="1" outlineLevel="1" thickBot="1" x14ac:dyDescent="0.3">
      <c r="A11" s="31" t="s">
        <v>2</v>
      </c>
      <c r="B11" s="311">
        <f t="shared" si="1"/>
        <v>43471</v>
      </c>
      <c r="C11" s="250">
        <f>SUM(80+77)</f>
        <v>157</v>
      </c>
      <c r="D11" s="325">
        <f>SUM(34+36)</f>
        <v>70</v>
      </c>
      <c r="E11" s="21">
        <f>SUM(58+48)</f>
        <v>106</v>
      </c>
      <c r="F11" s="21">
        <f>SUM(122+133)</f>
        <v>255</v>
      </c>
      <c r="G11" s="324"/>
      <c r="H11" s="20">
        <v>949</v>
      </c>
      <c r="I11" s="61">
        <f t="shared" si="2"/>
        <v>1537</v>
      </c>
      <c r="J11" s="159"/>
    </row>
    <row r="12" spans="1:10" s="53" customFormat="1" ht="15" customHeight="1" outlineLevel="1" thickBot="1" x14ac:dyDescent="0.3">
      <c r="A12" s="167" t="s">
        <v>21</v>
      </c>
      <c r="B12" s="521" t="s">
        <v>24</v>
      </c>
      <c r="C12" s="332">
        <f t="shared" ref="C12:I12" si="3">SUM(C5:C11)</f>
        <v>548</v>
      </c>
      <c r="D12" s="327">
        <f t="shared" si="3"/>
        <v>332</v>
      </c>
      <c r="E12" s="327">
        <f t="shared" si="3"/>
        <v>691</v>
      </c>
      <c r="F12" s="327">
        <f t="shared" si="3"/>
        <v>1333</v>
      </c>
      <c r="G12" s="327">
        <f t="shared" si="3"/>
        <v>995</v>
      </c>
      <c r="H12" s="333">
        <f t="shared" si="3"/>
        <v>2402</v>
      </c>
      <c r="I12" s="174">
        <f t="shared" si="3"/>
        <v>6301</v>
      </c>
    </row>
    <row r="13" spans="1:10" s="53" customFormat="1" ht="15" customHeight="1" outlineLevel="1" thickBot="1" x14ac:dyDescent="0.3">
      <c r="A13" s="116" t="s">
        <v>23</v>
      </c>
      <c r="B13" s="522"/>
      <c r="C13" s="332">
        <f t="shared" ref="C13:H13" si="4">AVERAGE(C5:C11)</f>
        <v>137</v>
      </c>
      <c r="D13" s="327">
        <f t="shared" si="4"/>
        <v>83</v>
      </c>
      <c r="E13" s="327">
        <f t="shared" si="4"/>
        <v>172.75</v>
      </c>
      <c r="F13" s="327">
        <f t="shared" si="4"/>
        <v>333.25</v>
      </c>
      <c r="G13" s="327">
        <f t="shared" si="4"/>
        <v>331.66666666666669</v>
      </c>
      <c r="H13" s="333">
        <f t="shared" si="4"/>
        <v>400.33333333333331</v>
      </c>
      <c r="I13" s="175">
        <f>AVERAGE(I5:I11)</f>
        <v>900.14285714285711</v>
      </c>
    </row>
    <row r="14" spans="1:10" s="53" customFormat="1" ht="15" customHeight="1" thickBot="1" x14ac:dyDescent="0.3">
      <c r="A14" s="32" t="s">
        <v>20</v>
      </c>
      <c r="B14" s="522"/>
      <c r="C14" s="334">
        <f t="shared" ref="C14:I14" si="5">SUM(C5:C9)</f>
        <v>363</v>
      </c>
      <c r="D14" s="328">
        <f t="shared" si="5"/>
        <v>245</v>
      </c>
      <c r="E14" s="328">
        <f t="shared" si="5"/>
        <v>506</v>
      </c>
      <c r="F14" s="328">
        <f t="shared" si="5"/>
        <v>982</v>
      </c>
      <c r="G14" s="328">
        <f t="shared" si="5"/>
        <v>995</v>
      </c>
      <c r="H14" s="335">
        <f t="shared" si="5"/>
        <v>801</v>
      </c>
      <c r="I14" s="176">
        <f t="shared" si="5"/>
        <v>3892</v>
      </c>
    </row>
    <row r="15" spans="1:10" s="53" customFormat="1" ht="15" customHeight="1" thickBot="1" x14ac:dyDescent="0.3">
      <c r="A15" s="32" t="s">
        <v>22</v>
      </c>
      <c r="B15" s="522"/>
      <c r="C15" s="334">
        <f t="shared" ref="C15:I15" si="6">AVERAGE(C5:C9)</f>
        <v>181.5</v>
      </c>
      <c r="D15" s="328">
        <f t="shared" si="6"/>
        <v>122.5</v>
      </c>
      <c r="E15" s="328">
        <f t="shared" si="6"/>
        <v>253</v>
      </c>
      <c r="F15" s="328">
        <f t="shared" si="6"/>
        <v>491</v>
      </c>
      <c r="G15" s="328">
        <f t="shared" si="6"/>
        <v>331.66666666666669</v>
      </c>
      <c r="H15" s="335">
        <f t="shared" si="6"/>
        <v>200.25</v>
      </c>
      <c r="I15" s="177">
        <f t="shared" si="6"/>
        <v>778.4</v>
      </c>
    </row>
    <row r="16" spans="1:10" s="53" customFormat="1" ht="15" customHeight="1" thickBot="1" x14ac:dyDescent="0.3">
      <c r="A16" s="31" t="s">
        <v>3</v>
      </c>
      <c r="B16" s="316">
        <f>B11+1</f>
        <v>43472</v>
      </c>
      <c r="C16" s="250">
        <f>SUM(34+25)</f>
        <v>59</v>
      </c>
      <c r="D16" s="324">
        <f>SUM(18+15)</f>
        <v>33</v>
      </c>
      <c r="E16" s="42">
        <f>SUM(54+97)</f>
        <v>151</v>
      </c>
      <c r="F16" s="42">
        <f>SUM(54+97)</f>
        <v>151</v>
      </c>
      <c r="G16" s="324">
        <v>349</v>
      </c>
      <c r="H16" s="336">
        <v>109</v>
      </c>
      <c r="I16" s="17">
        <f t="shared" ref="I16:I22" si="7">SUM(C16:H16)</f>
        <v>852</v>
      </c>
    </row>
    <row r="17" spans="1:9" s="53" customFormat="1" ht="15" customHeight="1" thickBot="1" x14ac:dyDescent="0.3">
      <c r="A17" s="31" t="s">
        <v>4</v>
      </c>
      <c r="B17" s="317">
        <f t="shared" ref="B17:B22" si="8">B16+1</f>
        <v>43473</v>
      </c>
      <c r="C17" s="250"/>
      <c r="D17" s="324"/>
      <c r="E17" s="42"/>
      <c r="F17" s="42"/>
      <c r="G17" s="324">
        <v>419</v>
      </c>
      <c r="H17" s="336">
        <v>104</v>
      </c>
      <c r="I17" s="61">
        <f t="shared" si="7"/>
        <v>523</v>
      </c>
    </row>
    <row r="18" spans="1:9" s="53" customFormat="1" ht="15" customHeight="1" thickBot="1" x14ac:dyDescent="0.3">
      <c r="A18" s="31" t="s">
        <v>5</v>
      </c>
      <c r="B18" s="317">
        <f t="shared" si="8"/>
        <v>43474</v>
      </c>
      <c r="C18" s="250"/>
      <c r="D18" s="324"/>
      <c r="E18" s="42"/>
      <c r="F18" s="42"/>
      <c r="G18" s="324">
        <v>394</v>
      </c>
      <c r="H18" s="336">
        <v>88</v>
      </c>
      <c r="I18" s="61">
        <f t="shared" si="7"/>
        <v>482</v>
      </c>
    </row>
    <row r="19" spans="1:9" s="53" customFormat="1" ht="15" customHeight="1" thickBot="1" x14ac:dyDescent="0.3">
      <c r="A19" s="31" t="s">
        <v>6</v>
      </c>
      <c r="B19" s="318">
        <f t="shared" si="8"/>
        <v>43475</v>
      </c>
      <c r="C19" s="250">
        <f>SUM(15+24)</f>
        <v>39</v>
      </c>
      <c r="D19" s="324">
        <f>SUM(2)</f>
        <v>2</v>
      </c>
      <c r="E19" s="310">
        <f>SUM(22+4)</f>
        <v>26</v>
      </c>
      <c r="F19" s="21">
        <f>SUM(52+59)</f>
        <v>111</v>
      </c>
      <c r="G19" s="324">
        <v>370</v>
      </c>
      <c r="H19" s="20">
        <v>97</v>
      </c>
      <c r="I19" s="61">
        <f t="shared" si="7"/>
        <v>645</v>
      </c>
    </row>
    <row r="20" spans="1:9" s="53" customFormat="1" ht="15" customHeight="1" thickBot="1" x14ac:dyDescent="0.3">
      <c r="A20" s="31" t="s">
        <v>0</v>
      </c>
      <c r="B20" s="318">
        <f t="shared" si="8"/>
        <v>43476</v>
      </c>
      <c r="C20" s="250">
        <f>SUM(7+26)</f>
        <v>33</v>
      </c>
      <c r="D20" s="324">
        <f>SUM(18+21)</f>
        <v>39</v>
      </c>
      <c r="E20" s="310">
        <f>SUM(29+8)</f>
        <v>37</v>
      </c>
      <c r="F20" s="21">
        <f>SUM(48+47)</f>
        <v>95</v>
      </c>
      <c r="G20" s="324">
        <v>378</v>
      </c>
      <c r="H20" s="20">
        <v>85</v>
      </c>
      <c r="I20" s="61">
        <f t="shared" si="7"/>
        <v>667</v>
      </c>
    </row>
    <row r="21" spans="1:9" s="53" customFormat="1" ht="15" customHeight="1" outlineLevel="1" thickBot="1" x14ac:dyDescent="0.3">
      <c r="A21" s="31" t="s">
        <v>1</v>
      </c>
      <c r="B21" s="311">
        <f t="shared" si="8"/>
        <v>43477</v>
      </c>
      <c r="C21" s="250">
        <f>SUM(40+31)</f>
        <v>71</v>
      </c>
      <c r="D21" s="324">
        <f>SUM(14+15)</f>
        <v>29</v>
      </c>
      <c r="E21" s="310">
        <f>SUM(17+13)</f>
        <v>30</v>
      </c>
      <c r="F21" s="21">
        <f>SUM(44+56)</f>
        <v>100</v>
      </c>
      <c r="G21" s="324"/>
      <c r="H21" s="20">
        <v>624</v>
      </c>
      <c r="I21" s="61">
        <f t="shared" si="7"/>
        <v>854</v>
      </c>
    </row>
    <row r="22" spans="1:9" s="53" customFormat="1" ht="15" customHeight="1" outlineLevel="1" thickBot="1" x14ac:dyDescent="0.3">
      <c r="A22" s="31" t="s">
        <v>2</v>
      </c>
      <c r="B22" s="317">
        <f t="shared" si="8"/>
        <v>43478</v>
      </c>
      <c r="C22" s="250">
        <f>SUM(10+19)</f>
        <v>29</v>
      </c>
      <c r="D22" s="324">
        <f>SUM(13+19)</f>
        <v>32</v>
      </c>
      <c r="E22" s="310">
        <f>SUM(20+10)</f>
        <v>30</v>
      </c>
      <c r="F22" s="21">
        <f>SUM(51+46)</f>
        <v>97</v>
      </c>
      <c r="G22" s="324"/>
      <c r="H22" s="20">
        <v>601</v>
      </c>
      <c r="I22" s="61">
        <f t="shared" si="7"/>
        <v>789</v>
      </c>
    </row>
    <row r="23" spans="1:9" s="53" customFormat="1" ht="15" customHeight="1" outlineLevel="1" thickBot="1" x14ac:dyDescent="0.3">
      <c r="A23" s="167" t="s">
        <v>21</v>
      </c>
      <c r="B23" s="521" t="s">
        <v>25</v>
      </c>
      <c r="C23" s="332">
        <f>SUM(C16:C22)</f>
        <v>231</v>
      </c>
      <c r="D23" s="327">
        <f t="shared" ref="D23:H23" si="9">SUM(D16:D22)</f>
        <v>135</v>
      </c>
      <c r="E23" s="327">
        <f t="shared" si="9"/>
        <v>274</v>
      </c>
      <c r="F23" s="327">
        <f t="shared" si="9"/>
        <v>554</v>
      </c>
      <c r="G23" s="327">
        <f t="shared" si="9"/>
        <v>1910</v>
      </c>
      <c r="H23" s="333">
        <f t="shared" si="9"/>
        <v>1708</v>
      </c>
      <c r="I23" s="174">
        <f>SUM(I16:I22)</f>
        <v>4812</v>
      </c>
    </row>
    <row r="24" spans="1:9" s="53" customFormat="1" ht="15" customHeight="1" outlineLevel="1" thickBot="1" x14ac:dyDescent="0.3">
      <c r="A24" s="116" t="s">
        <v>23</v>
      </c>
      <c r="B24" s="522"/>
      <c r="C24" s="332">
        <f>AVERAGE(C16:C22)</f>
        <v>46.2</v>
      </c>
      <c r="D24" s="327">
        <f t="shared" ref="D24:H24" si="10">AVERAGE(D16:D22)</f>
        <v>27</v>
      </c>
      <c r="E24" s="327">
        <f>AVERAGE(E16:E22)</f>
        <v>54.8</v>
      </c>
      <c r="F24" s="327">
        <f>AVERAGE(F16:F22)</f>
        <v>110.8</v>
      </c>
      <c r="G24" s="327">
        <f t="shared" si="10"/>
        <v>382</v>
      </c>
      <c r="H24" s="333">
        <f t="shared" si="10"/>
        <v>244</v>
      </c>
      <c r="I24" s="175">
        <f>AVERAGE(I16:I22)</f>
        <v>687.42857142857144</v>
      </c>
    </row>
    <row r="25" spans="1:9" s="53" customFormat="1" ht="15" customHeight="1" thickBot="1" x14ac:dyDescent="0.3">
      <c r="A25" s="32" t="s">
        <v>20</v>
      </c>
      <c r="B25" s="522"/>
      <c r="C25" s="334">
        <f t="shared" ref="C25:H25" si="11">SUM(C16:C20)</f>
        <v>131</v>
      </c>
      <c r="D25" s="328">
        <f t="shared" si="11"/>
        <v>74</v>
      </c>
      <c r="E25" s="328">
        <f t="shared" si="11"/>
        <v>214</v>
      </c>
      <c r="F25" s="328">
        <f t="shared" si="11"/>
        <v>357</v>
      </c>
      <c r="G25" s="328">
        <f t="shared" si="11"/>
        <v>1910</v>
      </c>
      <c r="H25" s="335">
        <f t="shared" si="11"/>
        <v>483</v>
      </c>
      <c r="I25" s="176">
        <f t="shared" ref="I25" si="12">SUM(I16:I20)</f>
        <v>3169</v>
      </c>
    </row>
    <row r="26" spans="1:9" s="53" customFormat="1" ht="15" customHeight="1" thickBot="1" x14ac:dyDescent="0.3">
      <c r="A26" s="32" t="s">
        <v>22</v>
      </c>
      <c r="B26" s="523"/>
      <c r="C26" s="334">
        <f t="shared" ref="C26:H26" si="13">AVERAGE(C16:C20)</f>
        <v>43.666666666666664</v>
      </c>
      <c r="D26" s="328">
        <f t="shared" si="13"/>
        <v>24.666666666666668</v>
      </c>
      <c r="E26" s="328">
        <f t="shared" si="13"/>
        <v>71.333333333333329</v>
      </c>
      <c r="F26" s="328">
        <f t="shared" si="13"/>
        <v>119</v>
      </c>
      <c r="G26" s="328">
        <f t="shared" si="13"/>
        <v>382</v>
      </c>
      <c r="H26" s="335">
        <f t="shared" si="13"/>
        <v>96.6</v>
      </c>
      <c r="I26" s="197">
        <f t="shared" ref="I26" si="14">AVERAGE(I16:I20)</f>
        <v>633.79999999999995</v>
      </c>
    </row>
    <row r="27" spans="1:9" s="53" customFormat="1" ht="15" customHeight="1" thickBot="1" x14ac:dyDescent="0.3">
      <c r="A27" s="31" t="s">
        <v>3</v>
      </c>
      <c r="B27" s="319">
        <f>B22+1</f>
        <v>43479</v>
      </c>
      <c r="C27" s="250">
        <f>SUM(32+20)</f>
        <v>52</v>
      </c>
      <c r="D27" s="324">
        <f>SUM(25+12)</f>
        <v>37</v>
      </c>
      <c r="E27" s="42">
        <f>SUM(35+22)</f>
        <v>57</v>
      </c>
      <c r="F27" s="42">
        <f>SUM(35+73)</f>
        <v>108</v>
      </c>
      <c r="G27" s="324">
        <v>362</v>
      </c>
      <c r="H27" s="336">
        <v>122</v>
      </c>
      <c r="I27" s="17">
        <f t="shared" ref="I27:I33" si="15">SUM(C27:H27)</f>
        <v>738</v>
      </c>
    </row>
    <row r="28" spans="1:9" s="53" customFormat="1" ht="15" customHeight="1" thickBot="1" x14ac:dyDescent="0.3">
      <c r="A28" s="31" t="s">
        <v>4</v>
      </c>
      <c r="B28" s="305">
        <f t="shared" ref="B28:B33" si="16">B27+1</f>
        <v>43480</v>
      </c>
      <c r="C28" s="250"/>
      <c r="D28" s="324"/>
      <c r="E28" s="42"/>
      <c r="F28" s="42"/>
      <c r="G28" s="324">
        <v>389</v>
      </c>
      <c r="H28" s="336">
        <v>82</v>
      </c>
      <c r="I28" s="61">
        <f t="shared" si="15"/>
        <v>471</v>
      </c>
    </row>
    <row r="29" spans="1:9" s="53" customFormat="1" ht="15" customHeight="1" thickBot="1" x14ac:dyDescent="0.3">
      <c r="A29" s="31" t="s">
        <v>5</v>
      </c>
      <c r="B29" s="305">
        <f t="shared" si="16"/>
        <v>43481</v>
      </c>
      <c r="C29" s="250"/>
      <c r="D29" s="324"/>
      <c r="E29" s="42"/>
      <c r="F29" s="42"/>
      <c r="G29" s="324">
        <v>410</v>
      </c>
      <c r="H29" s="336">
        <v>85</v>
      </c>
      <c r="I29" s="61">
        <f t="shared" si="15"/>
        <v>495</v>
      </c>
    </row>
    <row r="30" spans="1:9" s="53" customFormat="1" ht="15" customHeight="1" thickBot="1" x14ac:dyDescent="0.3">
      <c r="A30" s="31" t="s">
        <v>6</v>
      </c>
      <c r="B30" s="305">
        <f t="shared" si="16"/>
        <v>43482</v>
      </c>
      <c r="C30" s="250">
        <f>SUM(36+26)</f>
        <v>62</v>
      </c>
      <c r="D30" s="324">
        <f>SUM(23+28)</f>
        <v>51</v>
      </c>
      <c r="E30" s="21">
        <f>SUM(54+20)</f>
        <v>74</v>
      </c>
      <c r="F30" s="21">
        <f>SUM(59+98)</f>
        <v>157</v>
      </c>
      <c r="G30" s="324">
        <v>399</v>
      </c>
      <c r="H30" s="20">
        <v>102</v>
      </c>
      <c r="I30" s="61">
        <f t="shared" si="15"/>
        <v>845</v>
      </c>
    </row>
    <row r="31" spans="1:9" s="53" customFormat="1" ht="15" customHeight="1" thickBot="1" x14ac:dyDescent="0.3">
      <c r="A31" s="31" t="s">
        <v>0</v>
      </c>
      <c r="B31" s="305">
        <f t="shared" si="16"/>
        <v>43483</v>
      </c>
      <c r="C31" s="250">
        <f>SUM(35+58)</f>
        <v>93</v>
      </c>
      <c r="D31" s="324">
        <f>SUM(8+34)</f>
        <v>42</v>
      </c>
      <c r="E31" s="21">
        <f>SUM(63+9)</f>
        <v>72</v>
      </c>
      <c r="F31" s="21">
        <f>SUM(62+67)</f>
        <v>129</v>
      </c>
      <c r="G31" s="324">
        <v>310</v>
      </c>
      <c r="H31" s="20">
        <v>123</v>
      </c>
      <c r="I31" s="61">
        <f t="shared" si="15"/>
        <v>769</v>
      </c>
    </row>
    <row r="32" spans="1:9" s="53" customFormat="1" ht="15" customHeight="1" outlineLevel="1" thickBot="1" x14ac:dyDescent="0.3">
      <c r="A32" s="31" t="s">
        <v>1</v>
      </c>
      <c r="B32" s="305">
        <f t="shared" si="16"/>
        <v>43484</v>
      </c>
      <c r="C32" s="250">
        <f>SUM(75+69)</f>
        <v>144</v>
      </c>
      <c r="D32" s="324">
        <f>SUM(31+16)</f>
        <v>47</v>
      </c>
      <c r="E32" s="21">
        <f>SUM(46+5)</f>
        <v>51</v>
      </c>
      <c r="F32" s="21">
        <f>SUM(54+116)</f>
        <v>170</v>
      </c>
      <c r="G32" s="324"/>
      <c r="H32" s="20">
        <v>768</v>
      </c>
      <c r="I32" s="61">
        <f t="shared" si="15"/>
        <v>1180</v>
      </c>
    </row>
    <row r="33" spans="1:10" s="53" customFormat="1" ht="15" customHeight="1" outlineLevel="1" thickBot="1" x14ac:dyDescent="0.3">
      <c r="A33" s="31" t="s">
        <v>2</v>
      </c>
      <c r="B33" s="305">
        <f t="shared" si="16"/>
        <v>43485</v>
      </c>
      <c r="C33" s="250"/>
      <c r="D33" s="324"/>
      <c r="E33" s="21"/>
      <c r="F33" s="21"/>
      <c r="G33" s="324"/>
      <c r="H33" s="20">
        <v>293</v>
      </c>
      <c r="I33" s="146">
        <f t="shared" si="15"/>
        <v>293</v>
      </c>
    </row>
    <row r="34" spans="1:10" s="53" customFormat="1" ht="15" customHeight="1" outlineLevel="1" thickBot="1" x14ac:dyDescent="0.3">
      <c r="A34" s="167" t="s">
        <v>21</v>
      </c>
      <c r="B34" s="521" t="s">
        <v>26</v>
      </c>
      <c r="C34" s="332">
        <f t="shared" ref="C34:I34" si="17">SUM(C27:C33)</f>
        <v>351</v>
      </c>
      <c r="D34" s="327">
        <f t="shared" si="17"/>
        <v>177</v>
      </c>
      <c r="E34" s="327">
        <f t="shared" si="17"/>
        <v>254</v>
      </c>
      <c r="F34" s="327">
        <f>SUM(F27:F33)</f>
        <v>564</v>
      </c>
      <c r="G34" s="327">
        <f>SUM(G27:G33)</f>
        <v>1870</v>
      </c>
      <c r="H34" s="333">
        <f t="shared" si="17"/>
        <v>1575</v>
      </c>
      <c r="I34" s="174">
        <f t="shared" si="17"/>
        <v>4791</v>
      </c>
    </row>
    <row r="35" spans="1:10" s="53" customFormat="1" ht="15" customHeight="1" outlineLevel="1" thickBot="1" x14ac:dyDescent="0.3">
      <c r="A35" s="116" t="s">
        <v>23</v>
      </c>
      <c r="B35" s="522"/>
      <c r="C35" s="332">
        <f t="shared" ref="C35:I35" si="18">AVERAGE(C27:C33)</f>
        <v>87.75</v>
      </c>
      <c r="D35" s="327">
        <f t="shared" si="18"/>
        <v>44.25</v>
      </c>
      <c r="E35" s="327">
        <f t="shared" si="18"/>
        <v>63.5</v>
      </c>
      <c r="F35" s="327">
        <f>AVERAGE(F27:F33)</f>
        <v>141</v>
      </c>
      <c r="G35" s="327">
        <f t="shared" si="18"/>
        <v>374</v>
      </c>
      <c r="H35" s="333">
        <f t="shared" si="18"/>
        <v>225</v>
      </c>
      <c r="I35" s="175">
        <f t="shared" si="18"/>
        <v>684.42857142857144</v>
      </c>
    </row>
    <row r="36" spans="1:10" s="53" customFormat="1" ht="15" customHeight="1" thickBot="1" x14ac:dyDescent="0.3">
      <c r="A36" s="32" t="s">
        <v>20</v>
      </c>
      <c r="B36" s="522"/>
      <c r="C36" s="334">
        <f>SUM(C27:C31)</f>
        <v>207</v>
      </c>
      <c r="D36" s="328">
        <f t="shared" ref="D36:I36" si="19">SUM(D27:D31)</f>
        <v>130</v>
      </c>
      <c r="E36" s="328">
        <f t="shared" si="19"/>
        <v>203</v>
      </c>
      <c r="F36" s="328">
        <f>SUM(F27:F31)</f>
        <v>394</v>
      </c>
      <c r="G36" s="328">
        <f t="shared" si="19"/>
        <v>1870</v>
      </c>
      <c r="H36" s="335">
        <f t="shared" si="19"/>
        <v>514</v>
      </c>
      <c r="I36" s="176">
        <f t="shared" si="19"/>
        <v>3318</v>
      </c>
    </row>
    <row r="37" spans="1:10" s="53" customFormat="1" ht="15" customHeight="1" thickBot="1" x14ac:dyDescent="0.3">
      <c r="A37" s="32" t="s">
        <v>22</v>
      </c>
      <c r="B37" s="523"/>
      <c r="C37" s="334">
        <f>AVERAGE(C27:C31)</f>
        <v>69</v>
      </c>
      <c r="D37" s="328">
        <f t="shared" ref="D37:I37" si="20">AVERAGE(D27:D31)</f>
        <v>43.333333333333336</v>
      </c>
      <c r="E37" s="328">
        <f t="shared" si="20"/>
        <v>67.666666666666671</v>
      </c>
      <c r="F37" s="328">
        <f>AVERAGE(F27:F31)</f>
        <v>131.33333333333334</v>
      </c>
      <c r="G37" s="328">
        <f t="shared" si="20"/>
        <v>374</v>
      </c>
      <c r="H37" s="335">
        <f t="shared" si="20"/>
        <v>102.8</v>
      </c>
      <c r="I37" s="177">
        <f t="shared" si="20"/>
        <v>663.6</v>
      </c>
    </row>
    <row r="38" spans="1:10" s="53" customFormat="1" ht="15" customHeight="1" thickBot="1" x14ac:dyDescent="0.3">
      <c r="A38" s="31" t="s">
        <v>3</v>
      </c>
      <c r="B38" s="320">
        <f>B33+1</f>
        <v>43486</v>
      </c>
      <c r="C38" s="250"/>
      <c r="D38" s="324"/>
      <c r="E38" s="324"/>
      <c r="F38" s="324"/>
      <c r="G38" s="324"/>
      <c r="H38" s="337">
        <v>26</v>
      </c>
      <c r="I38" s="17">
        <f t="shared" ref="I38:I44" si="21">SUM(C38:H38)</f>
        <v>26</v>
      </c>
    </row>
    <row r="39" spans="1:10" s="53" customFormat="1" ht="15" customHeight="1" thickBot="1" x14ac:dyDescent="0.3">
      <c r="A39" s="31" t="s">
        <v>4</v>
      </c>
      <c r="B39" s="321">
        <f t="shared" ref="B39:B44" si="22">B38+1</f>
        <v>43487</v>
      </c>
      <c r="C39" s="250"/>
      <c r="D39" s="324"/>
      <c r="E39" s="324"/>
      <c r="F39" s="324"/>
      <c r="G39" s="324">
        <v>340</v>
      </c>
      <c r="H39" s="337">
        <v>55</v>
      </c>
      <c r="I39" s="61">
        <f t="shared" si="21"/>
        <v>395</v>
      </c>
    </row>
    <row r="40" spans="1:10" s="53" customFormat="1" ht="15" customHeight="1" thickBot="1" x14ac:dyDescent="0.3">
      <c r="A40" s="31" t="s">
        <v>5</v>
      </c>
      <c r="B40" s="321">
        <f t="shared" si="22"/>
        <v>43488</v>
      </c>
      <c r="C40" s="250"/>
      <c r="D40" s="324"/>
      <c r="E40" s="324"/>
      <c r="F40" s="324"/>
      <c r="G40" s="324">
        <v>371</v>
      </c>
      <c r="H40" s="337">
        <v>84</v>
      </c>
      <c r="I40" s="61">
        <f t="shared" si="21"/>
        <v>455</v>
      </c>
    </row>
    <row r="41" spans="1:10" s="53" customFormat="1" ht="15" customHeight="1" thickBot="1" x14ac:dyDescent="0.3">
      <c r="A41" s="31" t="s">
        <v>6</v>
      </c>
      <c r="B41" s="321">
        <f t="shared" si="22"/>
        <v>43489</v>
      </c>
      <c r="C41" s="250">
        <v>6</v>
      </c>
      <c r="D41" s="324">
        <v>2</v>
      </c>
      <c r="E41" s="326">
        <v>14</v>
      </c>
      <c r="F41" s="324">
        <v>14</v>
      </c>
      <c r="G41" s="324">
        <v>316</v>
      </c>
      <c r="H41" s="337">
        <v>52</v>
      </c>
      <c r="I41" s="61">
        <f t="shared" si="21"/>
        <v>404</v>
      </c>
    </row>
    <row r="42" spans="1:10" s="53" customFormat="1" ht="15" customHeight="1" thickBot="1" x14ac:dyDescent="0.3">
      <c r="A42" s="31" t="s">
        <v>0</v>
      </c>
      <c r="B42" s="321">
        <f t="shared" si="22"/>
        <v>43490</v>
      </c>
      <c r="C42" s="295">
        <f>SUM(39+39)</f>
        <v>78</v>
      </c>
      <c r="D42" s="324">
        <f>SUM(47+25)</f>
        <v>72</v>
      </c>
      <c r="E42" s="324">
        <f>SUM(39+48)</f>
        <v>87</v>
      </c>
      <c r="F42" s="324">
        <f>SUM(84+97)</f>
        <v>181</v>
      </c>
      <c r="G42" s="324">
        <v>343</v>
      </c>
      <c r="H42" s="337">
        <v>139</v>
      </c>
      <c r="I42" s="61">
        <f t="shared" si="21"/>
        <v>900</v>
      </c>
    </row>
    <row r="43" spans="1:10" s="53" customFormat="1" ht="15" customHeight="1" outlineLevel="1" thickBot="1" x14ac:dyDescent="0.3">
      <c r="A43" s="31" t="s">
        <v>1</v>
      </c>
      <c r="B43" s="321">
        <f t="shared" si="22"/>
        <v>43491</v>
      </c>
      <c r="C43" s="295">
        <f>SUM(62+33)</f>
        <v>95</v>
      </c>
      <c r="D43" s="324">
        <f>SUM(26+36)</f>
        <v>62</v>
      </c>
      <c r="E43" s="324">
        <f>SUM(42+19)</f>
        <v>61</v>
      </c>
      <c r="F43" s="324">
        <f>SUM(78+120)</f>
        <v>198</v>
      </c>
      <c r="G43" s="324"/>
      <c r="H43" s="337">
        <v>760</v>
      </c>
      <c r="I43" s="61">
        <f t="shared" si="21"/>
        <v>1176</v>
      </c>
      <c r="J43" s="130"/>
    </row>
    <row r="44" spans="1:10" s="53" customFormat="1" ht="15" customHeight="1" outlineLevel="1" thickBot="1" x14ac:dyDescent="0.3">
      <c r="A44" s="31" t="s">
        <v>2</v>
      </c>
      <c r="B44" s="321">
        <f t="shared" si="22"/>
        <v>43492</v>
      </c>
      <c r="C44" s="250">
        <f>SUM(45+45)</f>
        <v>90</v>
      </c>
      <c r="D44" s="324">
        <f>SUM(27+36)</f>
        <v>63</v>
      </c>
      <c r="E44" s="324">
        <f>SUM(42+16)</f>
        <v>58</v>
      </c>
      <c r="F44" s="324">
        <f>SUM(89+106)</f>
        <v>195</v>
      </c>
      <c r="G44" s="324"/>
      <c r="H44" s="337">
        <v>682</v>
      </c>
      <c r="I44" s="146">
        <f t="shared" si="21"/>
        <v>1088</v>
      </c>
      <c r="J44" s="130"/>
    </row>
    <row r="45" spans="1:10" s="53" customFormat="1" ht="15" customHeight="1" outlineLevel="1" thickBot="1" x14ac:dyDescent="0.3">
      <c r="A45" s="167" t="s">
        <v>21</v>
      </c>
      <c r="B45" s="521" t="s">
        <v>27</v>
      </c>
      <c r="C45" s="332">
        <f t="shared" ref="C45:I45" si="23">SUM(C38:C44)</f>
        <v>269</v>
      </c>
      <c r="D45" s="327">
        <f t="shared" si="23"/>
        <v>199</v>
      </c>
      <c r="E45" s="327">
        <f t="shared" si="23"/>
        <v>220</v>
      </c>
      <c r="F45" s="327">
        <f>SUM(F38:F44)</f>
        <v>588</v>
      </c>
      <c r="G45" s="327">
        <f>SUM(G38:G44)</f>
        <v>1370</v>
      </c>
      <c r="H45" s="333">
        <f t="shared" si="23"/>
        <v>1798</v>
      </c>
      <c r="I45" s="174">
        <f t="shared" si="23"/>
        <v>4444</v>
      </c>
    </row>
    <row r="46" spans="1:10" s="53" customFormat="1" ht="15" customHeight="1" outlineLevel="1" thickBot="1" x14ac:dyDescent="0.3">
      <c r="A46" s="116" t="s">
        <v>23</v>
      </c>
      <c r="B46" s="522"/>
      <c r="C46" s="332">
        <f t="shared" ref="C46:I46" si="24">AVERAGE(C38:C44)</f>
        <v>67.25</v>
      </c>
      <c r="D46" s="327">
        <f t="shared" si="24"/>
        <v>49.75</v>
      </c>
      <c r="E46" s="327">
        <f t="shared" si="24"/>
        <v>55</v>
      </c>
      <c r="F46" s="327">
        <f>AVERAGE(F38:F44)</f>
        <v>147</v>
      </c>
      <c r="G46" s="327">
        <f t="shared" si="24"/>
        <v>342.5</v>
      </c>
      <c r="H46" s="333">
        <f t="shared" si="24"/>
        <v>256.85714285714283</v>
      </c>
      <c r="I46" s="175">
        <f t="shared" si="24"/>
        <v>634.85714285714289</v>
      </c>
    </row>
    <row r="47" spans="1:10" s="53" customFormat="1" ht="15" customHeight="1" thickBot="1" x14ac:dyDescent="0.3">
      <c r="A47" s="32" t="s">
        <v>20</v>
      </c>
      <c r="B47" s="522"/>
      <c r="C47" s="334">
        <f>SUM(C38:C42)</f>
        <v>84</v>
      </c>
      <c r="D47" s="328">
        <f t="shared" ref="D47:I47" si="25">SUM(D38:D42)</f>
        <v>74</v>
      </c>
      <c r="E47" s="328">
        <f t="shared" si="25"/>
        <v>101</v>
      </c>
      <c r="F47" s="328">
        <f>SUM(F38:F42)</f>
        <v>195</v>
      </c>
      <c r="G47" s="328">
        <f t="shared" si="25"/>
        <v>1370</v>
      </c>
      <c r="H47" s="335">
        <f t="shared" si="25"/>
        <v>356</v>
      </c>
      <c r="I47" s="176">
        <f t="shared" si="25"/>
        <v>2180</v>
      </c>
    </row>
    <row r="48" spans="1:10" s="53" customFormat="1" ht="15" customHeight="1" thickBot="1" x14ac:dyDescent="0.3">
      <c r="A48" s="32" t="s">
        <v>22</v>
      </c>
      <c r="B48" s="523"/>
      <c r="C48" s="334">
        <f>AVERAGE(C38:C42)</f>
        <v>42</v>
      </c>
      <c r="D48" s="328">
        <f t="shared" ref="D48:I48" si="26">AVERAGE(D38:D42)</f>
        <v>37</v>
      </c>
      <c r="E48" s="328">
        <f t="shared" si="26"/>
        <v>50.5</v>
      </c>
      <c r="F48" s="328">
        <f>AVERAGE(F38:F42)</f>
        <v>97.5</v>
      </c>
      <c r="G48" s="328">
        <f t="shared" si="26"/>
        <v>342.5</v>
      </c>
      <c r="H48" s="335">
        <f t="shared" si="26"/>
        <v>71.2</v>
      </c>
      <c r="I48" s="177">
        <f t="shared" si="26"/>
        <v>436</v>
      </c>
    </row>
    <row r="49" spans="1:10" s="53" customFormat="1" ht="15" customHeight="1" thickBot="1" x14ac:dyDescent="0.3">
      <c r="A49" s="31" t="s">
        <v>3</v>
      </c>
      <c r="B49" s="320">
        <f>B44+1</f>
        <v>43493</v>
      </c>
      <c r="C49" s="250">
        <v>34</v>
      </c>
      <c r="D49" s="324">
        <v>39</v>
      </c>
      <c r="E49" s="310">
        <v>40</v>
      </c>
      <c r="F49" s="310">
        <f>SUM(37+48)</f>
        <v>85</v>
      </c>
      <c r="G49" s="324">
        <v>371</v>
      </c>
      <c r="H49" s="337">
        <v>118</v>
      </c>
      <c r="I49" s="198">
        <f t="shared" ref="I49:I55" si="27">SUM(C49:H49)</f>
        <v>687</v>
      </c>
      <c r="J49" s="162"/>
    </row>
    <row r="50" spans="1:10" s="53" customFormat="1" ht="15" customHeight="1" thickBot="1" x14ac:dyDescent="0.3">
      <c r="A50" s="158" t="s">
        <v>4</v>
      </c>
      <c r="B50" s="321">
        <f t="shared" ref="B50:B55" si="28">B49+1</f>
        <v>43494</v>
      </c>
      <c r="C50" s="250"/>
      <c r="D50" s="324"/>
      <c r="E50" s="324"/>
      <c r="F50" s="324"/>
      <c r="G50" s="324">
        <v>386</v>
      </c>
      <c r="H50" s="337">
        <v>46</v>
      </c>
      <c r="I50" s="198">
        <f t="shared" si="27"/>
        <v>432</v>
      </c>
      <c r="J50" s="162"/>
    </row>
    <row r="51" spans="1:10" s="53" customFormat="1" ht="14.25" customHeight="1" thickBot="1" x14ac:dyDescent="0.3">
      <c r="A51" s="158" t="s">
        <v>5</v>
      </c>
      <c r="B51" s="321">
        <f t="shared" si="28"/>
        <v>43495</v>
      </c>
      <c r="C51" s="250"/>
      <c r="D51" s="324"/>
      <c r="E51" s="324"/>
      <c r="F51" s="324"/>
      <c r="G51" s="324">
        <v>320</v>
      </c>
      <c r="H51" s="337">
        <v>45</v>
      </c>
      <c r="I51" s="198">
        <f t="shared" si="27"/>
        <v>365</v>
      </c>
      <c r="J51" s="162"/>
    </row>
    <row r="52" spans="1:10" s="53" customFormat="1" ht="14.25" thickBot="1" x14ac:dyDescent="0.3">
      <c r="A52" s="158" t="s">
        <v>6</v>
      </c>
      <c r="B52" s="321">
        <f t="shared" si="28"/>
        <v>43496</v>
      </c>
      <c r="C52" s="250">
        <v>8</v>
      </c>
      <c r="D52" s="324">
        <v>16</v>
      </c>
      <c r="E52" s="324">
        <v>18</v>
      </c>
      <c r="F52" s="324">
        <v>52</v>
      </c>
      <c r="G52" s="324">
        <v>295</v>
      </c>
      <c r="H52" s="337">
        <v>30</v>
      </c>
      <c r="I52" s="198">
        <f t="shared" si="27"/>
        <v>419</v>
      </c>
      <c r="J52" s="162"/>
    </row>
    <row r="53" spans="1:10" s="53" customFormat="1" ht="14.25" hidden="1" thickBot="1" x14ac:dyDescent="0.3">
      <c r="A53" s="31" t="s">
        <v>0</v>
      </c>
      <c r="B53" s="322">
        <f t="shared" si="28"/>
        <v>43497</v>
      </c>
      <c r="C53" s="236"/>
      <c r="D53" s="324"/>
      <c r="E53" s="324"/>
      <c r="F53" s="324"/>
      <c r="G53" s="324"/>
      <c r="H53" s="337"/>
      <c r="I53" s="198">
        <f t="shared" si="27"/>
        <v>0</v>
      </c>
      <c r="J53" s="162"/>
    </row>
    <row r="54" spans="1:10" s="53" customFormat="1" ht="14.25" hidden="1" outlineLevel="1" thickBot="1" x14ac:dyDescent="0.3">
      <c r="A54" s="31" t="s">
        <v>1</v>
      </c>
      <c r="B54" s="322">
        <f t="shared" si="28"/>
        <v>43498</v>
      </c>
      <c r="C54" s="236"/>
      <c r="D54" s="324"/>
      <c r="E54" s="324"/>
      <c r="F54" s="324"/>
      <c r="G54" s="324"/>
      <c r="H54" s="337"/>
      <c r="I54" s="198">
        <f t="shared" si="27"/>
        <v>0</v>
      </c>
      <c r="J54" s="162"/>
    </row>
    <row r="55" spans="1:10" s="53" customFormat="1" ht="14.25" hidden="1" outlineLevel="1" thickBot="1" x14ac:dyDescent="0.3">
      <c r="A55" s="158" t="s">
        <v>2</v>
      </c>
      <c r="B55" s="322">
        <f t="shared" si="28"/>
        <v>43499</v>
      </c>
      <c r="C55" s="236"/>
      <c r="D55" s="324"/>
      <c r="E55" s="324"/>
      <c r="F55" s="324"/>
      <c r="G55" s="324"/>
      <c r="H55" s="337"/>
      <c r="I55" s="198">
        <f t="shared" si="27"/>
        <v>0</v>
      </c>
    </row>
    <row r="56" spans="1:10" s="53" customFormat="1" ht="15" customHeight="1" outlineLevel="1" thickBot="1" x14ac:dyDescent="0.3">
      <c r="A56" s="167" t="s">
        <v>21</v>
      </c>
      <c r="B56" s="521" t="s">
        <v>28</v>
      </c>
      <c r="C56" s="332">
        <f t="shared" ref="C56:I56" si="29">SUM(C49:C55)</f>
        <v>42</v>
      </c>
      <c r="D56" s="327">
        <f t="shared" si="29"/>
        <v>55</v>
      </c>
      <c r="E56" s="327">
        <f>SUM(E49:E55)</f>
        <v>58</v>
      </c>
      <c r="F56" s="327">
        <f>SUM(F49:F55)</f>
        <v>137</v>
      </c>
      <c r="G56" s="327">
        <f t="shared" si="29"/>
        <v>1372</v>
      </c>
      <c r="H56" s="333">
        <f>SUM(H49:H55)</f>
        <v>239</v>
      </c>
      <c r="I56" s="174">
        <f t="shared" si="29"/>
        <v>1903</v>
      </c>
    </row>
    <row r="57" spans="1:10" s="53" customFormat="1" ht="15" customHeight="1" outlineLevel="1" thickBot="1" x14ac:dyDescent="0.3">
      <c r="A57" s="116" t="s">
        <v>23</v>
      </c>
      <c r="B57" s="522"/>
      <c r="C57" s="332">
        <f t="shared" ref="C57:I57" si="30">AVERAGE(C49:C55)</f>
        <v>21</v>
      </c>
      <c r="D57" s="327">
        <f t="shared" si="30"/>
        <v>27.5</v>
      </c>
      <c r="E57" s="327">
        <f>AVERAGE(E50:E55)</f>
        <v>18</v>
      </c>
      <c r="F57" s="327">
        <f>AVERAGE(F50:F55)</f>
        <v>52</v>
      </c>
      <c r="G57" s="327">
        <f t="shared" si="30"/>
        <v>343</v>
      </c>
      <c r="H57" s="333">
        <f t="shared" si="30"/>
        <v>59.75</v>
      </c>
      <c r="I57" s="175">
        <f t="shared" si="30"/>
        <v>271.85714285714283</v>
      </c>
    </row>
    <row r="58" spans="1:10" s="53" customFormat="1" ht="15" customHeight="1" thickBot="1" x14ac:dyDescent="0.3">
      <c r="A58" s="32" t="s">
        <v>20</v>
      </c>
      <c r="B58" s="522"/>
      <c r="C58" s="334">
        <f t="shared" ref="C58:I58" si="31">SUM(C49:C53)</f>
        <v>42</v>
      </c>
      <c r="D58" s="328">
        <f t="shared" si="31"/>
        <v>55</v>
      </c>
      <c r="E58" s="328">
        <f t="shared" si="31"/>
        <v>58</v>
      </c>
      <c r="F58" s="328">
        <f t="shared" si="31"/>
        <v>137</v>
      </c>
      <c r="G58" s="328">
        <f t="shared" si="31"/>
        <v>1372</v>
      </c>
      <c r="H58" s="335">
        <f t="shared" si="31"/>
        <v>239</v>
      </c>
      <c r="I58" s="176">
        <f t="shared" si="31"/>
        <v>1903</v>
      </c>
    </row>
    <row r="59" spans="1:10" s="53" customFormat="1" ht="14.25" thickBot="1" x14ac:dyDescent="0.3">
      <c r="A59" s="32" t="s">
        <v>22</v>
      </c>
      <c r="B59" s="523"/>
      <c r="C59" s="37">
        <f t="shared" ref="C59:I59" si="32">AVERAGE(C49:C53)</f>
        <v>21</v>
      </c>
      <c r="D59" s="39">
        <f t="shared" si="32"/>
        <v>27.5</v>
      </c>
      <c r="E59" s="39">
        <f>AVERAGE(E50:E54)</f>
        <v>18</v>
      </c>
      <c r="F59" s="39">
        <f>AVERAGE(F50:F54)</f>
        <v>52</v>
      </c>
      <c r="G59" s="39">
        <f t="shared" si="32"/>
        <v>343</v>
      </c>
      <c r="H59" s="38">
        <f t="shared" si="32"/>
        <v>59.75</v>
      </c>
      <c r="I59" s="177">
        <f t="shared" si="32"/>
        <v>380.6</v>
      </c>
    </row>
    <row r="60" spans="1:10" s="53" customFormat="1" ht="14.25" hidden="1" thickBot="1" x14ac:dyDescent="0.3">
      <c r="A60" s="158" t="s">
        <v>3</v>
      </c>
      <c r="B60" s="185">
        <f>B55+1</f>
        <v>43500</v>
      </c>
      <c r="C60" s="12"/>
      <c r="D60" s="12"/>
      <c r="E60" s="16"/>
      <c r="F60" s="143"/>
      <c r="G60" s="143"/>
      <c r="H60" s="15"/>
      <c r="I60" s="65">
        <f>SUM(C60:H60)</f>
        <v>0</v>
      </c>
    </row>
    <row r="61" spans="1:10" s="53" customFormat="1" ht="14.25" hidden="1" thickBot="1" x14ac:dyDescent="0.3">
      <c r="A61" s="158" t="s">
        <v>4</v>
      </c>
      <c r="B61" s="186">
        <f t="shared" ref="B61:B66" si="33">B60+1</f>
        <v>43501</v>
      </c>
      <c r="C61" s="12"/>
      <c r="D61" s="12"/>
      <c r="E61" s="16"/>
      <c r="F61" s="143"/>
      <c r="G61" s="143"/>
      <c r="H61" s="15"/>
      <c r="I61" s="65">
        <f>SUM(C61:H61)</f>
        <v>0</v>
      </c>
    </row>
    <row r="62" spans="1:10" s="53" customFormat="1" ht="13.5" hidden="1" x14ac:dyDescent="0.25">
      <c r="A62" s="158"/>
      <c r="B62" s="186">
        <f t="shared" si="33"/>
        <v>43502</v>
      </c>
      <c r="C62" s="12"/>
      <c r="D62" s="12"/>
      <c r="E62" s="16"/>
      <c r="F62" s="143"/>
      <c r="G62" s="143"/>
      <c r="H62" s="15"/>
      <c r="I62" s="61"/>
    </row>
    <row r="63" spans="1:10" s="53" customFormat="1" ht="13.5" hidden="1" x14ac:dyDescent="0.25">
      <c r="A63" s="158"/>
      <c r="B63" s="186">
        <f t="shared" si="33"/>
        <v>43503</v>
      </c>
      <c r="C63" s="12"/>
      <c r="D63" s="12"/>
      <c r="E63" s="16"/>
      <c r="F63" s="143"/>
      <c r="G63" s="143"/>
      <c r="H63" s="15"/>
      <c r="I63" s="61"/>
    </row>
    <row r="64" spans="1:10" s="53" customFormat="1" ht="13.5" hidden="1" x14ac:dyDescent="0.25">
      <c r="A64" s="31"/>
      <c r="B64" s="186">
        <f t="shared" si="33"/>
        <v>43504</v>
      </c>
      <c r="C64" s="19"/>
      <c r="D64" s="12"/>
      <c r="E64" s="16"/>
      <c r="F64" s="143"/>
      <c r="G64" s="143"/>
      <c r="H64" s="15"/>
      <c r="I64" s="61"/>
    </row>
    <row r="65" spans="1:17" s="53" customFormat="1" ht="13.5" hidden="1" outlineLevel="1" x14ac:dyDescent="0.25">
      <c r="A65" s="31"/>
      <c r="B65" s="186">
        <f t="shared" si="33"/>
        <v>43505</v>
      </c>
      <c r="C65" s="19"/>
      <c r="D65" s="19"/>
      <c r="E65" s="23"/>
      <c r="F65" s="144"/>
      <c r="G65" s="144"/>
      <c r="H65" s="22"/>
      <c r="I65" s="61"/>
    </row>
    <row r="66" spans="1:17" s="53" customFormat="1" ht="13.5" hidden="1" outlineLevel="1" x14ac:dyDescent="0.25">
      <c r="A66" s="31"/>
      <c r="B66" s="186">
        <f t="shared" si="33"/>
        <v>43506</v>
      </c>
      <c r="C66" s="24"/>
      <c r="D66" s="24"/>
      <c r="E66" s="28"/>
      <c r="F66" s="145"/>
      <c r="G66" s="145"/>
      <c r="H66" s="27"/>
      <c r="I66" s="146"/>
    </row>
    <row r="67" spans="1:17" s="53" customFormat="1" ht="14.25" hidden="1" outlineLevel="1" thickBot="1" x14ac:dyDescent="0.3">
      <c r="A67" s="167" t="s">
        <v>21</v>
      </c>
      <c r="B67" s="524" t="s">
        <v>32</v>
      </c>
      <c r="C67" s="121">
        <f>SUM(C60:C66)</f>
        <v>0</v>
      </c>
      <c r="D67" s="121">
        <f t="shared" ref="D67:I67" si="34">SUM(D60:D66)</f>
        <v>0</v>
      </c>
      <c r="E67" s="121">
        <f t="shared" si="34"/>
        <v>0</v>
      </c>
      <c r="F67" s="121"/>
      <c r="G67" s="121">
        <f t="shared" si="34"/>
        <v>0</v>
      </c>
      <c r="H67" s="121">
        <f t="shared" si="34"/>
        <v>0</v>
      </c>
      <c r="I67" s="121">
        <f t="shared" si="34"/>
        <v>0</v>
      </c>
    </row>
    <row r="68" spans="1:17" s="53" customFormat="1" ht="14.25" hidden="1" outlineLevel="1" thickBot="1" x14ac:dyDescent="0.3">
      <c r="A68" s="116" t="s">
        <v>23</v>
      </c>
      <c r="B68" s="525"/>
      <c r="C68" s="117" t="e">
        <f>AVERAGE(C60:C66)</f>
        <v>#DIV/0!</v>
      </c>
      <c r="D68" s="117" t="e">
        <f t="shared" ref="D68:I68" si="35">AVERAGE(D60:D66)</f>
        <v>#DIV/0!</v>
      </c>
      <c r="E68" s="117" t="e">
        <f t="shared" si="35"/>
        <v>#DIV/0!</v>
      </c>
      <c r="F68" s="117"/>
      <c r="G68" s="117" t="e">
        <f t="shared" si="35"/>
        <v>#DIV/0!</v>
      </c>
      <c r="H68" s="117" t="e">
        <f t="shared" si="35"/>
        <v>#DIV/0!</v>
      </c>
      <c r="I68" s="117">
        <f t="shared" si="35"/>
        <v>0</v>
      </c>
    </row>
    <row r="69" spans="1:17" s="53" customFormat="1" ht="14.25" hidden="1" thickBot="1" x14ac:dyDescent="0.3">
      <c r="A69" s="32" t="s">
        <v>20</v>
      </c>
      <c r="B69" s="525"/>
      <c r="C69" s="33">
        <f>SUM(C60:C64)</f>
        <v>0</v>
      </c>
      <c r="D69" s="33">
        <f t="shared" ref="D69:I69" si="36">SUM(D60:D64)</f>
        <v>0</v>
      </c>
      <c r="E69" s="33">
        <f t="shared" si="36"/>
        <v>0</v>
      </c>
      <c r="F69" s="33"/>
      <c r="G69" s="33">
        <f t="shared" si="36"/>
        <v>0</v>
      </c>
      <c r="H69" s="33">
        <f t="shared" si="36"/>
        <v>0</v>
      </c>
      <c r="I69" s="33">
        <f t="shared" si="36"/>
        <v>0</v>
      </c>
    </row>
    <row r="70" spans="1:17" s="53" customFormat="1" ht="14.25" hidden="1" thickBot="1" x14ac:dyDescent="0.3">
      <c r="A70" s="32" t="s">
        <v>22</v>
      </c>
      <c r="B70" s="526"/>
      <c r="C70" s="37" t="e">
        <f>AVERAGE(C60:C64)</f>
        <v>#DIV/0!</v>
      </c>
      <c r="D70" s="37" t="e">
        <f t="shared" ref="D70:I70" si="37">AVERAGE(D60:D64)</f>
        <v>#DIV/0!</v>
      </c>
      <c r="E70" s="37" t="e">
        <f t="shared" si="37"/>
        <v>#DIV/0!</v>
      </c>
      <c r="F70" s="37"/>
      <c r="G70" s="37" t="e">
        <f t="shared" si="37"/>
        <v>#DIV/0!</v>
      </c>
      <c r="H70" s="37" t="e">
        <f t="shared" si="37"/>
        <v>#DIV/0!</v>
      </c>
      <c r="I70" s="37">
        <f t="shared" si="37"/>
        <v>0</v>
      </c>
    </row>
    <row r="71" spans="1:17" s="53" customFormat="1" ht="15" customHeight="1" x14ac:dyDescent="0.25">
      <c r="A71" s="4"/>
      <c r="B71" s="139"/>
      <c r="C71" s="56"/>
      <c r="D71" s="56"/>
      <c r="E71" s="56"/>
      <c r="F71" s="56"/>
      <c r="G71" s="56"/>
      <c r="H71" s="56"/>
      <c r="I71" s="56"/>
    </row>
    <row r="72" spans="1:17" s="53" customFormat="1" ht="30" customHeight="1" x14ac:dyDescent="0.25">
      <c r="A72" s="199"/>
      <c r="B72" s="199"/>
      <c r="C72" s="45" t="s">
        <v>7</v>
      </c>
      <c r="D72" s="45" t="s">
        <v>101</v>
      </c>
      <c r="E72" s="45" t="s">
        <v>102</v>
      </c>
      <c r="F72" s="45" t="s">
        <v>103</v>
      </c>
      <c r="G72" s="45" t="s">
        <v>108</v>
      </c>
      <c r="H72" s="45" t="s">
        <v>109</v>
      </c>
      <c r="I72" s="528" t="s">
        <v>58</v>
      </c>
      <c r="J72" s="529"/>
      <c r="K72" s="530"/>
      <c r="L72" s="66"/>
      <c r="M72" s="66"/>
      <c r="N72" s="66"/>
      <c r="O72" s="56"/>
      <c r="P72" s="56"/>
      <c r="Q72" s="56"/>
    </row>
    <row r="73" spans="1:17" ht="13.5" x14ac:dyDescent="0.25">
      <c r="A73" s="48" t="s">
        <v>30</v>
      </c>
      <c r="B73" s="48"/>
      <c r="C73" s="201">
        <f t="shared" ref="C73:H73" si="38">SUM(C14+C25+C36+C47+C58)</f>
        <v>827</v>
      </c>
      <c r="D73" s="201">
        <f t="shared" si="38"/>
        <v>578</v>
      </c>
      <c r="E73" s="201">
        <f t="shared" si="38"/>
        <v>1082</v>
      </c>
      <c r="F73" s="201">
        <f t="shared" si="38"/>
        <v>2065</v>
      </c>
      <c r="G73" s="201">
        <f t="shared" si="38"/>
        <v>7517</v>
      </c>
      <c r="H73" s="201">
        <f t="shared" si="38"/>
        <v>2393</v>
      </c>
      <c r="I73" s="516" t="s">
        <v>30</v>
      </c>
      <c r="J73" s="517"/>
      <c r="K73" s="112">
        <f>SUM(I14, I25, I36, I47, I58, I69)</f>
        <v>14462</v>
      </c>
      <c r="L73" s="67"/>
      <c r="M73" s="67"/>
      <c r="N73" s="67"/>
    </row>
    <row r="74" spans="1:17" ht="13.5" x14ac:dyDescent="0.25">
      <c r="A74" s="48" t="s">
        <v>29</v>
      </c>
      <c r="B74" s="48"/>
      <c r="C74" s="201">
        <f>SUM(C12+C23+C34+C45+C56)</f>
        <v>1441</v>
      </c>
      <c r="D74" s="201">
        <f>SUM(D12+D23+D34+D45+D56)</f>
        <v>898</v>
      </c>
      <c r="E74" s="201">
        <f>SUM(E12+E23+E34+E45+E56)</f>
        <v>1497</v>
      </c>
      <c r="F74" s="201">
        <f>SUM(F12+F23+F34+F45+F56)</f>
        <v>3176</v>
      </c>
      <c r="G74" s="201">
        <f t="shared" ref="G74" si="39">SUM(G12+G23+G34+G45+G56)</f>
        <v>7517</v>
      </c>
      <c r="H74" s="201">
        <f>SUM(H12+H23+H34+H45+H56)</f>
        <v>7722</v>
      </c>
      <c r="I74" s="516" t="s">
        <v>29</v>
      </c>
      <c r="J74" s="517"/>
      <c r="K74" s="113">
        <f>SUM(I56, I45, I34, I23, I12, I67)</f>
        <v>22251</v>
      </c>
      <c r="L74" s="67"/>
      <c r="M74" s="67"/>
      <c r="N74" s="67"/>
    </row>
    <row r="75" spans="1:17" x14ac:dyDescent="0.25">
      <c r="H75" s="516" t="s">
        <v>22</v>
      </c>
      <c r="I75" s="517"/>
      <c r="J75" s="113">
        <f>AVERAGE(I14, I25, I36, I47, I58, I69)</f>
        <v>2410.3333333333335</v>
      </c>
    </row>
    <row r="76" spans="1:17" x14ac:dyDescent="0.25">
      <c r="H76" s="516" t="s">
        <v>62</v>
      </c>
      <c r="I76" s="517"/>
      <c r="J76" s="112">
        <f>AVERAGE(I56, I45, I34, I23, I12, I67)</f>
        <v>3708.5</v>
      </c>
    </row>
  </sheetData>
  <mergeCells count="23">
    <mergeCell ref="B67:B70"/>
    <mergeCell ref="B12:B15"/>
    <mergeCell ref="B23:B26"/>
    <mergeCell ref="B34:B37"/>
    <mergeCell ref="B45:B48"/>
    <mergeCell ref="B56:B59"/>
    <mergeCell ref="C1:F2"/>
    <mergeCell ref="H1:H2"/>
    <mergeCell ref="I1:I4"/>
    <mergeCell ref="A3:A4"/>
    <mergeCell ref="B3:B4"/>
    <mergeCell ref="C3:C4"/>
    <mergeCell ref="D3:D4"/>
    <mergeCell ref="E3:E4"/>
    <mergeCell ref="G1:G2"/>
    <mergeCell ref="G3:G4"/>
    <mergeCell ref="H3:H4"/>
    <mergeCell ref="F3:F4"/>
    <mergeCell ref="I73:J73"/>
    <mergeCell ref="I74:J74"/>
    <mergeCell ref="H75:I75"/>
    <mergeCell ref="H76:I76"/>
    <mergeCell ref="I72:K72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defaultRowHeight="15" outlineLevelRow="1" x14ac:dyDescent="0.25"/>
  <cols>
    <col min="1" max="1" width="18.7109375" style="1" bestFit="1" customWidth="1"/>
    <col min="2" max="2" width="10.7109375" style="140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4" ht="15" customHeight="1" x14ac:dyDescent="0.25">
      <c r="A1" s="29"/>
      <c r="B1" s="178"/>
      <c r="C1" s="550" t="s">
        <v>9</v>
      </c>
      <c r="D1" s="545" t="s">
        <v>19</v>
      </c>
    </row>
    <row r="2" spans="1:4" ht="15" customHeight="1" thickBot="1" x14ac:dyDescent="0.3">
      <c r="A2" s="30"/>
      <c r="B2" s="179"/>
      <c r="C2" s="554"/>
      <c r="D2" s="485"/>
    </row>
    <row r="3" spans="1:4" ht="15" customHeight="1" x14ac:dyDescent="0.25">
      <c r="A3" s="477" t="s">
        <v>52</v>
      </c>
      <c r="B3" s="496" t="s">
        <v>53</v>
      </c>
      <c r="C3" s="548" t="s">
        <v>33</v>
      </c>
      <c r="D3" s="485"/>
    </row>
    <row r="4" spans="1:4" ht="14.25" thickBot="1" x14ac:dyDescent="0.3">
      <c r="A4" s="507"/>
      <c r="B4" s="498"/>
      <c r="C4" s="549"/>
      <c r="D4" s="485"/>
    </row>
    <row r="5" spans="1:4" s="52" customFormat="1" ht="14.25" hidden="1" thickBot="1" x14ac:dyDescent="0.3">
      <c r="A5" s="31" t="s">
        <v>3</v>
      </c>
      <c r="B5" s="180">
        <v>43465</v>
      </c>
      <c r="C5" s="12"/>
      <c r="D5" s="18">
        <f t="shared" ref="D5:D11" si="0">SUM(C5)</f>
        <v>0</v>
      </c>
    </row>
    <row r="6" spans="1:4" s="52" customFormat="1" ht="14.25" thickBot="1" x14ac:dyDescent="0.3">
      <c r="A6" s="31" t="s">
        <v>4</v>
      </c>
      <c r="B6" s="180">
        <f t="shared" ref="B6:B11" si="1">B5+1</f>
        <v>43466</v>
      </c>
      <c r="C6" s="12">
        <v>610</v>
      </c>
      <c r="D6" s="18">
        <f t="shared" si="0"/>
        <v>610</v>
      </c>
    </row>
    <row r="7" spans="1:4" s="52" customFormat="1" ht="14.25" thickBot="1" x14ac:dyDescent="0.3">
      <c r="A7" s="31" t="s">
        <v>5</v>
      </c>
      <c r="B7" s="180">
        <f t="shared" si="1"/>
        <v>43467</v>
      </c>
      <c r="C7" s="12">
        <v>706</v>
      </c>
      <c r="D7" s="18">
        <f t="shared" si="0"/>
        <v>706</v>
      </c>
    </row>
    <row r="8" spans="1:4" s="52" customFormat="1" ht="14.25" thickBot="1" x14ac:dyDescent="0.3">
      <c r="A8" s="31" t="s">
        <v>6</v>
      </c>
      <c r="B8" s="180">
        <f t="shared" si="1"/>
        <v>43468</v>
      </c>
      <c r="C8" s="12">
        <v>730</v>
      </c>
      <c r="D8" s="18">
        <f t="shared" si="0"/>
        <v>730</v>
      </c>
    </row>
    <row r="9" spans="1:4" s="52" customFormat="1" ht="14.25" thickBot="1" x14ac:dyDescent="0.3">
      <c r="A9" s="31" t="s">
        <v>0</v>
      </c>
      <c r="B9" s="180">
        <f t="shared" si="1"/>
        <v>43469</v>
      </c>
      <c r="C9" s="12">
        <v>861</v>
      </c>
      <c r="D9" s="18">
        <f t="shared" si="0"/>
        <v>861</v>
      </c>
    </row>
    <row r="10" spans="1:4" s="52" customFormat="1" ht="14.25" outlineLevel="1" thickBot="1" x14ac:dyDescent="0.3">
      <c r="A10" s="31" t="s">
        <v>1</v>
      </c>
      <c r="B10" s="180">
        <f t="shared" si="1"/>
        <v>43470</v>
      </c>
      <c r="C10" s="222">
        <v>283</v>
      </c>
      <c r="D10" s="18">
        <f t="shared" si="0"/>
        <v>283</v>
      </c>
    </row>
    <row r="11" spans="1:4" s="52" customFormat="1" ht="15" customHeight="1" outlineLevel="1" thickBot="1" x14ac:dyDescent="0.3">
      <c r="A11" s="31" t="s">
        <v>2</v>
      </c>
      <c r="B11" s="180">
        <f t="shared" si="1"/>
        <v>43471</v>
      </c>
      <c r="C11" s="223">
        <v>391</v>
      </c>
      <c r="D11" s="18">
        <f t="shared" si="0"/>
        <v>391</v>
      </c>
    </row>
    <row r="12" spans="1:4" s="53" customFormat="1" ht="15" customHeight="1" outlineLevel="1" thickBot="1" x14ac:dyDescent="0.3">
      <c r="A12" s="167" t="s">
        <v>21</v>
      </c>
      <c r="B12" s="524" t="s">
        <v>24</v>
      </c>
      <c r="C12" s="224">
        <f>SUM(C5:C11)</f>
        <v>3581</v>
      </c>
      <c r="D12" s="121">
        <f>SUM(D5:D11)</f>
        <v>3581</v>
      </c>
    </row>
    <row r="13" spans="1:4" s="53" customFormat="1" ht="15" customHeight="1" outlineLevel="1" thickBot="1" x14ac:dyDescent="0.3">
      <c r="A13" s="116" t="s">
        <v>23</v>
      </c>
      <c r="B13" s="525"/>
      <c r="C13" s="225">
        <f>AVERAGE(C5:C11)</f>
        <v>596.83333333333337</v>
      </c>
      <c r="D13" s="117">
        <f>AVERAGE(D5:D11)</f>
        <v>511.57142857142856</v>
      </c>
    </row>
    <row r="14" spans="1:4" s="53" customFormat="1" ht="15" customHeight="1" thickBot="1" x14ac:dyDescent="0.3">
      <c r="A14" s="32" t="s">
        <v>20</v>
      </c>
      <c r="B14" s="525"/>
      <c r="C14" s="226">
        <f>SUM(C5:C9)</f>
        <v>2907</v>
      </c>
      <c r="D14" s="33">
        <f>SUM(D5:D9)</f>
        <v>2907</v>
      </c>
    </row>
    <row r="15" spans="1:4" s="53" customFormat="1" ht="15" customHeight="1" thickBot="1" x14ac:dyDescent="0.3">
      <c r="A15" s="32" t="s">
        <v>22</v>
      </c>
      <c r="B15" s="525"/>
      <c r="C15" s="227">
        <f>AVERAGE(C5:C9)</f>
        <v>726.75</v>
      </c>
      <c r="D15" s="37">
        <f>AVERAGE(D5:D9)</f>
        <v>581.4</v>
      </c>
    </row>
    <row r="16" spans="1:4" s="53" customFormat="1" ht="15" customHeight="1" thickBot="1" x14ac:dyDescent="0.3">
      <c r="A16" s="31" t="s">
        <v>3</v>
      </c>
      <c r="B16" s="180">
        <f>B11+1</f>
        <v>43472</v>
      </c>
      <c r="C16" s="220">
        <v>655</v>
      </c>
      <c r="D16" s="194">
        <f>SUM(C16)</f>
        <v>655</v>
      </c>
    </row>
    <row r="17" spans="1:5" s="53" customFormat="1" ht="15" customHeight="1" thickBot="1" x14ac:dyDescent="0.3">
      <c r="A17" s="31" t="s">
        <v>4</v>
      </c>
      <c r="B17" s="181">
        <f t="shared" ref="B17:B22" si="2">B16+1</f>
        <v>43473</v>
      </c>
      <c r="C17" s="220">
        <v>610</v>
      </c>
      <c r="D17" s="65">
        <f t="shared" ref="D17:D22" si="3">SUM(C17)</f>
        <v>610</v>
      </c>
    </row>
    <row r="18" spans="1:5" s="53" customFormat="1" ht="15" customHeight="1" thickBot="1" x14ac:dyDescent="0.3">
      <c r="A18" s="31" t="s">
        <v>5</v>
      </c>
      <c r="B18" s="181">
        <f t="shared" si="2"/>
        <v>43474</v>
      </c>
      <c r="C18" s="220">
        <v>607</v>
      </c>
      <c r="D18" s="194">
        <f t="shared" si="3"/>
        <v>607</v>
      </c>
    </row>
    <row r="19" spans="1:5" s="53" customFormat="1" ht="15" customHeight="1" thickBot="1" x14ac:dyDescent="0.3">
      <c r="A19" s="31" t="s">
        <v>6</v>
      </c>
      <c r="B19" s="182">
        <f t="shared" si="2"/>
        <v>43475</v>
      </c>
      <c r="C19" s="220">
        <v>697</v>
      </c>
      <c r="D19" s="65">
        <f t="shared" si="3"/>
        <v>697</v>
      </c>
    </row>
    <row r="20" spans="1:5" s="53" customFormat="1" ht="15" customHeight="1" thickBot="1" x14ac:dyDescent="0.3">
      <c r="A20" s="31" t="s">
        <v>0</v>
      </c>
      <c r="B20" s="182">
        <f t="shared" si="2"/>
        <v>43476</v>
      </c>
      <c r="C20" s="220">
        <v>665</v>
      </c>
      <c r="D20" s="194">
        <f t="shared" si="3"/>
        <v>665</v>
      </c>
    </row>
    <row r="21" spans="1:5" s="53" customFormat="1" ht="15" customHeight="1" outlineLevel="1" thickBot="1" x14ac:dyDescent="0.3">
      <c r="A21" s="31" t="s">
        <v>1</v>
      </c>
      <c r="B21" s="195">
        <f t="shared" si="2"/>
        <v>43477</v>
      </c>
      <c r="C21" s="222">
        <v>276</v>
      </c>
      <c r="D21" s="65">
        <f t="shared" si="3"/>
        <v>276</v>
      </c>
      <c r="E21" s="162"/>
    </row>
    <row r="22" spans="1:5" s="53" customFormat="1" ht="15" customHeight="1" outlineLevel="1" thickBot="1" x14ac:dyDescent="0.3">
      <c r="A22" s="31" t="s">
        <v>2</v>
      </c>
      <c r="B22" s="181">
        <f t="shared" si="2"/>
        <v>43478</v>
      </c>
      <c r="C22" s="223">
        <v>275</v>
      </c>
      <c r="D22" s="16">
        <f t="shared" si="3"/>
        <v>275</v>
      </c>
    </row>
    <row r="23" spans="1:5" s="53" customFormat="1" ht="15" customHeight="1" outlineLevel="1" thickBot="1" x14ac:dyDescent="0.3">
      <c r="A23" s="167" t="s">
        <v>21</v>
      </c>
      <c r="B23" s="524" t="s">
        <v>25</v>
      </c>
      <c r="C23" s="224">
        <f>SUM(C16:C22)</f>
        <v>3785</v>
      </c>
      <c r="D23" s="121">
        <f>SUM(D16:D22)</f>
        <v>3785</v>
      </c>
    </row>
    <row r="24" spans="1:5" s="53" customFormat="1" ht="15" customHeight="1" outlineLevel="1" thickBot="1" x14ac:dyDescent="0.3">
      <c r="A24" s="116" t="s">
        <v>23</v>
      </c>
      <c r="B24" s="525"/>
      <c r="C24" s="225">
        <f>AVERAGE(C16:C22)</f>
        <v>540.71428571428567</v>
      </c>
      <c r="D24" s="117">
        <f>AVERAGE(D16:D22)</f>
        <v>540.71428571428567</v>
      </c>
    </row>
    <row r="25" spans="1:5" s="53" customFormat="1" ht="15" customHeight="1" thickBot="1" x14ac:dyDescent="0.3">
      <c r="A25" s="32" t="s">
        <v>20</v>
      </c>
      <c r="B25" s="525"/>
      <c r="C25" s="226">
        <f>SUM(C16:C20)</f>
        <v>3234</v>
      </c>
      <c r="D25" s="33">
        <f>SUM(D16:D20)</f>
        <v>3234</v>
      </c>
    </row>
    <row r="26" spans="1:5" s="53" customFormat="1" ht="15" customHeight="1" thickBot="1" x14ac:dyDescent="0.3">
      <c r="A26" s="32" t="s">
        <v>22</v>
      </c>
      <c r="B26" s="526"/>
      <c r="C26" s="227">
        <f>AVERAGE(C16:C20)</f>
        <v>646.79999999999995</v>
      </c>
      <c r="D26" s="37">
        <f>AVERAGE(D16:D20)</f>
        <v>646.79999999999995</v>
      </c>
    </row>
    <row r="27" spans="1:5" s="53" customFormat="1" ht="15" customHeight="1" thickBot="1" x14ac:dyDescent="0.3">
      <c r="A27" s="31" t="s">
        <v>3</v>
      </c>
      <c r="B27" s="183">
        <f>B22+1</f>
        <v>43479</v>
      </c>
      <c r="C27" s="220">
        <v>653</v>
      </c>
      <c r="D27" s="194">
        <f>SUM(C27)</f>
        <v>653</v>
      </c>
    </row>
    <row r="28" spans="1:5" s="53" customFormat="1" ht="15" customHeight="1" thickBot="1" x14ac:dyDescent="0.3">
      <c r="A28" s="31" t="s">
        <v>4</v>
      </c>
      <c r="B28" s="184">
        <f t="shared" ref="B28:B33" si="4">B27+1</f>
        <v>43480</v>
      </c>
      <c r="C28" s="220">
        <v>651</v>
      </c>
      <c r="D28" s="65">
        <f t="shared" ref="D28:D33" si="5">SUM(C28)</f>
        <v>651</v>
      </c>
    </row>
    <row r="29" spans="1:5" s="53" customFormat="1" ht="15" customHeight="1" thickBot="1" x14ac:dyDescent="0.3">
      <c r="A29" s="31" t="s">
        <v>5</v>
      </c>
      <c r="B29" s="184">
        <f t="shared" si="4"/>
        <v>43481</v>
      </c>
      <c r="C29" s="220">
        <v>622</v>
      </c>
      <c r="D29" s="194">
        <f t="shared" si="5"/>
        <v>622</v>
      </c>
    </row>
    <row r="30" spans="1:5" s="53" customFormat="1" ht="15" customHeight="1" thickBot="1" x14ac:dyDescent="0.3">
      <c r="A30" s="31" t="s">
        <v>6</v>
      </c>
      <c r="B30" s="184">
        <f t="shared" si="4"/>
        <v>43482</v>
      </c>
      <c r="C30" s="220">
        <v>633</v>
      </c>
      <c r="D30" s="65">
        <f t="shared" si="5"/>
        <v>633</v>
      </c>
    </row>
    <row r="31" spans="1:5" s="53" customFormat="1" ht="15" customHeight="1" thickBot="1" x14ac:dyDescent="0.3">
      <c r="A31" s="31" t="s">
        <v>0</v>
      </c>
      <c r="B31" s="184">
        <f t="shared" si="4"/>
        <v>43483</v>
      </c>
      <c r="C31" s="220">
        <v>546</v>
      </c>
      <c r="D31" s="194">
        <f t="shared" si="5"/>
        <v>546</v>
      </c>
    </row>
    <row r="32" spans="1:5" s="53" customFormat="1" ht="15" customHeight="1" outlineLevel="1" thickBot="1" x14ac:dyDescent="0.3">
      <c r="A32" s="31" t="s">
        <v>1</v>
      </c>
      <c r="B32" s="184">
        <f t="shared" si="4"/>
        <v>43484</v>
      </c>
      <c r="C32" s="222">
        <v>269</v>
      </c>
      <c r="D32" s="65">
        <f t="shared" si="5"/>
        <v>269</v>
      </c>
    </row>
    <row r="33" spans="1:5" s="53" customFormat="1" ht="15" customHeight="1" outlineLevel="1" thickBot="1" x14ac:dyDescent="0.3">
      <c r="A33" s="31" t="s">
        <v>2</v>
      </c>
      <c r="B33" s="184">
        <f t="shared" si="4"/>
        <v>43485</v>
      </c>
      <c r="C33" s="223">
        <v>165</v>
      </c>
      <c r="D33" s="16">
        <f t="shared" si="5"/>
        <v>165</v>
      </c>
    </row>
    <row r="34" spans="1:5" s="53" customFormat="1" ht="15" customHeight="1" outlineLevel="1" thickBot="1" x14ac:dyDescent="0.3">
      <c r="A34" s="167" t="s">
        <v>21</v>
      </c>
      <c r="B34" s="524" t="s">
        <v>26</v>
      </c>
      <c r="C34" s="224">
        <f>SUM(C27:C33)</f>
        <v>3539</v>
      </c>
      <c r="D34" s="121">
        <f>SUM(D27:D33)</f>
        <v>3539</v>
      </c>
    </row>
    <row r="35" spans="1:5" s="53" customFormat="1" ht="15" customHeight="1" outlineLevel="1" thickBot="1" x14ac:dyDescent="0.3">
      <c r="A35" s="116" t="s">
        <v>23</v>
      </c>
      <c r="B35" s="525"/>
      <c r="C35" s="225">
        <f>AVERAGE(C27:C33)</f>
        <v>505.57142857142856</v>
      </c>
      <c r="D35" s="117">
        <f>AVERAGE(D27:D33)</f>
        <v>505.57142857142856</v>
      </c>
    </row>
    <row r="36" spans="1:5" s="53" customFormat="1" ht="15" customHeight="1" thickBot="1" x14ac:dyDescent="0.3">
      <c r="A36" s="32" t="s">
        <v>20</v>
      </c>
      <c r="B36" s="525"/>
      <c r="C36" s="228">
        <f>SUM(C27:C31)</f>
        <v>3105</v>
      </c>
      <c r="D36" s="36">
        <f>SUM(D27:D31)</f>
        <v>3105</v>
      </c>
    </row>
    <row r="37" spans="1:5" s="53" customFormat="1" ht="15" customHeight="1" thickBot="1" x14ac:dyDescent="0.3">
      <c r="A37" s="32" t="s">
        <v>22</v>
      </c>
      <c r="B37" s="526"/>
      <c r="C37" s="229">
        <f>AVERAGE(C27:C31)</f>
        <v>621</v>
      </c>
      <c r="D37" s="41">
        <f>AVERAGE(D27:D31)</f>
        <v>621</v>
      </c>
    </row>
    <row r="38" spans="1:5" s="53" customFormat="1" ht="15" customHeight="1" thickBot="1" x14ac:dyDescent="0.3">
      <c r="A38" s="31" t="s">
        <v>3</v>
      </c>
      <c r="B38" s="185">
        <f>B33+1</f>
        <v>43486</v>
      </c>
      <c r="C38" s="220">
        <v>157</v>
      </c>
      <c r="D38" s="194">
        <f>SUM(C38)</f>
        <v>157</v>
      </c>
    </row>
    <row r="39" spans="1:5" s="53" customFormat="1" ht="15" customHeight="1" thickBot="1" x14ac:dyDescent="0.3">
      <c r="A39" s="31" t="s">
        <v>4</v>
      </c>
      <c r="B39" s="186">
        <f t="shared" ref="B39:B44" si="6">B38+1</f>
        <v>43487</v>
      </c>
      <c r="C39" s="220">
        <v>429</v>
      </c>
      <c r="D39" s="65">
        <f t="shared" ref="D39:D44" si="7">SUM(C39)</f>
        <v>429</v>
      </c>
    </row>
    <row r="40" spans="1:5" s="53" customFormat="1" ht="15" customHeight="1" thickBot="1" x14ac:dyDescent="0.3">
      <c r="A40" s="31" t="s">
        <v>5</v>
      </c>
      <c r="B40" s="186">
        <f t="shared" si="6"/>
        <v>43488</v>
      </c>
      <c r="C40" s="220">
        <v>325</v>
      </c>
      <c r="D40" s="194">
        <f t="shared" si="7"/>
        <v>325</v>
      </c>
    </row>
    <row r="41" spans="1:5" s="53" customFormat="1" ht="15" customHeight="1" thickBot="1" x14ac:dyDescent="0.3">
      <c r="A41" s="31" t="s">
        <v>6</v>
      </c>
      <c r="B41" s="186">
        <f t="shared" si="6"/>
        <v>43489</v>
      </c>
      <c r="C41" s="220">
        <v>386</v>
      </c>
      <c r="D41" s="65">
        <f t="shared" si="7"/>
        <v>386</v>
      </c>
    </row>
    <row r="42" spans="1:5" s="53" customFormat="1" ht="15" customHeight="1" thickBot="1" x14ac:dyDescent="0.3">
      <c r="A42" s="31" t="s">
        <v>0</v>
      </c>
      <c r="B42" s="186">
        <f t="shared" si="6"/>
        <v>43490</v>
      </c>
      <c r="C42" s="220">
        <v>414</v>
      </c>
      <c r="D42" s="194">
        <f t="shared" si="7"/>
        <v>414</v>
      </c>
    </row>
    <row r="43" spans="1:5" s="53" customFormat="1" ht="15" customHeight="1" outlineLevel="1" thickBot="1" x14ac:dyDescent="0.3">
      <c r="A43" s="31" t="s">
        <v>1</v>
      </c>
      <c r="B43" s="186">
        <f t="shared" si="6"/>
        <v>43491</v>
      </c>
      <c r="C43" s="222">
        <v>345</v>
      </c>
      <c r="D43" s="65">
        <f t="shared" si="7"/>
        <v>345</v>
      </c>
      <c r="E43" s="162"/>
    </row>
    <row r="44" spans="1:5" s="53" customFormat="1" ht="15" customHeight="1" outlineLevel="1" thickBot="1" x14ac:dyDescent="0.3">
      <c r="A44" s="31" t="s">
        <v>2</v>
      </c>
      <c r="B44" s="186">
        <f t="shared" si="6"/>
        <v>43492</v>
      </c>
      <c r="C44" s="223">
        <v>330</v>
      </c>
      <c r="D44" s="16">
        <f t="shared" si="7"/>
        <v>330</v>
      </c>
      <c r="E44" s="162"/>
    </row>
    <row r="45" spans="1:5" s="53" customFormat="1" ht="15" customHeight="1" outlineLevel="1" thickBot="1" x14ac:dyDescent="0.3">
      <c r="A45" s="167" t="s">
        <v>21</v>
      </c>
      <c r="B45" s="524" t="s">
        <v>27</v>
      </c>
      <c r="C45" s="224">
        <f>SUM(C38:C44)</f>
        <v>2386</v>
      </c>
      <c r="D45" s="121">
        <f>SUM(D38:D44)</f>
        <v>2386</v>
      </c>
      <c r="E45" s="162"/>
    </row>
    <row r="46" spans="1:5" s="53" customFormat="1" ht="15" customHeight="1" outlineLevel="1" thickBot="1" x14ac:dyDescent="0.3">
      <c r="A46" s="116" t="s">
        <v>23</v>
      </c>
      <c r="B46" s="525"/>
      <c r="C46" s="225">
        <f>AVERAGE(C38:C44)</f>
        <v>340.85714285714283</v>
      </c>
      <c r="D46" s="117">
        <f>AVERAGE(D38:D44)</f>
        <v>340.85714285714283</v>
      </c>
      <c r="E46" s="162"/>
    </row>
    <row r="47" spans="1:5" s="53" customFormat="1" ht="15" customHeight="1" thickBot="1" x14ac:dyDescent="0.3">
      <c r="A47" s="32" t="s">
        <v>20</v>
      </c>
      <c r="B47" s="525"/>
      <c r="C47" s="228">
        <f>SUM(C38:C42)</f>
        <v>1711</v>
      </c>
      <c r="D47" s="36">
        <f>SUM(D38:D42)</f>
        <v>1711</v>
      </c>
      <c r="E47" s="162"/>
    </row>
    <row r="48" spans="1:5" s="53" customFormat="1" ht="15" customHeight="1" thickBot="1" x14ac:dyDescent="0.3">
      <c r="A48" s="32" t="s">
        <v>22</v>
      </c>
      <c r="B48" s="526"/>
      <c r="C48" s="229">
        <f>AVERAGE(C38:C42)</f>
        <v>342.2</v>
      </c>
      <c r="D48" s="41">
        <f>AVERAGE(D38:D42)</f>
        <v>342.2</v>
      </c>
      <c r="E48" s="162"/>
    </row>
    <row r="49" spans="1:5" s="53" customFormat="1" ht="15" customHeight="1" thickBot="1" x14ac:dyDescent="0.3">
      <c r="A49" s="31" t="s">
        <v>3</v>
      </c>
      <c r="B49" s="185">
        <f>B44+1</f>
        <v>43493</v>
      </c>
      <c r="C49" s="230">
        <v>624</v>
      </c>
      <c r="D49" s="18">
        <f t="shared" ref="D49:D55" si="8">SUM(C49)</f>
        <v>624</v>
      </c>
      <c r="E49" s="162"/>
    </row>
    <row r="50" spans="1:5" s="53" customFormat="1" ht="15" customHeight="1" thickBot="1" x14ac:dyDescent="0.3">
      <c r="A50" s="158" t="s">
        <v>4</v>
      </c>
      <c r="B50" s="186">
        <f t="shared" ref="B50:B55" si="9">B49+1</f>
        <v>43494</v>
      </c>
      <c r="C50" s="220">
        <v>581</v>
      </c>
      <c r="D50" s="18">
        <f t="shared" si="8"/>
        <v>581</v>
      </c>
      <c r="E50" s="162"/>
    </row>
    <row r="51" spans="1:5" s="53" customFormat="1" ht="14.25" thickBot="1" x14ac:dyDescent="0.3">
      <c r="A51" s="158" t="s">
        <v>5</v>
      </c>
      <c r="B51" s="186">
        <f t="shared" si="9"/>
        <v>43495</v>
      </c>
      <c r="C51" s="231">
        <v>566</v>
      </c>
      <c r="D51" s="18">
        <f t="shared" si="8"/>
        <v>566</v>
      </c>
      <c r="E51" s="162"/>
    </row>
    <row r="52" spans="1:5" s="53" customFormat="1" ht="14.25" thickBot="1" x14ac:dyDescent="0.3">
      <c r="A52" s="158" t="s">
        <v>6</v>
      </c>
      <c r="B52" s="186">
        <f t="shared" si="9"/>
        <v>43496</v>
      </c>
      <c r="C52" s="220">
        <v>583</v>
      </c>
      <c r="D52" s="18">
        <f t="shared" si="8"/>
        <v>583</v>
      </c>
      <c r="E52" s="162"/>
    </row>
    <row r="53" spans="1:5" s="53" customFormat="1" ht="14.25" hidden="1" thickBot="1" x14ac:dyDescent="0.3">
      <c r="A53" s="31" t="s">
        <v>0</v>
      </c>
      <c r="B53" s="188">
        <f t="shared" si="9"/>
        <v>43497</v>
      </c>
      <c r="C53" s="220"/>
      <c r="D53" s="18">
        <f t="shared" si="8"/>
        <v>0</v>
      </c>
      <c r="E53" s="162"/>
    </row>
    <row r="54" spans="1:5" s="53" customFormat="1" ht="14.25" hidden="1" outlineLevel="1" thickBot="1" x14ac:dyDescent="0.3">
      <c r="A54" s="31" t="s">
        <v>1</v>
      </c>
      <c r="B54" s="188">
        <f t="shared" si="9"/>
        <v>43498</v>
      </c>
      <c r="C54" s="222"/>
      <c r="D54" s="18">
        <f t="shared" si="8"/>
        <v>0</v>
      </c>
      <c r="E54" s="162"/>
    </row>
    <row r="55" spans="1:5" s="53" customFormat="1" ht="14.25" hidden="1" outlineLevel="1" thickBot="1" x14ac:dyDescent="0.3">
      <c r="A55" s="158" t="s">
        <v>2</v>
      </c>
      <c r="B55" s="188">
        <f t="shared" si="9"/>
        <v>43499</v>
      </c>
      <c r="C55" s="223"/>
      <c r="D55" s="18">
        <f t="shared" si="8"/>
        <v>0</v>
      </c>
    </row>
    <row r="56" spans="1:5" s="53" customFormat="1" ht="15" customHeight="1" outlineLevel="1" thickBot="1" x14ac:dyDescent="0.3">
      <c r="A56" s="167" t="s">
        <v>21</v>
      </c>
      <c r="B56" s="524" t="s">
        <v>28</v>
      </c>
      <c r="C56" s="224">
        <f>SUM(C49:C55)</f>
        <v>2354</v>
      </c>
      <c r="D56" s="121">
        <f t="shared" ref="D56:D70" si="10">SUM(C56)</f>
        <v>2354</v>
      </c>
    </row>
    <row r="57" spans="1:5" s="53" customFormat="1" ht="15" customHeight="1" outlineLevel="1" thickBot="1" x14ac:dyDescent="0.3">
      <c r="A57" s="116" t="s">
        <v>23</v>
      </c>
      <c r="B57" s="525"/>
      <c r="C57" s="225">
        <f>AVERAGE(C49:C55)</f>
        <v>588.5</v>
      </c>
      <c r="D57" s="121">
        <f t="shared" si="10"/>
        <v>588.5</v>
      </c>
    </row>
    <row r="58" spans="1:5" s="53" customFormat="1" ht="15" customHeight="1" thickBot="1" x14ac:dyDescent="0.3">
      <c r="A58" s="32" t="s">
        <v>20</v>
      </c>
      <c r="B58" s="525"/>
      <c r="C58" s="226">
        <f>SUM(C49:C53)</f>
        <v>2354</v>
      </c>
      <c r="D58" s="33">
        <f t="shared" si="10"/>
        <v>2354</v>
      </c>
    </row>
    <row r="59" spans="1:5" s="53" customFormat="1" ht="14.25" thickBot="1" x14ac:dyDescent="0.3">
      <c r="A59" s="32" t="s">
        <v>22</v>
      </c>
      <c r="B59" s="526"/>
      <c r="C59" s="227">
        <f>AVERAGE(C49:C53)</f>
        <v>588.5</v>
      </c>
      <c r="D59" s="37">
        <f t="shared" si="10"/>
        <v>588.5</v>
      </c>
    </row>
    <row r="60" spans="1:5" s="53" customFormat="1" ht="14.25" hidden="1" thickBot="1" x14ac:dyDescent="0.3">
      <c r="A60" s="158" t="s">
        <v>3</v>
      </c>
      <c r="B60" s="185">
        <f>B55+1</f>
        <v>43500</v>
      </c>
      <c r="C60" s="220"/>
      <c r="D60" s="18">
        <f>SUM(C60)</f>
        <v>0</v>
      </c>
    </row>
    <row r="61" spans="1:5" s="53" customFormat="1" ht="14.25" hidden="1" thickBot="1" x14ac:dyDescent="0.3">
      <c r="A61" s="158" t="s">
        <v>4</v>
      </c>
      <c r="B61" s="186">
        <f t="shared" ref="B61:B66" si="11">B60+1</f>
        <v>43501</v>
      </c>
      <c r="C61" s="220"/>
      <c r="D61" s="18">
        <f>SUM(C61)</f>
        <v>0</v>
      </c>
    </row>
    <row r="62" spans="1:5" s="53" customFormat="1" ht="14.25" hidden="1" thickBot="1" x14ac:dyDescent="0.3">
      <c r="A62" s="158" t="s">
        <v>5</v>
      </c>
      <c r="B62" s="186">
        <f t="shared" si="11"/>
        <v>43502</v>
      </c>
      <c r="C62" s="221"/>
      <c r="D62" s="18"/>
    </row>
    <row r="63" spans="1:5" s="53" customFormat="1" ht="14.25" hidden="1" thickBot="1" x14ac:dyDescent="0.3">
      <c r="A63" s="158" t="s">
        <v>6</v>
      </c>
      <c r="B63" s="186">
        <f t="shared" si="11"/>
        <v>43503</v>
      </c>
      <c r="C63" s="221"/>
      <c r="D63" s="18"/>
    </row>
    <row r="64" spans="1:5" s="53" customFormat="1" ht="14.25" hidden="1" thickBot="1" x14ac:dyDescent="0.3">
      <c r="A64" s="158" t="s">
        <v>0</v>
      </c>
      <c r="B64" s="186">
        <f t="shared" si="11"/>
        <v>43504</v>
      </c>
      <c r="C64" s="221"/>
      <c r="D64" s="18"/>
    </row>
    <row r="65" spans="1:6" s="53" customFormat="1" ht="14.25" hidden="1" outlineLevel="1" thickBot="1" x14ac:dyDescent="0.3">
      <c r="A65" s="158" t="s">
        <v>1</v>
      </c>
      <c r="B65" s="186">
        <f t="shared" si="11"/>
        <v>43505</v>
      </c>
      <c r="C65" s="232"/>
      <c r="D65" s="18"/>
    </row>
    <row r="66" spans="1:6" s="53" customFormat="1" ht="14.25" hidden="1" outlineLevel="1" thickBot="1" x14ac:dyDescent="0.3">
      <c r="A66" s="158" t="s">
        <v>2</v>
      </c>
      <c r="B66" s="186">
        <f t="shared" si="11"/>
        <v>43506</v>
      </c>
      <c r="C66" s="233"/>
      <c r="D66" s="18"/>
    </row>
    <row r="67" spans="1:6" s="53" customFormat="1" ht="14.25" hidden="1" outlineLevel="1" thickBot="1" x14ac:dyDescent="0.3">
      <c r="A67" s="167" t="s">
        <v>21</v>
      </c>
      <c r="B67" s="525" t="s">
        <v>32</v>
      </c>
      <c r="C67" s="224">
        <f>SUM(C60:C66)</f>
        <v>0</v>
      </c>
      <c r="D67" s="121">
        <f t="shared" si="10"/>
        <v>0</v>
      </c>
    </row>
    <row r="68" spans="1:6" s="53" customFormat="1" ht="14.25" hidden="1" outlineLevel="1" thickBot="1" x14ac:dyDescent="0.3">
      <c r="A68" s="116" t="s">
        <v>23</v>
      </c>
      <c r="B68" s="525"/>
      <c r="C68" s="225" t="e">
        <f>AVERAGE(C60:C66)</f>
        <v>#DIV/0!</v>
      </c>
      <c r="D68" s="117" t="e">
        <f t="shared" si="10"/>
        <v>#DIV/0!</v>
      </c>
    </row>
    <row r="69" spans="1:6" s="53" customFormat="1" ht="14.25" hidden="1" thickBot="1" x14ac:dyDescent="0.3">
      <c r="A69" s="32" t="s">
        <v>20</v>
      </c>
      <c r="B69" s="525"/>
      <c r="C69" s="226">
        <f>SUM(C60:C64)</f>
        <v>0</v>
      </c>
      <c r="D69" s="33">
        <f t="shared" si="10"/>
        <v>0</v>
      </c>
    </row>
    <row r="70" spans="1:6" s="53" customFormat="1" ht="14.25" hidden="1" thickBot="1" x14ac:dyDescent="0.3">
      <c r="A70" s="32" t="s">
        <v>22</v>
      </c>
      <c r="B70" s="526"/>
      <c r="C70" s="227" t="e">
        <f>AVERAGE(C60:C64)</f>
        <v>#DIV/0!</v>
      </c>
      <c r="D70" s="37" t="e">
        <f t="shared" si="10"/>
        <v>#DIV/0!</v>
      </c>
    </row>
    <row r="71" spans="1:6" s="53" customFormat="1" ht="15" customHeight="1" x14ac:dyDescent="0.25">
      <c r="A71" s="4"/>
      <c r="B71" s="139"/>
      <c r="C71" s="56"/>
      <c r="D71" s="56"/>
    </row>
    <row r="72" spans="1:6" s="53" customFormat="1" ht="42" customHeight="1" x14ac:dyDescent="0.25">
      <c r="A72" s="199"/>
      <c r="B72" s="200" t="s">
        <v>9</v>
      </c>
      <c r="D72" s="528" t="s">
        <v>57</v>
      </c>
      <c r="E72" s="529"/>
      <c r="F72" s="530"/>
    </row>
    <row r="73" spans="1:6" ht="30" customHeight="1" x14ac:dyDescent="0.25">
      <c r="A73" s="48" t="s">
        <v>30</v>
      </c>
      <c r="B73" s="201">
        <f>SUM(C58:C58, C47:C47, C36:C36, C25:C25, C14:C14, C69:C69)</f>
        <v>13311</v>
      </c>
      <c r="D73" s="516" t="s">
        <v>30</v>
      </c>
      <c r="E73" s="517"/>
      <c r="F73" s="112">
        <f>SUM(D14, D25, D36, D47, D58, D69)</f>
        <v>13311</v>
      </c>
    </row>
    <row r="74" spans="1:6" ht="30" customHeight="1" x14ac:dyDescent="0.25">
      <c r="A74" s="48" t="s">
        <v>29</v>
      </c>
      <c r="B74" s="201">
        <f>SUM(C56:C56, C45:C45, C34:C34, C23:C23, C12:C12, C67:C67 )</f>
        <v>15645</v>
      </c>
      <c r="D74" s="516" t="s">
        <v>29</v>
      </c>
      <c r="E74" s="517"/>
      <c r="F74" s="113">
        <f>SUM(D56, D45, D34, D23, D12, D67)</f>
        <v>15645</v>
      </c>
    </row>
    <row r="75" spans="1:6" ht="30" customHeight="1" x14ac:dyDescent="0.25">
      <c r="D75" s="516" t="s">
        <v>22</v>
      </c>
      <c r="E75" s="517"/>
      <c r="F75" s="113">
        <f>AVERAGE(D14, D25, D36, D47, D58, D69)</f>
        <v>2218.5</v>
      </c>
    </row>
    <row r="76" spans="1:6" ht="30" customHeight="1" x14ac:dyDescent="0.25">
      <c r="D76" s="516" t="s">
        <v>62</v>
      </c>
      <c r="E76" s="517"/>
      <c r="F76" s="112">
        <f>AVERAGE(D56, D45, D34, D23, D12, D67)</f>
        <v>2607.5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3F702-0F25-4A33-BE5F-406E260777D2}"/>
</file>

<file path=customXml/itemProps2.xml><?xml version="1.0" encoding="utf-8"?>
<ds:datastoreItem xmlns:ds="http://schemas.openxmlformats.org/officeDocument/2006/customXml" ds:itemID="{309E7542-D705-4356-AAE0-96511FDA6D69}"/>
</file>

<file path=customXml/itemProps3.xml><?xml version="1.0" encoding="utf-8"?>
<ds:datastoreItem xmlns:ds="http://schemas.openxmlformats.org/officeDocument/2006/customXml" ds:itemID="{56C63AC2-8F50-4920-A0B3-E4E865FB05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</vt:lpstr>
      <vt:lpstr>Billy Bey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2019-03-20T21:13:00Z</dcterms:created>
  <dcterms:modified xsi:type="dcterms:W3CDTF">2019-03-20T21:13:03Z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