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Ridership Statistics\Private Ferries\2019\"/>
    </mc:Choice>
  </mc:AlternateContent>
  <bookViews>
    <workbookView xWindow="0" yWindow="0" windowWidth="28800" windowHeight="12135" tabRatio="673"/>
  </bookViews>
  <sheets>
    <sheet name="Weekday Totals" sheetId="6" r:id="rId1"/>
    <sheet name="Monthly Totals" sheetId="7" r:id="rId2"/>
    <sheet name="Sheet2" sheetId="12" state="hidden" r:id="rId3"/>
    <sheet name="NYC Ferry" sheetId="10" r:id="rId4"/>
    <sheet name="NY Waterway-(Port Imperial FC)" sheetId="1" r:id="rId5"/>
    <sheet name="NY Waterway-(Billy Bey FC)" sheetId="3" r:id="rId6"/>
    <sheet name="SeaStreak" sheetId="4" r:id="rId7"/>
    <sheet name="New York Water Taxi" sheetId="2" r:id="rId8"/>
    <sheet name="Liberty Landing Ferry" sheetId="5" r:id="rId9"/>
    <sheet name="Water Tours" sheetId="11" state="hidden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1">'Monthly Totals'!$A$1:$B$77</definedName>
    <definedName name="_xlnm.Print_Area" localSheetId="5">'NY Waterway-(Billy Bey FC)'!$A$1:$M$76</definedName>
    <definedName name="_xlnm.Print_Area" localSheetId="0">'Weekday Totals'!$A$1:$Q$77</definedName>
  </definedNames>
  <calcPr calcId="152511"/>
</workbook>
</file>

<file path=xl/calcChain.xml><?xml version="1.0" encoding="utf-8"?>
<calcChain xmlns="http://schemas.openxmlformats.org/spreadsheetml/2006/main">
  <c r="K55" i="2" l="1"/>
  <c r="K54" i="2"/>
  <c r="K53" i="2"/>
  <c r="K52" i="2"/>
  <c r="K51" i="2"/>
  <c r="K50" i="2"/>
  <c r="K49" i="2"/>
  <c r="K44" i="2"/>
  <c r="K43" i="2"/>
  <c r="K42" i="2"/>
  <c r="K41" i="2"/>
  <c r="K40" i="2"/>
  <c r="K39" i="2"/>
  <c r="K38" i="2"/>
  <c r="K33" i="2"/>
  <c r="K32" i="2"/>
  <c r="K31" i="2"/>
  <c r="K30" i="2"/>
  <c r="K29" i="2"/>
  <c r="K28" i="2"/>
  <c r="K27" i="2"/>
  <c r="K22" i="2"/>
  <c r="K21" i="2"/>
  <c r="K20" i="2"/>
  <c r="K19" i="2"/>
  <c r="K18" i="2"/>
  <c r="K17" i="2"/>
  <c r="K16" i="2"/>
  <c r="K11" i="2"/>
  <c r="K10" i="2"/>
  <c r="K9" i="2"/>
  <c r="B52" i="7"/>
  <c r="N48" i="6"/>
  <c r="K48" i="6"/>
  <c r="H48" i="6"/>
  <c r="N50" i="6"/>
  <c r="K50" i="6"/>
  <c r="H50" i="6"/>
  <c r="K47" i="2" l="1"/>
  <c r="E50" i="6" l="1"/>
  <c r="E46" i="6"/>
  <c r="E48" i="6"/>
  <c r="B48" i="6"/>
  <c r="B50" i="6"/>
  <c r="J74" i="2"/>
  <c r="J73" i="2"/>
  <c r="H74" i="2"/>
  <c r="H73" i="2"/>
  <c r="J45" i="2"/>
  <c r="I34" i="2"/>
  <c r="J67" i="2"/>
  <c r="J68" i="2"/>
  <c r="J69" i="2"/>
  <c r="J70" i="2"/>
  <c r="H67" i="2"/>
  <c r="H68" i="2"/>
  <c r="H69" i="2"/>
  <c r="H70" i="2"/>
  <c r="J56" i="2"/>
  <c r="J57" i="2"/>
  <c r="J58" i="2"/>
  <c r="J59" i="2"/>
  <c r="H56" i="2"/>
  <c r="H57" i="2"/>
  <c r="H58" i="2"/>
  <c r="H59" i="2"/>
  <c r="J46" i="2"/>
  <c r="J47" i="2"/>
  <c r="J48" i="2"/>
  <c r="H45" i="2"/>
  <c r="H46" i="2"/>
  <c r="H47" i="2"/>
  <c r="H48" i="2"/>
  <c r="J34" i="2"/>
  <c r="J35" i="2"/>
  <c r="J36" i="2"/>
  <c r="J37" i="2"/>
  <c r="H34" i="2"/>
  <c r="H35" i="2"/>
  <c r="H36" i="2"/>
  <c r="H37" i="2"/>
  <c r="J23" i="2"/>
  <c r="J24" i="2"/>
  <c r="J25" i="2"/>
  <c r="J26" i="2"/>
  <c r="H23" i="2"/>
  <c r="H24" i="2"/>
  <c r="H25" i="2"/>
  <c r="H26" i="2"/>
  <c r="J15" i="2"/>
  <c r="J14" i="2"/>
  <c r="J13" i="2"/>
  <c r="J12" i="2"/>
  <c r="H15" i="2"/>
  <c r="H14" i="2"/>
  <c r="H13" i="2"/>
  <c r="H12" i="2"/>
  <c r="I23" i="2"/>
  <c r="I24" i="2"/>
  <c r="I12" i="2"/>
  <c r="E46" i="3" l="1"/>
  <c r="E45" i="3"/>
  <c r="E34" i="3"/>
  <c r="AI56" i="10"/>
  <c r="AI45" i="10"/>
  <c r="AI34" i="10"/>
  <c r="AI23" i="10"/>
  <c r="AI12" i="10"/>
  <c r="C56" i="4"/>
  <c r="D56" i="4"/>
  <c r="E56" i="4"/>
  <c r="F56" i="4"/>
  <c r="G56" i="4"/>
  <c r="G55" i="4"/>
  <c r="G54" i="4"/>
  <c r="G53" i="4"/>
  <c r="G52" i="4"/>
  <c r="G51" i="4"/>
  <c r="G50" i="4"/>
  <c r="G49" i="4"/>
  <c r="G45" i="4"/>
  <c r="C45" i="4"/>
  <c r="D45" i="4"/>
  <c r="E45" i="4"/>
  <c r="F45" i="4"/>
  <c r="G44" i="4"/>
  <c r="G43" i="4"/>
  <c r="G42" i="4"/>
  <c r="G41" i="4"/>
  <c r="G40" i="4"/>
  <c r="G39" i="4"/>
  <c r="G38" i="4"/>
  <c r="G27" i="4"/>
  <c r="C14" i="4"/>
  <c r="C25" i="4"/>
  <c r="D25" i="4"/>
  <c r="E25" i="4"/>
  <c r="F25" i="4"/>
  <c r="G25" i="4"/>
  <c r="G23" i="4"/>
  <c r="C23" i="4"/>
  <c r="D23" i="4"/>
  <c r="E23" i="4"/>
  <c r="F23" i="4"/>
  <c r="G22" i="4"/>
  <c r="G21" i="4"/>
  <c r="G20" i="4"/>
  <c r="G19" i="4"/>
  <c r="G18" i="4"/>
  <c r="G17" i="4"/>
  <c r="G16" i="4"/>
  <c r="G11" i="4"/>
  <c r="G10" i="4"/>
  <c r="G9" i="4"/>
  <c r="C12" i="4"/>
  <c r="D12" i="4"/>
  <c r="E12" i="4"/>
  <c r="F12" i="4"/>
  <c r="G12" i="4" l="1"/>
  <c r="B46" i="7"/>
  <c r="D56" i="1" l="1"/>
  <c r="C56" i="1"/>
  <c r="G56" i="1"/>
  <c r="F56" i="1"/>
  <c r="E56" i="1"/>
  <c r="C45" i="1"/>
  <c r="D45" i="1"/>
  <c r="E45" i="1"/>
  <c r="F45" i="1"/>
  <c r="G45" i="1"/>
  <c r="G34" i="1"/>
  <c r="F34" i="1"/>
  <c r="E34" i="1"/>
  <c r="D34" i="1"/>
  <c r="C34" i="1"/>
  <c r="G23" i="1"/>
  <c r="F23" i="1"/>
  <c r="E23" i="1"/>
  <c r="D23" i="1"/>
  <c r="C23" i="1"/>
  <c r="AI55" i="10" l="1"/>
  <c r="AI42" i="10"/>
  <c r="AI43" i="10"/>
  <c r="AI40" i="10"/>
  <c r="AI39" i="10"/>
  <c r="AI38" i="10"/>
  <c r="AI33" i="10"/>
  <c r="AI32" i="10"/>
  <c r="AI31" i="10"/>
  <c r="AI30" i="10"/>
  <c r="AI29" i="10"/>
  <c r="AI28" i="10"/>
  <c r="AI27" i="10"/>
  <c r="AI22" i="10"/>
  <c r="AI21" i="10"/>
  <c r="AI20" i="10"/>
  <c r="AI19" i="10"/>
  <c r="AI18" i="10"/>
  <c r="AI17" i="10"/>
  <c r="AI16" i="10"/>
  <c r="AI11" i="10"/>
  <c r="AI10" i="10"/>
  <c r="AI9" i="10"/>
  <c r="D56" i="5" l="1"/>
  <c r="C56" i="5"/>
  <c r="D45" i="5"/>
  <c r="C45" i="5"/>
  <c r="D34" i="5"/>
  <c r="C34" i="5"/>
  <c r="D23" i="5"/>
  <c r="C23" i="5"/>
  <c r="C12" i="5"/>
  <c r="G34" i="4"/>
  <c r="M56" i="3"/>
  <c r="M45" i="3"/>
  <c r="M34" i="3"/>
  <c r="M23" i="3"/>
  <c r="M12" i="3"/>
  <c r="Z12" i="10"/>
  <c r="AA12" i="10"/>
  <c r="AB12" i="10"/>
  <c r="AC12" i="10"/>
  <c r="AD12" i="10"/>
  <c r="AE12" i="10"/>
  <c r="AF12" i="10"/>
  <c r="AG12" i="10"/>
  <c r="AH12" i="10"/>
  <c r="J73" i="10"/>
  <c r="I59" i="2" l="1"/>
  <c r="I58" i="2"/>
  <c r="G58" i="4"/>
  <c r="F58" i="4"/>
  <c r="E58" i="4"/>
  <c r="D58" i="4"/>
  <c r="C58" i="4"/>
  <c r="G47" i="4"/>
  <c r="F47" i="4"/>
  <c r="E47" i="4"/>
  <c r="D47" i="4"/>
  <c r="C47" i="4"/>
  <c r="E36" i="4"/>
  <c r="G33" i="4"/>
  <c r="G32" i="4"/>
  <c r="G31" i="4"/>
  <c r="G30" i="4"/>
  <c r="G29" i="4"/>
  <c r="G28" i="4"/>
  <c r="F15" i="4"/>
  <c r="I26" i="3"/>
  <c r="I25" i="3"/>
  <c r="C58" i="3"/>
  <c r="D59" i="3"/>
  <c r="G58" i="3"/>
  <c r="E57" i="3"/>
  <c r="M58" i="3"/>
  <c r="M49" i="3"/>
  <c r="M50" i="3"/>
  <c r="M51" i="3"/>
  <c r="M52" i="3"/>
  <c r="M53" i="3"/>
  <c r="M54" i="3"/>
  <c r="M55" i="3"/>
  <c r="D58" i="3"/>
  <c r="E58" i="3"/>
  <c r="F58" i="3"/>
  <c r="H58" i="3"/>
  <c r="I58" i="3"/>
  <c r="J58" i="3"/>
  <c r="K58" i="3"/>
  <c r="L58" i="3"/>
  <c r="L56" i="3"/>
  <c r="K56" i="3"/>
  <c r="J56" i="3"/>
  <c r="I56" i="3"/>
  <c r="H56" i="3"/>
  <c r="G56" i="3"/>
  <c r="F56" i="3"/>
  <c r="E56" i="3"/>
  <c r="C56" i="3"/>
  <c r="D56" i="3"/>
  <c r="K55" i="1"/>
  <c r="K54" i="1"/>
  <c r="K53" i="1"/>
  <c r="K52" i="1"/>
  <c r="K51" i="1"/>
  <c r="K50" i="1"/>
  <c r="K49" i="1"/>
  <c r="C58" i="1"/>
  <c r="D58" i="1"/>
  <c r="E58" i="1"/>
  <c r="F58" i="1"/>
  <c r="H58" i="1"/>
  <c r="I58" i="1"/>
  <c r="J58" i="1"/>
  <c r="J56" i="1"/>
  <c r="I56" i="1"/>
  <c r="H56" i="1"/>
  <c r="AI58" i="10"/>
  <c r="AI54" i="10"/>
  <c r="AI53" i="10"/>
  <c r="AI52" i="10"/>
  <c r="AH58" i="10"/>
  <c r="AH56" i="10"/>
  <c r="AG58" i="10"/>
  <c r="AG56" i="10"/>
  <c r="AF58" i="10"/>
  <c r="AF56" i="10"/>
  <c r="AE58" i="10"/>
  <c r="AE56" i="10"/>
  <c r="AD58" i="10"/>
  <c r="AD56" i="10"/>
  <c r="AC58" i="10"/>
  <c r="AC56" i="10"/>
  <c r="AB58" i="10"/>
  <c r="AB56" i="10"/>
  <c r="AA58" i="10"/>
  <c r="AA56" i="10"/>
  <c r="Z58" i="10"/>
  <c r="Z56" i="10"/>
  <c r="Y58" i="10"/>
  <c r="Y56" i="10"/>
  <c r="X58" i="10"/>
  <c r="X56" i="10"/>
  <c r="W58" i="10"/>
  <c r="W56" i="10"/>
  <c r="V58" i="10"/>
  <c r="V56" i="10"/>
  <c r="U58" i="10"/>
  <c r="U56" i="10"/>
  <c r="T58" i="10"/>
  <c r="T56" i="10"/>
  <c r="S58" i="10"/>
  <c r="S56" i="10"/>
  <c r="R58" i="10"/>
  <c r="R56" i="10"/>
  <c r="P57" i="10"/>
  <c r="P58" i="10"/>
  <c r="P56" i="10"/>
  <c r="O58" i="10"/>
  <c r="O56" i="10"/>
  <c r="N58" i="10"/>
  <c r="N56" i="10"/>
  <c r="M58" i="10"/>
  <c r="M56" i="10"/>
  <c r="L58" i="10"/>
  <c r="L56" i="10"/>
  <c r="K58" i="10"/>
  <c r="K56" i="10"/>
  <c r="G56" i="10"/>
  <c r="H56" i="10"/>
  <c r="I56" i="10"/>
  <c r="I58" i="10"/>
  <c r="H58" i="10"/>
  <c r="D58" i="10"/>
  <c r="E58" i="10"/>
  <c r="F58" i="10"/>
  <c r="G58" i="10"/>
  <c r="F56" i="10"/>
  <c r="E56" i="10"/>
  <c r="D56" i="10"/>
  <c r="G47" i="3"/>
  <c r="I48" i="3"/>
  <c r="I47" i="3"/>
  <c r="E48" i="3"/>
  <c r="E47" i="3"/>
  <c r="E37" i="3"/>
  <c r="E36" i="3"/>
  <c r="D47" i="3"/>
  <c r="C47" i="3"/>
  <c r="K47" i="1"/>
  <c r="J47" i="1"/>
  <c r="I47" i="1"/>
  <c r="H47" i="1"/>
  <c r="F47" i="1"/>
  <c r="E47" i="1"/>
  <c r="D47" i="1"/>
  <c r="C47" i="1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P47" i="10"/>
  <c r="O47" i="10"/>
  <c r="N47" i="10"/>
  <c r="M47" i="10"/>
  <c r="L47" i="10"/>
  <c r="K47" i="10"/>
  <c r="I47" i="10"/>
  <c r="H47" i="10"/>
  <c r="G47" i="10"/>
  <c r="F47" i="10"/>
  <c r="E47" i="10"/>
  <c r="D47" i="10"/>
  <c r="W36" i="10"/>
  <c r="V36" i="10"/>
  <c r="U36" i="10"/>
  <c r="T36" i="10"/>
  <c r="S36" i="10"/>
  <c r="R36" i="10"/>
  <c r="P36" i="10"/>
  <c r="O36" i="10"/>
  <c r="N36" i="10"/>
  <c r="M36" i="10"/>
  <c r="L36" i="10"/>
  <c r="K36" i="10"/>
  <c r="I36" i="10"/>
  <c r="H36" i="10"/>
  <c r="G36" i="10"/>
  <c r="F36" i="10"/>
  <c r="E36" i="10"/>
  <c r="D36" i="10"/>
  <c r="D36" i="5"/>
  <c r="C36" i="5"/>
  <c r="G34" i="2"/>
  <c r="F34" i="2"/>
  <c r="E34" i="2"/>
  <c r="D34" i="2"/>
  <c r="C34" i="2"/>
  <c r="G36" i="2"/>
  <c r="G36" i="4"/>
  <c r="F36" i="4"/>
  <c r="D36" i="4"/>
  <c r="C36" i="4"/>
  <c r="M36" i="3"/>
  <c r="L36" i="3"/>
  <c r="K36" i="3"/>
  <c r="J36" i="3"/>
  <c r="I36" i="3"/>
  <c r="H36" i="3"/>
  <c r="G36" i="3"/>
  <c r="F36" i="3"/>
  <c r="D36" i="3"/>
  <c r="C36" i="3"/>
  <c r="C35" i="3"/>
  <c r="D35" i="3"/>
  <c r="E35" i="3"/>
  <c r="F35" i="3"/>
  <c r="G35" i="3"/>
  <c r="H35" i="3"/>
  <c r="I35" i="3"/>
  <c r="J35" i="3"/>
  <c r="K35" i="3"/>
  <c r="L35" i="3"/>
  <c r="M35" i="3"/>
  <c r="L34" i="3"/>
  <c r="K34" i="3"/>
  <c r="J34" i="3"/>
  <c r="I34" i="3"/>
  <c r="H34" i="3"/>
  <c r="G34" i="3"/>
  <c r="F34" i="3"/>
  <c r="D34" i="3"/>
  <c r="C34" i="3"/>
  <c r="K37" i="1"/>
  <c r="J37" i="1"/>
  <c r="I37" i="1"/>
  <c r="H37" i="1"/>
  <c r="F37" i="1"/>
  <c r="E37" i="1"/>
  <c r="D37" i="1"/>
  <c r="C37" i="1"/>
  <c r="C36" i="1"/>
  <c r="D36" i="1"/>
  <c r="E36" i="1"/>
  <c r="F36" i="1"/>
  <c r="H36" i="1"/>
  <c r="I35" i="1"/>
  <c r="J35" i="1"/>
  <c r="K34" i="1"/>
  <c r="J34" i="1"/>
  <c r="I34" i="1"/>
  <c r="H34" i="1"/>
  <c r="AI26" i="10"/>
  <c r="AI25" i="10"/>
  <c r="AI24" i="10"/>
  <c r="AI15" i="10"/>
  <c r="AI14" i="10"/>
  <c r="AI13" i="10"/>
  <c r="J25" i="1"/>
  <c r="I25" i="1"/>
  <c r="I23" i="1"/>
  <c r="K45" i="2" l="1"/>
  <c r="K46" i="2"/>
  <c r="K56" i="1"/>
  <c r="K58" i="1"/>
  <c r="E22" i="6"/>
  <c r="Z45" i="10" l="1"/>
  <c r="AH59" i="10"/>
  <c r="AH57" i="10"/>
  <c r="AH48" i="10"/>
  <c r="AH46" i="10"/>
  <c r="AH45" i="10"/>
  <c r="AH37" i="10"/>
  <c r="AH36" i="10"/>
  <c r="AH35" i="10"/>
  <c r="AH34" i="10"/>
  <c r="AH26" i="10"/>
  <c r="AH25" i="10"/>
  <c r="AH24" i="10"/>
  <c r="AH23" i="10"/>
  <c r="AH15" i="10"/>
  <c r="AH14" i="10"/>
  <c r="AH13" i="10"/>
  <c r="V34" i="10"/>
  <c r="V23" i="10"/>
  <c r="O23" i="10"/>
  <c r="T45" i="10"/>
  <c r="F55" i="2" l="1"/>
  <c r="F54" i="2"/>
  <c r="F53" i="2"/>
  <c r="F52" i="2"/>
  <c r="F49" i="2"/>
  <c r="E55" i="2"/>
  <c r="E54" i="2"/>
  <c r="E53" i="2"/>
  <c r="E52" i="2"/>
  <c r="E49" i="2"/>
  <c r="D55" i="2"/>
  <c r="D54" i="2"/>
  <c r="D53" i="2"/>
  <c r="D52" i="2"/>
  <c r="D49" i="2"/>
  <c r="C55" i="2"/>
  <c r="C54" i="2"/>
  <c r="C53" i="2"/>
  <c r="C52" i="2"/>
  <c r="C49" i="2"/>
  <c r="F44" i="2" l="1"/>
  <c r="F43" i="2"/>
  <c r="F42" i="2"/>
  <c r="F41" i="2"/>
  <c r="F38" i="2"/>
  <c r="E44" i="2"/>
  <c r="E43" i="2"/>
  <c r="E42" i="2"/>
  <c r="E41" i="2"/>
  <c r="E38" i="2"/>
  <c r="D44" i="2"/>
  <c r="D43" i="2"/>
  <c r="D42" i="2"/>
  <c r="D41" i="2"/>
  <c r="D38" i="2"/>
  <c r="C44" i="2"/>
  <c r="C43" i="2"/>
  <c r="C42" i="2"/>
  <c r="C41" i="2"/>
  <c r="C38" i="2"/>
  <c r="F33" i="2"/>
  <c r="F32" i="2"/>
  <c r="F31" i="2"/>
  <c r="F30" i="2"/>
  <c r="F27" i="2"/>
  <c r="E33" i="2"/>
  <c r="E32" i="2"/>
  <c r="E31" i="2"/>
  <c r="E30" i="2"/>
  <c r="E27" i="2"/>
  <c r="D33" i="2"/>
  <c r="D32" i="2"/>
  <c r="D31" i="2"/>
  <c r="D30" i="2"/>
  <c r="D27" i="2"/>
  <c r="C33" i="2"/>
  <c r="C32" i="2"/>
  <c r="C31" i="2"/>
  <c r="C30" i="2"/>
  <c r="C27" i="2"/>
  <c r="F22" i="2"/>
  <c r="F21" i="2"/>
  <c r="F20" i="2"/>
  <c r="F19" i="2"/>
  <c r="F16" i="2"/>
  <c r="E22" i="2"/>
  <c r="E21" i="2"/>
  <c r="E20" i="2"/>
  <c r="E19" i="2"/>
  <c r="E16" i="2"/>
  <c r="D22" i="2"/>
  <c r="D21" i="2"/>
  <c r="D20" i="2"/>
  <c r="D19" i="2"/>
  <c r="D16" i="2"/>
  <c r="C22" i="2"/>
  <c r="C21" i="2"/>
  <c r="C20" i="2"/>
  <c r="C19" i="2"/>
  <c r="C16" i="2"/>
  <c r="E59" i="3"/>
  <c r="G37" i="1"/>
  <c r="G25" i="3"/>
  <c r="D24" i="3"/>
  <c r="E25" i="3"/>
  <c r="C25" i="3"/>
  <c r="D25" i="3"/>
  <c r="C23" i="3"/>
  <c r="D23" i="3"/>
  <c r="F11" i="2" l="1"/>
  <c r="F10" i="2"/>
  <c r="F9" i="2"/>
  <c r="E11" i="2"/>
  <c r="E10" i="2"/>
  <c r="E9" i="2"/>
  <c r="D11" i="2"/>
  <c r="D10" i="2"/>
  <c r="D9" i="2"/>
  <c r="C11" i="2"/>
  <c r="C10" i="2"/>
  <c r="C9" i="2"/>
  <c r="E34" i="4" l="1"/>
  <c r="C13" i="4"/>
  <c r="D13" i="4"/>
  <c r="E13" i="4"/>
  <c r="F13" i="4"/>
  <c r="D14" i="4"/>
  <c r="E14" i="4"/>
  <c r="F14" i="4"/>
  <c r="C15" i="4"/>
  <c r="D15" i="4"/>
  <c r="E15" i="4"/>
  <c r="D24" i="4"/>
  <c r="E24" i="4"/>
  <c r="C24" i="4"/>
  <c r="C37" i="4"/>
  <c r="D37" i="4"/>
  <c r="F37" i="4"/>
  <c r="E35" i="4"/>
  <c r="F35" i="4"/>
  <c r="C35" i="4"/>
  <c r="D35" i="4"/>
  <c r="D46" i="4"/>
  <c r="C46" i="4"/>
  <c r="C48" i="4"/>
  <c r="F48" i="4"/>
  <c r="D59" i="4"/>
  <c r="C57" i="4"/>
  <c r="D57" i="4"/>
  <c r="E59" i="4"/>
  <c r="F57" i="4"/>
  <c r="F59" i="4"/>
  <c r="G60" i="4"/>
  <c r="G61" i="4"/>
  <c r="C67" i="4"/>
  <c r="B74" i="4" s="1"/>
  <c r="D67" i="4"/>
  <c r="E67" i="4"/>
  <c r="F67" i="4"/>
  <c r="C68" i="4"/>
  <c r="D68" i="4"/>
  <c r="E68" i="4"/>
  <c r="F68" i="4"/>
  <c r="C69" i="4"/>
  <c r="D69" i="4"/>
  <c r="E69" i="4"/>
  <c r="F69" i="4"/>
  <c r="C70" i="4"/>
  <c r="D70" i="4"/>
  <c r="E70" i="4"/>
  <c r="F70" i="4"/>
  <c r="B73" i="4" l="1"/>
  <c r="C73" i="4"/>
  <c r="C74" i="4"/>
  <c r="G48" i="4"/>
  <c r="G13" i="4"/>
  <c r="G14" i="4"/>
  <c r="G69" i="4"/>
  <c r="G73" i="4" s="1"/>
  <c r="G68" i="4"/>
  <c r="G67" i="4"/>
  <c r="G74" i="4" s="1"/>
  <c r="E48" i="4"/>
  <c r="G70" i="4"/>
  <c r="D48" i="4"/>
  <c r="F46" i="4"/>
  <c r="F34" i="4"/>
  <c r="F26" i="4"/>
  <c r="E46" i="4"/>
  <c r="E26" i="4"/>
  <c r="G24" i="4"/>
  <c r="C59" i="4"/>
  <c r="E57" i="4"/>
  <c r="E37" i="4"/>
  <c r="D34" i="4"/>
  <c r="D26" i="4"/>
  <c r="F24" i="4"/>
  <c r="G15" i="4"/>
  <c r="G46" i="4"/>
  <c r="G26" i="4"/>
  <c r="C34" i="4"/>
  <c r="C26" i="4"/>
  <c r="G75" i="4" l="1"/>
  <c r="G57" i="4"/>
  <c r="G59" i="4"/>
  <c r="G35" i="4"/>
  <c r="G37" i="4"/>
  <c r="C14" i="5"/>
  <c r="I14" i="2"/>
  <c r="G14" i="2"/>
  <c r="F14" i="2"/>
  <c r="E14" i="2"/>
  <c r="D14" i="2"/>
  <c r="C14" i="2"/>
  <c r="G12" i="2"/>
  <c r="F12" i="2"/>
  <c r="E12" i="2"/>
  <c r="D12" i="2"/>
  <c r="C12" i="2"/>
  <c r="L12" i="3"/>
  <c r="K12" i="3"/>
  <c r="J12" i="3"/>
  <c r="I12" i="3"/>
  <c r="H12" i="3"/>
  <c r="G12" i="3"/>
  <c r="F12" i="3"/>
  <c r="E12" i="3"/>
  <c r="D12" i="3"/>
  <c r="C12" i="3"/>
  <c r="L14" i="3"/>
  <c r="K14" i="3"/>
  <c r="J14" i="3"/>
  <c r="I14" i="3"/>
  <c r="H14" i="3"/>
  <c r="G14" i="3"/>
  <c r="F14" i="3"/>
  <c r="E14" i="3"/>
  <c r="D14" i="3"/>
  <c r="C14" i="3"/>
  <c r="D13" i="3"/>
  <c r="C13" i="3"/>
  <c r="J14" i="1"/>
  <c r="I14" i="1"/>
  <c r="H14" i="1"/>
  <c r="G14" i="1"/>
  <c r="F14" i="1"/>
  <c r="E14" i="1"/>
  <c r="D14" i="1"/>
  <c r="C14" i="1"/>
  <c r="D12" i="1"/>
  <c r="C12" i="1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C23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P14" i="10"/>
  <c r="O14" i="10"/>
  <c r="N14" i="10"/>
  <c r="M14" i="10"/>
  <c r="L14" i="10"/>
  <c r="K14" i="10"/>
  <c r="I14" i="10"/>
  <c r="H14" i="10"/>
  <c r="G14" i="10"/>
  <c r="F14" i="10"/>
  <c r="E14" i="10"/>
  <c r="D14" i="10"/>
  <c r="C14" i="10"/>
  <c r="G12" i="10"/>
  <c r="F12" i="10"/>
  <c r="E12" i="10"/>
  <c r="D12" i="10"/>
  <c r="C12" i="10"/>
  <c r="X23" i="10"/>
  <c r="W23" i="10"/>
  <c r="U23" i="10"/>
  <c r="T23" i="10"/>
  <c r="S23" i="10"/>
  <c r="R23" i="10"/>
  <c r="P23" i="10"/>
  <c r="N23" i="10"/>
  <c r="M23" i="10"/>
  <c r="L23" i="10"/>
  <c r="K23" i="10"/>
  <c r="I23" i="10"/>
  <c r="H23" i="10"/>
  <c r="G23" i="10"/>
  <c r="F23" i="10"/>
  <c r="E23" i="10"/>
  <c r="D23" i="10"/>
  <c r="X34" i="10"/>
  <c r="W34" i="10"/>
  <c r="U34" i="10"/>
  <c r="T34" i="10"/>
  <c r="S34" i="10"/>
  <c r="R34" i="10"/>
  <c r="P34" i="10"/>
  <c r="O34" i="10"/>
  <c r="N34" i="10"/>
  <c r="M34" i="10"/>
  <c r="L34" i="10"/>
  <c r="K34" i="10"/>
  <c r="I34" i="10"/>
  <c r="H34" i="10"/>
  <c r="G34" i="10"/>
  <c r="F34" i="10"/>
  <c r="E34" i="10"/>
  <c r="D34" i="10"/>
  <c r="C34" i="10"/>
  <c r="AG45" i="10"/>
  <c r="AF45" i="10"/>
  <c r="AE45" i="10"/>
  <c r="AD45" i="10"/>
  <c r="AC45" i="10"/>
  <c r="AB45" i="10"/>
  <c r="AA45" i="10"/>
  <c r="Y45" i="10"/>
  <c r="X45" i="10"/>
  <c r="W45" i="10"/>
  <c r="V45" i="10"/>
  <c r="U45" i="10"/>
  <c r="S45" i="10"/>
  <c r="R45" i="10"/>
  <c r="Q45" i="10"/>
  <c r="P45" i="10"/>
  <c r="O45" i="10"/>
  <c r="N45" i="10"/>
  <c r="M45" i="10"/>
  <c r="L45" i="10"/>
  <c r="K45" i="10"/>
  <c r="I45" i="10"/>
  <c r="G45" i="10"/>
  <c r="F45" i="10"/>
  <c r="E45" i="10"/>
  <c r="D45" i="10"/>
  <c r="J45" i="10"/>
  <c r="C45" i="10"/>
  <c r="J56" i="10"/>
  <c r="C56" i="10"/>
  <c r="J12" i="1"/>
  <c r="I12" i="1"/>
  <c r="H12" i="1"/>
  <c r="G12" i="1"/>
  <c r="F12" i="1"/>
  <c r="E12" i="1"/>
  <c r="K11" i="1"/>
  <c r="K10" i="1"/>
  <c r="K9" i="1"/>
  <c r="K8" i="1"/>
  <c r="K7" i="1"/>
  <c r="K6" i="1"/>
  <c r="M11" i="3"/>
  <c r="M10" i="3"/>
  <c r="M9" i="3"/>
  <c r="M8" i="3"/>
  <c r="M7" i="3"/>
  <c r="J23" i="10"/>
  <c r="Q14" i="10"/>
  <c r="J14" i="10"/>
  <c r="H12" i="10"/>
  <c r="I25" i="2"/>
  <c r="E20" i="6" s="1"/>
  <c r="I26" i="2"/>
  <c r="G26" i="2"/>
  <c r="G25" i="2"/>
  <c r="F26" i="2"/>
  <c r="F25" i="2"/>
  <c r="E26" i="2"/>
  <c r="E25" i="2"/>
  <c r="E32" i="6" s="1"/>
  <c r="D25" i="2"/>
  <c r="D26" i="2"/>
  <c r="C26" i="2"/>
  <c r="C25" i="2"/>
  <c r="C24" i="2"/>
  <c r="C23" i="2"/>
  <c r="I15" i="2"/>
  <c r="G15" i="2"/>
  <c r="F15" i="2"/>
  <c r="E15" i="2"/>
  <c r="D15" i="2"/>
  <c r="C15" i="2"/>
  <c r="K6" i="2"/>
  <c r="K7" i="2"/>
  <c r="K8" i="2"/>
  <c r="AA23" i="10"/>
  <c r="Z23" i="10"/>
  <c r="Y23" i="10"/>
  <c r="AI8" i="10"/>
  <c r="AI7" i="10"/>
  <c r="AI6" i="10"/>
  <c r="Y12" i="10"/>
  <c r="X12" i="10"/>
  <c r="W12" i="10"/>
  <c r="V12" i="10"/>
  <c r="U12" i="10"/>
  <c r="T12" i="10"/>
  <c r="S12" i="10"/>
  <c r="R12" i="10"/>
  <c r="P12" i="10"/>
  <c r="O12" i="10"/>
  <c r="N12" i="10"/>
  <c r="M12" i="10"/>
  <c r="L12" i="10"/>
  <c r="K12" i="10"/>
  <c r="I12" i="10"/>
  <c r="B20" i="6" l="1"/>
  <c r="B32" i="6"/>
  <c r="B24" i="6"/>
  <c r="K23" i="2" l="1"/>
  <c r="K24" i="2"/>
  <c r="AI50" i="10"/>
  <c r="AI51" i="10"/>
  <c r="AI49" i="10"/>
  <c r="E44" i="6" l="1"/>
  <c r="E72" i="6"/>
  <c r="B44" i="6"/>
  <c r="B72" i="6"/>
  <c r="E34" i="6"/>
  <c r="B34" i="6"/>
  <c r="B36" i="6"/>
  <c r="AI44" i="10" l="1"/>
  <c r="AI41" i="10"/>
  <c r="H45" i="10" l="1"/>
  <c r="D48" i="10"/>
  <c r="D46" i="10"/>
  <c r="D37" i="10"/>
  <c r="C48" i="10"/>
  <c r="C47" i="10"/>
  <c r="C46" i="10"/>
  <c r="C37" i="10"/>
  <c r="C36" i="10"/>
  <c r="C35" i="10"/>
  <c r="D35" i="10"/>
  <c r="D26" i="10"/>
  <c r="D24" i="10"/>
  <c r="C26" i="10"/>
  <c r="C24" i="10"/>
  <c r="C15" i="10"/>
  <c r="F56" i="2" l="1"/>
  <c r="F57" i="2"/>
  <c r="F58" i="2"/>
  <c r="F59" i="2"/>
  <c r="F45" i="2"/>
  <c r="F46" i="2"/>
  <c r="F47" i="2"/>
  <c r="K34" i="6" s="1"/>
  <c r="F48" i="2"/>
  <c r="F35" i="2"/>
  <c r="F36" i="2"/>
  <c r="F37" i="2"/>
  <c r="F13" i="2"/>
  <c r="E13" i="2"/>
  <c r="N34" i="6" l="1"/>
  <c r="F73" i="2"/>
  <c r="H34" i="6"/>
  <c r="F24" i="2"/>
  <c r="F23" i="2"/>
  <c r="F74" i="2" s="1"/>
  <c r="B38" i="7" s="1"/>
  <c r="K5" i="2" l="1"/>
  <c r="I13" i="2"/>
  <c r="I35" i="2"/>
  <c r="I36" i="2"/>
  <c r="I37" i="2"/>
  <c r="I45" i="2"/>
  <c r="I46" i="2"/>
  <c r="I47" i="2"/>
  <c r="I48" i="2"/>
  <c r="I56" i="2"/>
  <c r="I57" i="2"/>
  <c r="I67" i="2"/>
  <c r="I68" i="2"/>
  <c r="I69" i="2"/>
  <c r="I70" i="2"/>
  <c r="I74" i="2" l="1"/>
  <c r="I73" i="2"/>
  <c r="K13" i="2"/>
  <c r="K14" i="2"/>
  <c r="K15" i="2"/>
  <c r="K12" i="2"/>
  <c r="K34" i="2"/>
  <c r="K57" i="2"/>
  <c r="K48" i="2"/>
  <c r="K37" i="2"/>
  <c r="K56" i="2"/>
  <c r="K59" i="2"/>
  <c r="K36" i="2"/>
  <c r="K58" i="2"/>
  <c r="K35" i="2"/>
  <c r="M74" i="2" l="1"/>
  <c r="H23" i="1"/>
  <c r="AI66" i="10" l="1"/>
  <c r="AI65" i="10"/>
  <c r="AI64" i="10"/>
  <c r="AI63" i="10"/>
  <c r="AI62" i="10"/>
  <c r="AI61" i="10"/>
  <c r="AI60" i="10"/>
  <c r="AA67" i="10"/>
  <c r="AB67" i="10"/>
  <c r="S73" i="10" s="1"/>
  <c r="B56" i="7" s="1"/>
  <c r="AC67" i="10"/>
  <c r="T73" i="10" s="1"/>
  <c r="B58" i="7" s="1"/>
  <c r="AD67" i="10"/>
  <c r="AE67" i="10"/>
  <c r="U73" i="10" s="1"/>
  <c r="B60" i="7" s="1"/>
  <c r="AF67" i="10"/>
  <c r="V73" i="10" s="1"/>
  <c r="B62" i="7" s="1"/>
  <c r="AG67" i="10"/>
  <c r="AH67" i="10"/>
  <c r="AA68" i="10"/>
  <c r="AB68" i="10"/>
  <c r="AC68" i="10"/>
  <c r="AD68" i="10"/>
  <c r="AE68" i="10"/>
  <c r="AF68" i="10"/>
  <c r="AG68" i="10"/>
  <c r="AH68" i="10"/>
  <c r="AA69" i="10"/>
  <c r="AB69" i="10"/>
  <c r="AC69" i="10"/>
  <c r="AD69" i="10"/>
  <c r="AE69" i="10"/>
  <c r="AF69" i="10"/>
  <c r="AG69" i="10"/>
  <c r="AH69" i="10"/>
  <c r="AA70" i="10"/>
  <c r="AB70" i="10"/>
  <c r="AC70" i="10"/>
  <c r="AD70" i="10"/>
  <c r="AE70" i="10"/>
  <c r="AF70" i="10"/>
  <c r="AG70" i="10"/>
  <c r="AH70" i="10"/>
  <c r="Z67" i="10"/>
  <c r="Z68" i="10"/>
  <c r="Z69" i="10"/>
  <c r="Z70" i="10"/>
  <c r="AI68" i="10" l="1"/>
  <c r="AI67" i="10"/>
  <c r="F78" i="10" s="1"/>
  <c r="AI69" i="10"/>
  <c r="AI70" i="10"/>
  <c r="AG59" i="10"/>
  <c r="AF59" i="10"/>
  <c r="AE59" i="10"/>
  <c r="N56" i="6"/>
  <c r="AG57" i="10"/>
  <c r="AF57" i="10"/>
  <c r="AE57" i="10"/>
  <c r="AG48" i="10"/>
  <c r="AF48" i="10"/>
  <c r="AE48" i="10"/>
  <c r="K58" i="6"/>
  <c r="K56" i="6"/>
  <c r="AG46" i="10"/>
  <c r="AF46" i="10"/>
  <c r="AE46" i="10"/>
  <c r="AG37" i="10"/>
  <c r="AF37" i="10"/>
  <c r="AE37" i="10"/>
  <c r="AG36" i="10"/>
  <c r="AF36" i="10"/>
  <c r="H58" i="6" s="1"/>
  <c r="AE36" i="10"/>
  <c r="H56" i="6" s="1"/>
  <c r="AG35" i="10"/>
  <c r="AF35" i="10"/>
  <c r="AE35" i="10"/>
  <c r="AG34" i="10"/>
  <c r="AF34" i="10"/>
  <c r="AE34" i="10"/>
  <c r="AG26" i="10"/>
  <c r="AF26" i="10"/>
  <c r="AE26" i="10"/>
  <c r="E58" i="6"/>
  <c r="E56" i="6"/>
  <c r="AG24" i="10"/>
  <c r="AF24" i="10"/>
  <c r="AE24" i="10"/>
  <c r="AG23" i="10"/>
  <c r="AF23" i="10"/>
  <c r="AE23" i="10"/>
  <c r="AG15" i="10"/>
  <c r="AF15" i="10"/>
  <c r="AE15" i="10"/>
  <c r="B58" i="6"/>
  <c r="B56" i="6"/>
  <c r="AG13" i="10"/>
  <c r="AF13" i="10"/>
  <c r="AE13" i="10"/>
  <c r="AD59" i="10"/>
  <c r="AC59" i="10"/>
  <c r="AB59" i="10"/>
  <c r="AA59" i="10"/>
  <c r="Z59" i="10"/>
  <c r="N54" i="6"/>
  <c r="N52" i="6"/>
  <c r="AD57" i="10"/>
  <c r="AC57" i="10"/>
  <c r="AB57" i="10"/>
  <c r="AA57" i="10"/>
  <c r="Z57" i="10"/>
  <c r="AD48" i="10"/>
  <c r="AC48" i="10"/>
  <c r="AB48" i="10"/>
  <c r="AA48" i="10"/>
  <c r="Z48" i="10"/>
  <c r="K54" i="6"/>
  <c r="K52" i="6"/>
  <c r="AD46" i="10"/>
  <c r="AC46" i="10"/>
  <c r="AB46" i="10"/>
  <c r="AA46" i="10"/>
  <c r="Z46" i="10"/>
  <c r="AD37" i="10"/>
  <c r="AC37" i="10"/>
  <c r="AB37" i="10"/>
  <c r="AA37" i="10"/>
  <c r="Z37" i="10"/>
  <c r="AD36" i="10"/>
  <c r="AC36" i="10"/>
  <c r="H54" i="6" s="1"/>
  <c r="AB36" i="10"/>
  <c r="H52" i="6" s="1"/>
  <c r="AA36" i="10"/>
  <c r="Z36" i="10"/>
  <c r="AD35" i="10"/>
  <c r="AC35" i="10"/>
  <c r="AB35" i="10"/>
  <c r="AA35" i="10"/>
  <c r="Z35" i="10"/>
  <c r="AD34" i="10"/>
  <c r="AC34" i="10"/>
  <c r="AB34" i="10"/>
  <c r="AA34" i="10"/>
  <c r="Z34" i="10"/>
  <c r="AD26" i="10"/>
  <c r="AC26" i="10"/>
  <c r="AB26" i="10"/>
  <c r="AA26" i="10"/>
  <c r="Z26" i="10"/>
  <c r="E52" i="6"/>
  <c r="AD24" i="10"/>
  <c r="AC24" i="10"/>
  <c r="AB24" i="10"/>
  <c r="AA24" i="10"/>
  <c r="Z24" i="10"/>
  <c r="AD23" i="10"/>
  <c r="AC23" i="10"/>
  <c r="AB23" i="10"/>
  <c r="AD15" i="10"/>
  <c r="AC15" i="10"/>
  <c r="AB15" i="10"/>
  <c r="AA15" i="10"/>
  <c r="Z15" i="10"/>
  <c r="B54" i="6"/>
  <c r="B52" i="6"/>
  <c r="AD13" i="10"/>
  <c r="AC13" i="10"/>
  <c r="AB13" i="10"/>
  <c r="AA13" i="10"/>
  <c r="Z13" i="10"/>
  <c r="T74" i="10" l="1"/>
  <c r="V74" i="10"/>
  <c r="E54" i="6"/>
  <c r="N58" i="6"/>
  <c r="U74" i="10"/>
  <c r="AI37" i="10"/>
  <c r="AI48" i="10"/>
  <c r="S74" i="10"/>
  <c r="AI5" i="10"/>
  <c r="AI46" i="10"/>
  <c r="K14" i="6"/>
  <c r="AI36" i="10"/>
  <c r="H14" i="6" s="1"/>
  <c r="AI35" i="10"/>
  <c r="F79" i="10" l="1"/>
  <c r="N14" i="6"/>
  <c r="AI59" i="10"/>
  <c r="AI57" i="10"/>
  <c r="E14" i="6"/>
  <c r="F80" i="10" l="1"/>
  <c r="B14" i="6"/>
  <c r="F81" i="10"/>
  <c r="K41" i="1" l="1"/>
  <c r="E56" i="2" l="1"/>
  <c r="D5" i="5" l="1"/>
  <c r="B16" i="2" l="1"/>
  <c r="K46" i="10" l="1"/>
  <c r="E58" i="2" l="1"/>
  <c r="N32" i="6" s="1"/>
  <c r="C58" i="2" l="1"/>
  <c r="C73" i="2" s="1"/>
  <c r="N10" i="6" l="1"/>
  <c r="H67" i="3" l="1"/>
  <c r="H68" i="3"/>
  <c r="H69" i="3"/>
  <c r="H70" i="3"/>
  <c r="H57" i="3"/>
  <c r="H59" i="3"/>
  <c r="H45" i="3"/>
  <c r="H46" i="3"/>
  <c r="H47" i="3"/>
  <c r="H48" i="3"/>
  <c r="H37" i="3"/>
  <c r="H23" i="3"/>
  <c r="H24" i="3"/>
  <c r="H25" i="3"/>
  <c r="H26" i="3"/>
  <c r="H13" i="3"/>
  <c r="H15" i="3"/>
  <c r="E13" i="3" l="1"/>
  <c r="E15" i="3"/>
  <c r="E23" i="3"/>
  <c r="E24" i="3"/>
  <c r="E26" i="3"/>
  <c r="E67" i="3"/>
  <c r="E68" i="3"/>
  <c r="E69" i="3"/>
  <c r="E70" i="3"/>
  <c r="M46" i="10" l="1"/>
  <c r="E13" i="10"/>
  <c r="G13" i="2" l="1"/>
  <c r="E42" i="6" l="1"/>
  <c r="E40" i="6"/>
  <c r="E38" i="6"/>
  <c r="K25" i="3"/>
  <c r="M21" i="3"/>
  <c r="M20" i="3"/>
  <c r="M19" i="3"/>
  <c r="M18" i="3"/>
  <c r="M17" i="3"/>
  <c r="M16" i="3"/>
  <c r="M25" i="3" l="1"/>
  <c r="E6" i="6" s="1"/>
  <c r="B22" i="6" l="1"/>
  <c r="C13" i="2"/>
  <c r="E30" i="6"/>
  <c r="B30" i="6"/>
  <c r="C13" i="5" l="1"/>
  <c r="Q23" i="10" l="1"/>
  <c r="N24" i="10"/>
  <c r="O24" i="10"/>
  <c r="P24" i="10"/>
  <c r="Q24" i="10"/>
  <c r="R24" i="10"/>
  <c r="S24" i="10"/>
  <c r="T24" i="10"/>
  <c r="N26" i="10"/>
  <c r="O26" i="10"/>
  <c r="P26" i="10"/>
  <c r="Q26" i="10"/>
  <c r="R26" i="10"/>
  <c r="S26" i="10"/>
  <c r="T26" i="10"/>
  <c r="E11" i="11"/>
  <c r="E10" i="11"/>
  <c r="E9" i="11"/>
  <c r="E8" i="11"/>
  <c r="E7" i="11"/>
  <c r="E6" i="11"/>
  <c r="E5" i="11"/>
  <c r="M6" i="3"/>
  <c r="E14" i="11" l="1"/>
  <c r="U67" i="10"/>
  <c r="Q73" i="10" s="1"/>
  <c r="B70" i="7" s="1"/>
  <c r="V67" i="10"/>
  <c r="R73" i="10" s="1"/>
  <c r="B72" i="7" s="1"/>
  <c r="W67" i="10"/>
  <c r="X67" i="10"/>
  <c r="Y67" i="10"/>
  <c r="U68" i="10"/>
  <c r="V68" i="10"/>
  <c r="W68" i="10"/>
  <c r="X68" i="10"/>
  <c r="Y68" i="10"/>
  <c r="U69" i="10"/>
  <c r="V69" i="10"/>
  <c r="W69" i="10"/>
  <c r="X69" i="10"/>
  <c r="Y69" i="10"/>
  <c r="U70" i="10"/>
  <c r="V70" i="10"/>
  <c r="W70" i="10"/>
  <c r="X70" i="10"/>
  <c r="Y70" i="10"/>
  <c r="U13" i="10"/>
  <c r="V13" i="10"/>
  <c r="W13" i="10"/>
  <c r="X13" i="10"/>
  <c r="Y13" i="10"/>
  <c r="U15" i="10"/>
  <c r="V15" i="10"/>
  <c r="W15" i="10"/>
  <c r="X15" i="10"/>
  <c r="Y15" i="10"/>
  <c r="U24" i="10"/>
  <c r="V24" i="10"/>
  <c r="W24" i="10"/>
  <c r="X24" i="10"/>
  <c r="Y24" i="10"/>
  <c r="E68" i="6"/>
  <c r="E70" i="6"/>
  <c r="U26" i="10"/>
  <c r="V26" i="10"/>
  <c r="W26" i="10"/>
  <c r="X26" i="10"/>
  <c r="Y26" i="10"/>
  <c r="Y34" i="10"/>
  <c r="U35" i="10"/>
  <c r="V35" i="10"/>
  <c r="W35" i="10"/>
  <c r="X35" i="10"/>
  <c r="Y35" i="10"/>
  <c r="H68" i="6"/>
  <c r="H72" i="6"/>
  <c r="X36" i="10"/>
  <c r="Y36" i="10"/>
  <c r="U37" i="10"/>
  <c r="V37" i="10"/>
  <c r="W37" i="10"/>
  <c r="X37" i="10"/>
  <c r="Y37" i="10"/>
  <c r="U46" i="10"/>
  <c r="V46" i="10"/>
  <c r="W46" i="10"/>
  <c r="X46" i="10"/>
  <c r="Y46" i="10"/>
  <c r="K68" i="6"/>
  <c r="K70" i="6"/>
  <c r="K72" i="6"/>
  <c r="U48" i="10"/>
  <c r="V48" i="10"/>
  <c r="W48" i="10"/>
  <c r="X48" i="10"/>
  <c r="Y48" i="10"/>
  <c r="U57" i="10"/>
  <c r="V57" i="10"/>
  <c r="W57" i="10"/>
  <c r="X57" i="10"/>
  <c r="Y57" i="10"/>
  <c r="N68" i="6"/>
  <c r="N70" i="6"/>
  <c r="N72" i="6"/>
  <c r="U59" i="10"/>
  <c r="V59" i="10"/>
  <c r="W59" i="10"/>
  <c r="X59" i="10"/>
  <c r="Y59" i="10"/>
  <c r="I73" i="10" l="1"/>
  <c r="B74" i="7" s="1"/>
  <c r="I74" i="10"/>
  <c r="B70" i="6"/>
  <c r="R74" i="10"/>
  <c r="H70" i="6"/>
  <c r="Q74" i="10"/>
  <c r="B68" i="6"/>
  <c r="B8" i="11"/>
  <c r="B9" i="11"/>
  <c r="B10" i="11"/>
  <c r="B11" i="11" s="1"/>
  <c r="T70" i="10" l="1"/>
  <c r="S70" i="10"/>
  <c r="R70" i="10"/>
  <c r="Q70" i="10"/>
  <c r="P70" i="10"/>
  <c r="O70" i="10"/>
  <c r="N70" i="10"/>
  <c r="T69" i="10"/>
  <c r="S69" i="10"/>
  <c r="R69" i="10"/>
  <c r="Q69" i="10"/>
  <c r="P69" i="10"/>
  <c r="O69" i="10"/>
  <c r="N69" i="10"/>
  <c r="T68" i="10"/>
  <c r="S68" i="10"/>
  <c r="R68" i="10"/>
  <c r="Q68" i="10"/>
  <c r="P68" i="10"/>
  <c r="O68" i="10"/>
  <c r="N68" i="10"/>
  <c r="T67" i="10"/>
  <c r="S67" i="10"/>
  <c r="R67" i="10"/>
  <c r="P73" i="10" s="1"/>
  <c r="B64" i="7" s="1"/>
  <c r="Q67" i="10"/>
  <c r="P67" i="10"/>
  <c r="O73" i="10" s="1"/>
  <c r="B50" i="7" s="1"/>
  <c r="O67" i="10"/>
  <c r="N67" i="10"/>
  <c r="N73" i="10" s="1"/>
  <c r="B54" i="7" s="1"/>
  <c r="T59" i="10"/>
  <c r="S59" i="10"/>
  <c r="R59" i="10"/>
  <c r="Q59" i="10"/>
  <c r="P59" i="10"/>
  <c r="O59" i="10"/>
  <c r="N59" i="10"/>
  <c r="N60" i="6"/>
  <c r="Q58" i="10"/>
  <c r="N46" i="6"/>
  <c r="T57" i="10"/>
  <c r="S57" i="10"/>
  <c r="R57" i="10"/>
  <c r="Q57" i="10"/>
  <c r="O57" i="10"/>
  <c r="N57" i="10"/>
  <c r="Q56" i="10"/>
  <c r="T48" i="10"/>
  <c r="S48" i="10"/>
  <c r="R48" i="10"/>
  <c r="Q48" i="10"/>
  <c r="P48" i="10"/>
  <c r="O48" i="10"/>
  <c r="N48" i="10"/>
  <c r="K60" i="6"/>
  <c r="Q47" i="10"/>
  <c r="K46" i="6"/>
  <c r="T46" i="10"/>
  <c r="S46" i="10"/>
  <c r="R46" i="10"/>
  <c r="Q46" i="10"/>
  <c r="P46" i="10"/>
  <c r="O46" i="10"/>
  <c r="N46" i="10"/>
  <c r="T37" i="10"/>
  <c r="S37" i="10"/>
  <c r="R37" i="10"/>
  <c r="Q37" i="10"/>
  <c r="P37" i="10"/>
  <c r="O37" i="10"/>
  <c r="N37" i="10"/>
  <c r="Q36" i="10"/>
  <c r="H46" i="6"/>
  <c r="T35" i="10"/>
  <c r="S35" i="10"/>
  <c r="R35" i="10"/>
  <c r="Q35" i="10"/>
  <c r="P35" i="10"/>
  <c r="O35" i="10"/>
  <c r="N35" i="10"/>
  <c r="Q34" i="10"/>
  <c r="E60" i="6"/>
  <c r="T15" i="10"/>
  <c r="S15" i="10"/>
  <c r="R15" i="10"/>
  <c r="Q15" i="10"/>
  <c r="P15" i="10"/>
  <c r="O15" i="10"/>
  <c r="N15" i="10"/>
  <c r="B60" i="6"/>
  <c r="B46" i="6"/>
  <c r="T13" i="10"/>
  <c r="S13" i="10"/>
  <c r="R13" i="10"/>
  <c r="Q13" i="10"/>
  <c r="P13" i="10"/>
  <c r="O13" i="10"/>
  <c r="N13" i="10"/>
  <c r="Q12" i="10"/>
  <c r="M70" i="10"/>
  <c r="L70" i="10"/>
  <c r="K70" i="10"/>
  <c r="M69" i="10"/>
  <c r="L69" i="10"/>
  <c r="K69" i="10"/>
  <c r="M68" i="10"/>
  <c r="L68" i="10"/>
  <c r="K68" i="10"/>
  <c r="M67" i="10"/>
  <c r="L67" i="10"/>
  <c r="K67" i="10"/>
  <c r="L73" i="10" s="1"/>
  <c r="B68" i="7" s="1"/>
  <c r="M59" i="10"/>
  <c r="L59" i="10"/>
  <c r="K59" i="10"/>
  <c r="N64" i="6"/>
  <c r="N66" i="6"/>
  <c r="M57" i="10"/>
  <c r="L57" i="10"/>
  <c r="K57" i="10"/>
  <c r="M48" i="10"/>
  <c r="L48" i="10"/>
  <c r="K48" i="10"/>
  <c r="K66" i="6"/>
  <c r="L46" i="10"/>
  <c r="M37" i="10"/>
  <c r="L37" i="10"/>
  <c r="K37" i="10"/>
  <c r="H66" i="6"/>
  <c r="M35" i="10"/>
  <c r="L35" i="10"/>
  <c r="K35" i="10"/>
  <c r="M26" i="10"/>
  <c r="L26" i="10"/>
  <c r="K26" i="10"/>
  <c r="E64" i="6"/>
  <c r="E66" i="6"/>
  <c r="M24" i="10"/>
  <c r="L24" i="10"/>
  <c r="K24" i="10"/>
  <c r="M15" i="10"/>
  <c r="L15" i="10"/>
  <c r="K15" i="10"/>
  <c r="B66" i="6"/>
  <c r="M13" i="10"/>
  <c r="L13" i="10"/>
  <c r="K13" i="10"/>
  <c r="M73" i="10" l="1"/>
  <c r="B66" i="7" s="1"/>
  <c r="M74" i="10"/>
  <c r="H60" i="6"/>
  <c r="P74" i="10"/>
  <c r="K64" i="6"/>
  <c r="H64" i="6"/>
  <c r="B64" i="6"/>
  <c r="O74" i="10"/>
  <c r="L74" i="10"/>
  <c r="N74" i="10"/>
  <c r="B7" i="11"/>
  <c r="C56" i="11" l="1"/>
  <c r="D56" i="11"/>
  <c r="C67" i="10"/>
  <c r="C73" i="10" s="1"/>
  <c r="H45" i="1"/>
  <c r="F45" i="3"/>
  <c r="D67" i="10"/>
  <c r="D73" i="10" s="1"/>
  <c r="E67" i="10"/>
  <c r="E73" i="10" s="1"/>
  <c r="F67" i="10"/>
  <c r="F73" i="10" s="1"/>
  <c r="B40" i="7" s="1"/>
  <c r="G67" i="10"/>
  <c r="G73" i="10" s="1"/>
  <c r="B42" i="7" s="1"/>
  <c r="H67" i="10"/>
  <c r="H73" i="10" s="1"/>
  <c r="B44" i="7" s="1"/>
  <c r="I67" i="10"/>
  <c r="J67" i="10"/>
  <c r="C58" i="10"/>
  <c r="C69" i="10"/>
  <c r="N22" i="6"/>
  <c r="D69" i="10"/>
  <c r="E69" i="10"/>
  <c r="F69" i="10"/>
  <c r="G69" i="10"/>
  <c r="H69" i="10"/>
  <c r="J69" i="10"/>
  <c r="C58" i="11"/>
  <c r="D58" i="11"/>
  <c r="G58" i="1"/>
  <c r="N44" i="6"/>
  <c r="J58" i="10"/>
  <c r="N62" i="6" s="1"/>
  <c r="D6" i="5"/>
  <c r="D7" i="5"/>
  <c r="D8" i="5"/>
  <c r="D9" i="5"/>
  <c r="B16" i="11"/>
  <c r="B17" i="11" s="1"/>
  <c r="B18" i="11" s="1"/>
  <c r="B19" i="11" s="1"/>
  <c r="B20" i="11" s="1"/>
  <c r="B21" i="11" s="1"/>
  <c r="B22" i="11" s="1"/>
  <c r="B27" i="11" s="1"/>
  <c r="B28" i="11" s="1"/>
  <c r="B29" i="11" s="1"/>
  <c r="B30" i="11" s="1"/>
  <c r="B31" i="11" s="1"/>
  <c r="B32" i="11" s="1"/>
  <c r="B33" i="11" s="1"/>
  <c r="B38" i="11" s="1"/>
  <c r="B39" i="11" s="1"/>
  <c r="B40" i="11" s="1"/>
  <c r="B41" i="11" s="1"/>
  <c r="B42" i="11" s="1"/>
  <c r="B43" i="11" s="1"/>
  <c r="B44" i="11" s="1"/>
  <c r="B49" i="11" s="1"/>
  <c r="B50" i="11" s="1"/>
  <c r="B51" i="11" s="1"/>
  <c r="B52" i="11" s="1"/>
  <c r="B53" i="11" s="1"/>
  <c r="B54" i="11" s="1"/>
  <c r="B55" i="11" s="1"/>
  <c r="B60" i="11" s="1"/>
  <c r="B61" i="11" s="1"/>
  <c r="B16" i="4"/>
  <c r="B17" i="4" s="1"/>
  <c r="B18" i="4" s="1"/>
  <c r="B19" i="4" s="1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55" i="4" s="1"/>
  <c r="B60" i="4" s="1"/>
  <c r="B61" i="4" s="1"/>
  <c r="B62" i="4" s="1"/>
  <c r="B63" i="4" s="1"/>
  <c r="B64" i="4" s="1"/>
  <c r="B65" i="4" s="1"/>
  <c r="B66" i="4" s="1"/>
  <c r="B17" i="2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B62" i="2" s="1"/>
  <c r="B63" i="2" s="1"/>
  <c r="B64" i="2" s="1"/>
  <c r="B65" i="2" s="1"/>
  <c r="B66" i="2" s="1"/>
  <c r="B16" i="5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B60" i="5" s="1"/>
  <c r="B61" i="5" s="1"/>
  <c r="B62" i="5" s="1"/>
  <c r="B63" i="5" s="1"/>
  <c r="B64" i="5" s="1"/>
  <c r="B65" i="5" s="1"/>
  <c r="B66" i="5" s="1"/>
  <c r="B16" i="3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B53" i="3" s="1"/>
  <c r="B54" i="3" s="1"/>
  <c r="B55" i="3" s="1"/>
  <c r="D69" i="11"/>
  <c r="C69" i="3"/>
  <c r="D69" i="3"/>
  <c r="E69" i="2"/>
  <c r="C69" i="1"/>
  <c r="B73" i="1" s="1"/>
  <c r="D69" i="1"/>
  <c r="E69" i="1"/>
  <c r="F69" i="1"/>
  <c r="G69" i="1"/>
  <c r="C69" i="11"/>
  <c r="E47" i="2"/>
  <c r="K32" i="6" s="1"/>
  <c r="G47" i="1"/>
  <c r="D47" i="11"/>
  <c r="C47" i="11"/>
  <c r="E36" i="2"/>
  <c r="G36" i="1"/>
  <c r="D36" i="11"/>
  <c r="C36" i="11"/>
  <c r="C25" i="1"/>
  <c r="D25" i="1"/>
  <c r="E25" i="1"/>
  <c r="F25" i="1"/>
  <c r="G25" i="1"/>
  <c r="D25" i="11"/>
  <c r="C25" i="11"/>
  <c r="C14" i="11"/>
  <c r="D14" i="11"/>
  <c r="E49" i="11"/>
  <c r="E50" i="11"/>
  <c r="E51" i="11"/>
  <c r="E52" i="11"/>
  <c r="E53" i="11"/>
  <c r="E54" i="11"/>
  <c r="E55" i="11"/>
  <c r="E60" i="11"/>
  <c r="E68" i="11" s="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67" i="1"/>
  <c r="B74" i="1" s="1"/>
  <c r="D67" i="1"/>
  <c r="E67" i="1"/>
  <c r="F67" i="1"/>
  <c r="G67" i="1"/>
  <c r="C67" i="3"/>
  <c r="D73" i="3" s="1"/>
  <c r="D67" i="3"/>
  <c r="C45" i="3"/>
  <c r="D45" i="3"/>
  <c r="E67" i="2"/>
  <c r="E45" i="2"/>
  <c r="C12" i="11"/>
  <c r="C67" i="11"/>
  <c r="C23" i="11"/>
  <c r="C34" i="11"/>
  <c r="C45" i="11"/>
  <c r="K5" i="1"/>
  <c r="K38" i="1"/>
  <c r="K39" i="1"/>
  <c r="K40" i="1"/>
  <c r="K42" i="1"/>
  <c r="K43" i="1"/>
  <c r="K44" i="1"/>
  <c r="K27" i="1"/>
  <c r="K28" i="1"/>
  <c r="K29" i="1"/>
  <c r="K30" i="1"/>
  <c r="K31" i="1"/>
  <c r="K32" i="1"/>
  <c r="K33" i="1"/>
  <c r="K16" i="1"/>
  <c r="K17" i="1"/>
  <c r="K18" i="1"/>
  <c r="K19" i="1"/>
  <c r="K20" i="1"/>
  <c r="K21" i="1"/>
  <c r="K22" i="1"/>
  <c r="K70" i="1"/>
  <c r="M5" i="3"/>
  <c r="M61" i="3"/>
  <c r="M60" i="3"/>
  <c r="M27" i="3"/>
  <c r="M28" i="3"/>
  <c r="M29" i="3"/>
  <c r="M30" i="3"/>
  <c r="M31" i="3"/>
  <c r="M38" i="3"/>
  <c r="M39" i="3"/>
  <c r="M40" i="3"/>
  <c r="M41" i="3"/>
  <c r="M42" i="3"/>
  <c r="D10" i="5"/>
  <c r="D11" i="5"/>
  <c r="C67" i="5"/>
  <c r="D38" i="5"/>
  <c r="D39" i="5"/>
  <c r="D40" i="5"/>
  <c r="D41" i="5"/>
  <c r="D42" i="5"/>
  <c r="D43" i="5"/>
  <c r="D44" i="5"/>
  <c r="D27" i="5"/>
  <c r="D28" i="5"/>
  <c r="D29" i="5"/>
  <c r="D30" i="5"/>
  <c r="D31" i="5"/>
  <c r="D32" i="5"/>
  <c r="D33" i="5"/>
  <c r="D16" i="5"/>
  <c r="D17" i="5"/>
  <c r="D18" i="5"/>
  <c r="D19" i="5"/>
  <c r="D20" i="5"/>
  <c r="D21" i="5"/>
  <c r="D22" i="5"/>
  <c r="K61" i="2"/>
  <c r="K60" i="2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M22" i="3"/>
  <c r="M32" i="3"/>
  <c r="M33" i="3"/>
  <c r="M43" i="3"/>
  <c r="M44" i="3"/>
  <c r="C58" i="5"/>
  <c r="D58" i="5" s="1"/>
  <c r="H42" i="6"/>
  <c r="H40" i="6"/>
  <c r="H38" i="6"/>
  <c r="D57" i="1"/>
  <c r="E57" i="1"/>
  <c r="F57" i="1"/>
  <c r="G57" i="1"/>
  <c r="H57" i="1"/>
  <c r="I57" i="1"/>
  <c r="J57" i="1"/>
  <c r="C35" i="5"/>
  <c r="C37" i="5"/>
  <c r="D70" i="11"/>
  <c r="C70" i="11"/>
  <c r="D68" i="11"/>
  <c r="C68" i="11"/>
  <c r="D59" i="11"/>
  <c r="C59" i="11"/>
  <c r="D57" i="11"/>
  <c r="C57" i="11"/>
  <c r="D48" i="11"/>
  <c r="C48" i="11"/>
  <c r="D46" i="11"/>
  <c r="C46" i="11"/>
  <c r="G26" i="1"/>
  <c r="J47" i="10"/>
  <c r="K62" i="6" s="1"/>
  <c r="K44" i="6"/>
  <c r="K42" i="6"/>
  <c r="K40" i="6"/>
  <c r="K38" i="6"/>
  <c r="J36" i="10"/>
  <c r="H62" i="6" s="1"/>
  <c r="B62" i="6"/>
  <c r="B42" i="6"/>
  <c r="B40" i="6"/>
  <c r="B38" i="6"/>
  <c r="B26" i="6"/>
  <c r="E62" i="6"/>
  <c r="E26" i="6"/>
  <c r="J12" i="10"/>
  <c r="J34" i="10"/>
  <c r="I69" i="3"/>
  <c r="J69" i="3"/>
  <c r="K69" i="3"/>
  <c r="L69" i="3"/>
  <c r="E74" i="3" s="1"/>
  <c r="I69" i="1"/>
  <c r="J69" i="1"/>
  <c r="H22" i="6"/>
  <c r="I36" i="1"/>
  <c r="J36" i="1"/>
  <c r="J25" i="3"/>
  <c r="L25" i="3"/>
  <c r="J47" i="3"/>
  <c r="K47" i="3"/>
  <c r="L47" i="3"/>
  <c r="K22" i="6" s="1"/>
  <c r="C69" i="5"/>
  <c r="I67" i="3"/>
  <c r="J67" i="3"/>
  <c r="K67" i="3"/>
  <c r="L67" i="3"/>
  <c r="E73" i="3" s="1"/>
  <c r="B24" i="7" s="1"/>
  <c r="I23" i="3"/>
  <c r="J23" i="3"/>
  <c r="K23" i="3"/>
  <c r="L23" i="3"/>
  <c r="I45" i="3"/>
  <c r="J45" i="3"/>
  <c r="K45" i="3"/>
  <c r="L45" i="3"/>
  <c r="I45" i="1"/>
  <c r="J45" i="1"/>
  <c r="J23" i="1"/>
  <c r="I67" i="1"/>
  <c r="J67" i="1"/>
  <c r="I69" i="10"/>
  <c r="J70" i="10"/>
  <c r="I70" i="10"/>
  <c r="H70" i="10"/>
  <c r="G70" i="10"/>
  <c r="F70" i="10"/>
  <c r="E70" i="10"/>
  <c r="D70" i="10"/>
  <c r="C70" i="10"/>
  <c r="J68" i="10"/>
  <c r="I68" i="10"/>
  <c r="H68" i="10"/>
  <c r="G68" i="10"/>
  <c r="F68" i="10"/>
  <c r="E68" i="10"/>
  <c r="D68" i="10"/>
  <c r="C68" i="10"/>
  <c r="J59" i="10"/>
  <c r="I59" i="10"/>
  <c r="H59" i="10"/>
  <c r="G59" i="10"/>
  <c r="F59" i="10"/>
  <c r="E59" i="10"/>
  <c r="D59" i="10"/>
  <c r="C59" i="10"/>
  <c r="J57" i="10"/>
  <c r="I57" i="10"/>
  <c r="H57" i="10"/>
  <c r="G57" i="10"/>
  <c r="F57" i="10"/>
  <c r="E57" i="10"/>
  <c r="D57" i="10"/>
  <c r="C57" i="10"/>
  <c r="J48" i="10"/>
  <c r="I48" i="10"/>
  <c r="H48" i="10"/>
  <c r="G48" i="10"/>
  <c r="F48" i="10"/>
  <c r="E48" i="10"/>
  <c r="J46" i="10"/>
  <c r="I46" i="10"/>
  <c r="H46" i="10"/>
  <c r="G46" i="10"/>
  <c r="F46" i="10"/>
  <c r="E46" i="10"/>
  <c r="J37" i="10"/>
  <c r="I37" i="10"/>
  <c r="H37" i="10"/>
  <c r="G37" i="10"/>
  <c r="F37" i="10"/>
  <c r="E37" i="10"/>
  <c r="J35" i="10"/>
  <c r="I35" i="10"/>
  <c r="H35" i="10"/>
  <c r="G35" i="10"/>
  <c r="F35" i="10"/>
  <c r="E35" i="10"/>
  <c r="J26" i="10"/>
  <c r="I26" i="10"/>
  <c r="H26" i="10"/>
  <c r="G26" i="10"/>
  <c r="F26" i="10"/>
  <c r="E26" i="10"/>
  <c r="J24" i="10"/>
  <c r="I24" i="10"/>
  <c r="H24" i="10"/>
  <c r="G24" i="10"/>
  <c r="F24" i="10"/>
  <c r="E24" i="10"/>
  <c r="J15" i="10"/>
  <c r="I15" i="10"/>
  <c r="H15" i="10"/>
  <c r="G15" i="10"/>
  <c r="F15" i="10"/>
  <c r="E15" i="10"/>
  <c r="D15" i="10"/>
  <c r="J13" i="10"/>
  <c r="I13" i="10"/>
  <c r="H13" i="10"/>
  <c r="G13" i="10"/>
  <c r="F13" i="10"/>
  <c r="D13" i="10"/>
  <c r="C13" i="10"/>
  <c r="C56" i="2"/>
  <c r="D35" i="1"/>
  <c r="E35" i="1"/>
  <c r="F35" i="1"/>
  <c r="G35" i="1"/>
  <c r="H35" i="1"/>
  <c r="D26" i="1"/>
  <c r="I26" i="1"/>
  <c r="H25" i="1"/>
  <c r="F23" i="3"/>
  <c r="K24" i="3"/>
  <c r="G55" i="8"/>
  <c r="G56" i="8"/>
  <c r="G54" i="8"/>
  <c r="D55" i="5"/>
  <c r="D54" i="5"/>
  <c r="D53" i="5"/>
  <c r="G48" i="1"/>
  <c r="G10" i="8"/>
  <c r="B16" i="1"/>
  <c r="B17" i="1" s="1"/>
  <c r="B18" i="1" s="1"/>
  <c r="B19" i="1" s="1"/>
  <c r="B20" i="1" s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B55" i="1" s="1"/>
  <c r="B55" i="8"/>
  <c r="D50" i="5"/>
  <c r="D51" i="5"/>
  <c r="D52" i="5"/>
  <c r="F15" i="3"/>
  <c r="G33" i="8"/>
  <c r="G32" i="8"/>
  <c r="E13" i="1"/>
  <c r="D49" i="5"/>
  <c r="F59" i="3"/>
  <c r="G59" i="3"/>
  <c r="I59" i="3"/>
  <c r="J59" i="3"/>
  <c r="K59" i="3"/>
  <c r="L59" i="3"/>
  <c r="C59" i="8"/>
  <c r="D23" i="2"/>
  <c r="G23" i="2"/>
  <c r="F37" i="3"/>
  <c r="I57" i="3"/>
  <c r="C37" i="8"/>
  <c r="C15" i="5"/>
  <c r="E68" i="2"/>
  <c r="E70" i="2"/>
  <c r="G45" i="2"/>
  <c r="G35" i="2"/>
  <c r="G37" i="2"/>
  <c r="C59" i="5"/>
  <c r="D59" i="5" s="1"/>
  <c r="C48" i="5"/>
  <c r="C47" i="5"/>
  <c r="C25" i="5"/>
  <c r="D12" i="8"/>
  <c r="E57" i="2"/>
  <c r="C13" i="1"/>
  <c r="C15" i="1"/>
  <c r="D67" i="2"/>
  <c r="G67" i="2"/>
  <c r="D68" i="2"/>
  <c r="G68" i="2"/>
  <c r="D69" i="2"/>
  <c r="G69" i="2"/>
  <c r="D70" i="2"/>
  <c r="G70" i="2"/>
  <c r="H67" i="1"/>
  <c r="C74" i="1" s="1"/>
  <c r="D68" i="1"/>
  <c r="E68" i="1"/>
  <c r="F68" i="1"/>
  <c r="G68" i="1"/>
  <c r="H68" i="1"/>
  <c r="I68" i="1"/>
  <c r="J68" i="1"/>
  <c r="H69" i="1"/>
  <c r="C73" i="1" s="1"/>
  <c r="D70" i="1"/>
  <c r="E70" i="1"/>
  <c r="F70" i="1"/>
  <c r="G70" i="1"/>
  <c r="H70" i="1"/>
  <c r="I70" i="1"/>
  <c r="J70" i="1"/>
  <c r="D59" i="1"/>
  <c r="E59" i="1"/>
  <c r="F59" i="1"/>
  <c r="G59" i="1"/>
  <c r="H59" i="1"/>
  <c r="I59" i="1"/>
  <c r="J59" i="1"/>
  <c r="G21" i="8"/>
  <c r="G22" i="8"/>
  <c r="G24" i="8"/>
  <c r="G43" i="8"/>
  <c r="G44" i="8"/>
  <c r="G11" i="8"/>
  <c r="G13" i="8"/>
  <c r="D56" i="2"/>
  <c r="G56" i="2"/>
  <c r="D57" i="2"/>
  <c r="G57" i="2"/>
  <c r="D58" i="2"/>
  <c r="G58" i="2"/>
  <c r="D59" i="2"/>
  <c r="E59" i="2"/>
  <c r="G59" i="2"/>
  <c r="D45" i="2"/>
  <c r="D46" i="2"/>
  <c r="E46" i="2"/>
  <c r="G46" i="2"/>
  <c r="D47" i="2"/>
  <c r="G47" i="2"/>
  <c r="D48" i="2"/>
  <c r="E48" i="2"/>
  <c r="G48" i="2"/>
  <c r="D35" i="2"/>
  <c r="E35" i="2"/>
  <c r="D36" i="2"/>
  <c r="D37" i="2"/>
  <c r="E37" i="2"/>
  <c r="D24" i="2"/>
  <c r="G24" i="2"/>
  <c r="D13" i="2"/>
  <c r="J46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F46" i="3"/>
  <c r="F47" i="3"/>
  <c r="C35" i="2"/>
  <c r="C36" i="2"/>
  <c r="C37" i="2"/>
  <c r="C45" i="2"/>
  <c r="C46" i="2"/>
  <c r="C47" i="2"/>
  <c r="C48" i="2"/>
  <c r="D15" i="3"/>
  <c r="G15" i="3"/>
  <c r="I15" i="3"/>
  <c r="J15" i="3"/>
  <c r="K15" i="3"/>
  <c r="L15" i="3"/>
  <c r="C15" i="3"/>
  <c r="F13" i="3"/>
  <c r="G23" i="3"/>
  <c r="F24" i="3"/>
  <c r="G24" i="3"/>
  <c r="I24" i="3"/>
  <c r="J24" i="3"/>
  <c r="L24" i="3"/>
  <c r="F25" i="3"/>
  <c r="D26" i="3"/>
  <c r="F26" i="3"/>
  <c r="G26" i="3"/>
  <c r="J26" i="3"/>
  <c r="K26" i="3"/>
  <c r="L26" i="3"/>
  <c r="G13" i="3"/>
  <c r="I13" i="3"/>
  <c r="J13" i="3"/>
  <c r="K13" i="3"/>
  <c r="L13" i="3"/>
  <c r="D13" i="1"/>
  <c r="C59" i="1"/>
  <c r="C57" i="1"/>
  <c r="C35" i="1"/>
  <c r="C26" i="1"/>
  <c r="C24" i="1"/>
  <c r="C69" i="2"/>
  <c r="N30" i="6"/>
  <c r="C26" i="5"/>
  <c r="C70" i="3"/>
  <c r="C68" i="3"/>
  <c r="C59" i="3"/>
  <c r="C57" i="3"/>
  <c r="C48" i="3"/>
  <c r="C46" i="3"/>
  <c r="D37" i="3"/>
  <c r="C37" i="3"/>
  <c r="C26" i="3"/>
  <c r="D48" i="1"/>
  <c r="E48" i="1"/>
  <c r="F48" i="1"/>
  <c r="H48" i="1"/>
  <c r="I48" i="1"/>
  <c r="J48" i="1"/>
  <c r="D46" i="1"/>
  <c r="E46" i="1"/>
  <c r="F46" i="1"/>
  <c r="G46" i="1"/>
  <c r="H46" i="1"/>
  <c r="I46" i="1"/>
  <c r="C48" i="1"/>
  <c r="E26" i="1"/>
  <c r="F26" i="1"/>
  <c r="J26" i="1"/>
  <c r="D24" i="1"/>
  <c r="E24" i="1"/>
  <c r="F24" i="1"/>
  <c r="G24" i="1"/>
  <c r="H24" i="1"/>
  <c r="I24" i="1"/>
  <c r="J24" i="1"/>
  <c r="D15" i="1"/>
  <c r="E15" i="1"/>
  <c r="F15" i="1"/>
  <c r="G15" i="1"/>
  <c r="H15" i="1"/>
  <c r="I15" i="1"/>
  <c r="J15" i="1"/>
  <c r="F13" i="1"/>
  <c r="G13" i="1"/>
  <c r="H13" i="1"/>
  <c r="I13" i="1"/>
  <c r="J13" i="1"/>
  <c r="D57" i="3"/>
  <c r="F57" i="3"/>
  <c r="G57" i="3"/>
  <c r="J57" i="3"/>
  <c r="K57" i="3"/>
  <c r="L57" i="3"/>
  <c r="D48" i="3"/>
  <c r="F48" i="3"/>
  <c r="G48" i="3"/>
  <c r="J48" i="3"/>
  <c r="K48" i="3"/>
  <c r="L48" i="3"/>
  <c r="G45" i="3"/>
  <c r="D46" i="3"/>
  <c r="G46" i="3"/>
  <c r="I46" i="3"/>
  <c r="J46" i="3"/>
  <c r="K46" i="3"/>
  <c r="L46" i="3"/>
  <c r="G37" i="3"/>
  <c r="I37" i="3"/>
  <c r="J37" i="3"/>
  <c r="K37" i="3"/>
  <c r="L37" i="3"/>
  <c r="C68" i="1"/>
  <c r="C70" i="1"/>
  <c r="C46" i="1"/>
  <c r="C68" i="2"/>
  <c r="C67" i="2"/>
  <c r="C70" i="2"/>
  <c r="C57" i="2"/>
  <c r="C59" i="2"/>
  <c r="C68" i="5"/>
  <c r="D68" i="5" s="1"/>
  <c r="C70" i="5"/>
  <c r="D70" i="5" s="1"/>
  <c r="C57" i="5"/>
  <c r="D57" i="5" s="1"/>
  <c r="C46" i="5"/>
  <c r="C24" i="5"/>
  <c r="L68" i="3"/>
  <c r="K68" i="3"/>
  <c r="J68" i="3"/>
  <c r="I68" i="3"/>
  <c r="G68" i="3"/>
  <c r="F68" i="3"/>
  <c r="D68" i="3"/>
  <c r="G67" i="3"/>
  <c r="F67" i="3"/>
  <c r="L70" i="3"/>
  <c r="K70" i="3"/>
  <c r="J70" i="3"/>
  <c r="I70" i="3"/>
  <c r="G70" i="3"/>
  <c r="F70" i="3"/>
  <c r="D70" i="3"/>
  <c r="G69" i="3"/>
  <c r="F69" i="3"/>
  <c r="C24" i="3"/>
  <c r="G74" i="8"/>
  <c r="D73" i="8"/>
  <c r="G34" i="8"/>
  <c r="G35" i="8"/>
  <c r="G12" i="8"/>
  <c r="C74" i="8"/>
  <c r="G75" i="8"/>
  <c r="G73" i="8"/>
  <c r="D12" i="5" l="1"/>
  <c r="B26" i="7"/>
  <c r="D74" i="1"/>
  <c r="D73" i="1"/>
  <c r="B22" i="7"/>
  <c r="D74" i="2"/>
  <c r="B36" i="7" s="1"/>
  <c r="G73" i="2"/>
  <c r="D73" i="2"/>
  <c r="C74" i="2"/>
  <c r="B32" i="7" s="1"/>
  <c r="E73" i="2"/>
  <c r="D69" i="5"/>
  <c r="B73" i="5"/>
  <c r="N12" i="6"/>
  <c r="D67" i="5"/>
  <c r="F74" i="5" s="1"/>
  <c r="B74" i="5"/>
  <c r="G73" i="3"/>
  <c r="D74" i="3"/>
  <c r="F73" i="3"/>
  <c r="N36" i="6"/>
  <c r="N24" i="6"/>
  <c r="K24" i="6"/>
  <c r="H24" i="6"/>
  <c r="G74" i="3"/>
  <c r="E24" i="6"/>
  <c r="D13" i="5"/>
  <c r="D14" i="5"/>
  <c r="F73" i="5" s="1"/>
  <c r="M14" i="3"/>
  <c r="B6" i="6" s="1"/>
  <c r="M15" i="3"/>
  <c r="M13" i="3"/>
  <c r="K12" i="1"/>
  <c r="K14" i="1"/>
  <c r="B4" i="6" s="1"/>
  <c r="K36" i="6"/>
  <c r="H32" i="6"/>
  <c r="H30" i="6"/>
  <c r="C74" i="10"/>
  <c r="J74" i="10"/>
  <c r="H44" i="6"/>
  <c r="D74" i="10"/>
  <c r="H36" i="6"/>
  <c r="E74" i="10"/>
  <c r="E36" i="6"/>
  <c r="G74" i="2"/>
  <c r="B28" i="7" s="1"/>
  <c r="K30" i="6"/>
  <c r="N26" i="6"/>
  <c r="N20" i="6"/>
  <c r="K26" i="6"/>
  <c r="K20" i="6"/>
  <c r="F74" i="3"/>
  <c r="H26" i="6"/>
  <c r="H20" i="6"/>
  <c r="E28" i="6"/>
  <c r="B28" i="6"/>
  <c r="B74" i="6" s="1"/>
  <c r="N28" i="6"/>
  <c r="K28" i="6"/>
  <c r="H28" i="6"/>
  <c r="B10" i="6"/>
  <c r="M69" i="3"/>
  <c r="F78" i="3" s="1"/>
  <c r="B12" i="6"/>
  <c r="B16" i="10"/>
  <c r="B17" i="10" s="1"/>
  <c r="B18" i="10" s="1"/>
  <c r="B19" i="10" s="1"/>
  <c r="B20" i="10" s="1"/>
  <c r="B21" i="10" s="1"/>
  <c r="B22" i="10" s="1"/>
  <c r="B27" i="10" s="1"/>
  <c r="B28" i="10" s="1"/>
  <c r="B29" i="10" s="1"/>
  <c r="B30" i="10" s="1"/>
  <c r="B31" i="10" s="1"/>
  <c r="B32" i="10" s="1"/>
  <c r="B33" i="10" s="1"/>
  <c r="B38" i="10" s="1"/>
  <c r="B39" i="10" s="1"/>
  <c r="B40" i="10" s="1"/>
  <c r="B41" i="10" s="1"/>
  <c r="B42" i="10" s="1"/>
  <c r="B43" i="10" s="1"/>
  <c r="K68" i="2"/>
  <c r="K70" i="2"/>
  <c r="M67" i="3"/>
  <c r="F77" i="3" s="1"/>
  <c r="K67" i="1"/>
  <c r="H74" i="1" s="1"/>
  <c r="K69" i="1"/>
  <c r="H73" i="1" s="1"/>
  <c r="E69" i="11"/>
  <c r="E70" i="11"/>
  <c r="E67" i="11"/>
  <c r="K68" i="1"/>
  <c r="K15" i="1"/>
  <c r="K69" i="2"/>
  <c r="K67" i="2"/>
  <c r="M70" i="3"/>
  <c r="K73" i="10"/>
  <c r="B48" i="7" s="1"/>
  <c r="N40" i="6"/>
  <c r="G74" i="10"/>
  <c r="N38" i="6"/>
  <c r="F74" i="10"/>
  <c r="K74" i="10"/>
  <c r="N42" i="6"/>
  <c r="H74" i="10"/>
  <c r="H10" i="6"/>
  <c r="M59" i="3"/>
  <c r="D46" i="5"/>
  <c r="H12" i="6"/>
  <c r="D25" i="5"/>
  <c r="E12" i="6" s="1"/>
  <c r="D15" i="5"/>
  <c r="M48" i="3"/>
  <c r="M24" i="3"/>
  <c r="M26" i="3"/>
  <c r="K45" i="1"/>
  <c r="K48" i="1"/>
  <c r="K36" i="1"/>
  <c r="H4" i="6" s="1"/>
  <c r="K25" i="1"/>
  <c r="E4" i="6" s="1"/>
  <c r="K26" i="1"/>
  <c r="K23" i="1"/>
  <c r="K24" i="1"/>
  <c r="E59" i="11"/>
  <c r="E46" i="11"/>
  <c r="E48" i="11"/>
  <c r="E45" i="11"/>
  <c r="E36" i="11"/>
  <c r="E35" i="11"/>
  <c r="E34" i="11"/>
  <c r="E26" i="11"/>
  <c r="E12" i="11"/>
  <c r="K8" i="6"/>
  <c r="H8" i="6"/>
  <c r="E8" i="6"/>
  <c r="E47" i="11"/>
  <c r="E37" i="11"/>
  <c r="E24" i="11"/>
  <c r="E25" i="11"/>
  <c r="E23" i="11"/>
  <c r="E15" i="11"/>
  <c r="D74" i="11"/>
  <c r="E13" i="11"/>
  <c r="D73" i="11"/>
  <c r="B8" i="6"/>
  <c r="K13" i="1"/>
  <c r="K46" i="1"/>
  <c r="K4" i="6"/>
  <c r="K35" i="1"/>
  <c r="K10" i="6"/>
  <c r="D47" i="5"/>
  <c r="K12" i="6" s="1"/>
  <c r="D48" i="5"/>
  <c r="D35" i="5"/>
  <c r="D37" i="5"/>
  <c r="D26" i="5"/>
  <c r="D24" i="5"/>
  <c r="N6" i="6"/>
  <c r="M46" i="3"/>
  <c r="M47" i="3"/>
  <c r="K6" i="6" s="1"/>
  <c r="M37" i="3"/>
  <c r="H6" i="6"/>
  <c r="C73" i="11"/>
  <c r="C74" i="11"/>
  <c r="E56" i="11"/>
  <c r="E58" i="11"/>
  <c r="E57" i="11"/>
  <c r="K59" i="1"/>
  <c r="K57" i="1"/>
  <c r="M68" i="3"/>
  <c r="M57" i="3"/>
  <c r="B30" i="7" l="1"/>
  <c r="E74" i="6"/>
  <c r="B16" i="6"/>
  <c r="H75" i="1"/>
  <c r="N74" i="6"/>
  <c r="K16" i="6"/>
  <c r="K74" i="6"/>
  <c r="H16" i="6"/>
  <c r="H74" i="6"/>
  <c r="L76" i="2"/>
  <c r="B4" i="7"/>
  <c r="H76" i="1"/>
  <c r="B6" i="7"/>
  <c r="B44" i="10"/>
  <c r="B49" i="10" s="1"/>
  <c r="B50" i="10" s="1"/>
  <c r="B51" i="10" s="1"/>
  <c r="B52" i="10" s="1"/>
  <c r="B53" i="10" s="1"/>
  <c r="F75" i="5"/>
  <c r="F79" i="3"/>
  <c r="F74" i="11"/>
  <c r="B16" i="7" s="1"/>
  <c r="B8" i="7"/>
  <c r="F76" i="11"/>
  <c r="G76" i="4"/>
  <c r="F76" i="5"/>
  <c r="B12" i="7"/>
  <c r="F80" i="3"/>
  <c r="F75" i="11"/>
  <c r="F73" i="11"/>
  <c r="N8" i="6"/>
  <c r="N4" i="6"/>
  <c r="Q18" i="6" l="1"/>
  <c r="N16" i="6"/>
  <c r="B54" i="10"/>
  <c r="B55" i="10" s="1"/>
  <c r="B60" i="10" s="1"/>
  <c r="B61" i="10" s="1"/>
  <c r="B62" i="10" s="1"/>
  <c r="B63" i="10" s="1"/>
  <c r="B64" i="10" s="1"/>
  <c r="B65" i="10" s="1"/>
  <c r="B66" i="10" s="1"/>
  <c r="B14" i="7"/>
  <c r="E24" i="2"/>
  <c r="E23" i="2"/>
  <c r="E74" i="2" l="1"/>
  <c r="B34" i="7" s="1"/>
  <c r="B76" i="7" s="1"/>
  <c r="K25" i="2"/>
  <c r="M73" i="2" s="1"/>
  <c r="K26" i="2"/>
  <c r="L75" i="2" l="1"/>
  <c r="B10" i="7"/>
  <c r="B18" i="7" s="1"/>
  <c r="E10" i="6"/>
  <c r="E16" i="6" s="1"/>
</calcChain>
</file>

<file path=xl/sharedStrings.xml><?xml version="1.0" encoding="utf-8"?>
<sst xmlns="http://schemas.openxmlformats.org/spreadsheetml/2006/main" count="959" uniqueCount="118">
  <si>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</si>
  <si>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</si>
  <si>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</si>
  <si>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</si>
  <si>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</si>
  <si>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</si>
  <si>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</si>
  <si>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</si>
  <si>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</si>
  <si>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</si>
  <si>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</si>
  <si>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</si>
  <si>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</si>
  <si>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</si>
  <si>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</si>
  <si>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</si>
  <si>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</si>
  <si>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</si>
  <si>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</si>
  <si>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</si>
  <si>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</si>
  <si>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</si>
  <si>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</si>
  <si>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</si>
  <si>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</si>
  <si>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</si>
  <si>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</si>
  <si>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</si>
  <si>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</si>
  <si>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</si>
  <si>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</si>
  <si>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Governors Island</t>
  </si>
  <si>
    <t>Week 6</t>
  </si>
  <si>
    <t>Liberty Landing Ferry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</si>
  <si>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</si>
  <si>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</si>
  <si>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</si>
  <si>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</si>
  <si>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</si>
  <si>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</si>
  <si>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</si>
  <si>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</si>
  <si>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</si>
  <si>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</si>
  <si>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</si>
  <si>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</si>
  <si>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</si>
  <si>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</si>
  <si>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</si>
  <si>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</si>
  <si>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</si>
  <si>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</si>
  <si>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</si>
  <si>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</si>
  <si>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</si>
  <si>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</si>
  <si>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</si>
  <si>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</si>
  <si>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</si>
  <si>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</si>
  <si>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</si>
  <si>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</si>
  <si>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</si>
  <si>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</si>
  <si>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</si>
  <si>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</si>
  <si>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</si>
  <si>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</si>
  <si>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</si>
  <si>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</si>
  <si>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</si>
  <si>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</si>
  <si>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Sunset Park</t>
  </si>
  <si>
    <t>NYC Ferry</t>
  </si>
  <si>
    <t>NYC Ferry Monthly Totals</t>
  </si>
  <si>
    <t>Water Tours Monthly Totals</t>
  </si>
  <si>
    <t>South Brooklyn</t>
  </si>
  <si>
    <t>Bayridge</t>
  </si>
  <si>
    <t>Red Hook</t>
  </si>
  <si>
    <t>Governor's Island</t>
  </si>
  <si>
    <t>Pier 6</t>
  </si>
  <si>
    <t>Astoria</t>
  </si>
  <si>
    <t>Roosevelt Island</t>
  </si>
  <si>
    <t>World Financial Center/ BPT</t>
  </si>
  <si>
    <t>World Financial Center/BPT</t>
  </si>
  <si>
    <t>Harborside</t>
  </si>
  <si>
    <t xml:space="preserve">Lower East Side </t>
  </si>
  <si>
    <t>Stuyvesant Cove</t>
  </si>
  <si>
    <t>Corlears Hook</t>
  </si>
  <si>
    <t>East 90th Street</t>
  </si>
  <si>
    <t>Soundview</t>
  </si>
  <si>
    <t>January Monthly Totals</t>
  </si>
  <si>
    <t>Port Liberte/   BMB Slip 5</t>
  </si>
  <si>
    <t>E 34 St</t>
  </si>
  <si>
    <t>Hunter's Point South</t>
  </si>
  <si>
    <t>Lincoln Harbor - HoboN (WE)</t>
  </si>
  <si>
    <t>DUMBO / Fulton Landing</t>
  </si>
  <si>
    <t>Pier 16 / South Street Seaport</t>
  </si>
  <si>
    <t>Pier 83</t>
  </si>
  <si>
    <t>NYU / Langone Shuttle</t>
  </si>
  <si>
    <t>Redhook / Ikea Shuttle</t>
  </si>
  <si>
    <t>Pier 16 South Street Seaport</t>
  </si>
  <si>
    <t>All Day Access Pass (ADAP)</t>
  </si>
  <si>
    <t>NYU / 34th Street Shuttle</t>
  </si>
  <si>
    <t>Hunters Point South</t>
  </si>
  <si>
    <t>Atlantic Ave Pier 6</t>
  </si>
  <si>
    <t>Brooklyn Bridge Park Atlantic Avenue Pier 6</t>
  </si>
  <si>
    <t>03/01/2019--03/03/2019</t>
  </si>
  <si>
    <t>03/04/2019--03/10/2019</t>
  </si>
  <si>
    <t>03/11/2019--03/17/2019</t>
  </si>
  <si>
    <t>03/18/2019--03/24/2019</t>
  </si>
  <si>
    <t>03/25/2019--03/31/2019</t>
  </si>
  <si>
    <t>Bay Ridge</t>
  </si>
  <si>
    <t>BAT</t>
  </si>
  <si>
    <t>Bay Ridge Brooklyn Army Terminal</t>
  </si>
  <si>
    <t>Red Hook IKEA</t>
  </si>
  <si>
    <t>Red Hook Ikea</t>
  </si>
  <si>
    <t>Bayridge Brooklyn Army 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</si>
</sst>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m/dd/yy;@"/>
    <numFmt numFmtId="165" formatCode="_(* #,##0_);_(* \(#,##0\);_(* &quot;&quot;_);_(@_)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fornian FB"/>
      <family val="1"/>
    </font>
    <font>
      <sz val="11"/>
      <color theme="1"/>
      <name val="Century Gothic"/>
      <family val="2"/>
    </font>
    <font>
      <sz val="10"/>
      <color rgb="FF00000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1" fillId="0" borderId="0"/>
    <xf numFmtId="0" fontId="24" fillId="0" borderId="0"/>
  </cellStyleXfs>
  <cellXfs count="587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7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46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45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2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60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2" xfId="0" applyNumberFormat="1" applyFont="1" applyFill="1" applyBorder="1"/>
    <xf numFmtId="3" fontId="9" fillId="0" borderId="23" xfId="0" applyNumberFormat="1" applyFont="1" applyFill="1" applyBorder="1"/>
    <xf numFmtId="3" fontId="9" fillId="0" borderId="55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3" fontId="13" fillId="0" borderId="60" xfId="0" applyNumberFormat="1" applyFont="1" applyFill="1" applyBorder="1" applyAlignment="1">
      <alignment horizontal="center" vertical="center" wrapText="1"/>
    </xf>
    <xf numFmtId="0" fontId="21" fillId="5" borderId="60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0" borderId="0" xfId="0" applyNumberFormat="1" applyFont="1"/>
    <xf numFmtId="3" fontId="13" fillId="4" borderId="60" xfId="0" applyNumberFormat="1" applyFont="1" applyFill="1" applyBorder="1" applyAlignment="1">
      <alignment horizontal="center" vertical="center" wrapText="1"/>
    </xf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8" fillId="0" borderId="62" xfId="0" applyNumberFormat="1" applyFont="1" applyFill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6" fillId="0" borderId="62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2" xfId="0" applyNumberFormat="1" applyFont="1" applyFill="1" applyBorder="1" applyAlignment="1">
      <alignment horizontal="right"/>
    </xf>
    <xf numFmtId="164" fontId="19" fillId="0" borderId="62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5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164" fontId="1" fillId="0" borderId="62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9" fillId="0" borderId="60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right"/>
    </xf>
    <xf numFmtId="164" fontId="1" fillId="0" borderId="63" xfId="0" applyNumberFormat="1" applyFont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68" xfId="0" applyNumberFormat="1" applyFont="1" applyFill="1" applyBorder="1" applyAlignment="1">
      <alignment horizontal="right"/>
    </xf>
    <xf numFmtId="3" fontId="21" fillId="5" borderId="69" xfId="0" applyNumberFormat="1" applyFont="1" applyFill="1" applyBorder="1" applyAlignment="1">
      <alignment horizontal="right"/>
    </xf>
    <xf numFmtId="3" fontId="21" fillId="4" borderId="68" xfId="0" applyNumberFormat="1" applyFont="1" applyFill="1" applyBorder="1" applyAlignment="1">
      <alignment horizontal="right"/>
    </xf>
    <xf numFmtId="3" fontId="21" fillId="4" borderId="69" xfId="0" applyNumberFormat="1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3" fontId="19" fillId="5" borderId="68" xfId="0" applyNumberFormat="1" applyFont="1" applyFill="1" applyBorder="1" applyAlignment="1">
      <alignment horizontal="right"/>
    </xf>
    <xf numFmtId="3" fontId="19" fillId="5" borderId="69" xfId="0" applyNumberFormat="1" applyFont="1" applyFill="1" applyBorder="1" applyAlignment="1">
      <alignment horizontal="right"/>
    </xf>
    <xf numFmtId="3" fontId="19" fillId="4" borderId="68" xfId="0" applyNumberFormat="1" applyFont="1" applyFill="1" applyBorder="1" applyAlignment="1">
      <alignment horizontal="right"/>
    </xf>
    <xf numFmtId="3" fontId="19" fillId="4" borderId="69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0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0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3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19" fillId="0" borderId="50" xfId="0" applyNumberFormat="1" applyFont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0" borderId="55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164" fontId="1" fillId="0" borderId="63" xfId="0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25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65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6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9" fillId="0" borderId="41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1" fillId="0" borderId="51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3" fontId="1" fillId="0" borderId="72" xfId="0" applyNumberFormat="1" applyFont="1" applyBorder="1" applyAlignment="1">
      <alignment horizontal="right"/>
    </xf>
    <xf numFmtId="3" fontId="1" fillId="5" borderId="71" xfId="0" applyNumberFormat="1" applyFont="1" applyFill="1" applyBorder="1" applyAlignment="1">
      <alignment horizontal="right"/>
    </xf>
    <xf numFmtId="3" fontId="1" fillId="5" borderId="72" xfId="0" applyNumberFormat="1" applyFont="1" applyFill="1" applyBorder="1" applyAlignment="1">
      <alignment horizontal="right"/>
    </xf>
    <xf numFmtId="3" fontId="1" fillId="4" borderId="71" xfId="0" applyNumberFormat="1" applyFont="1" applyFill="1" applyBorder="1" applyAlignment="1">
      <alignment horizontal="right"/>
    </xf>
    <xf numFmtId="3" fontId="1" fillId="4" borderId="72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73" xfId="0" applyNumberFormat="1" applyFont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164" fontId="1" fillId="0" borderId="16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0" fontId="15" fillId="0" borderId="0" xfId="0" applyFont="1" applyFill="1" applyBorder="1"/>
    <xf numFmtId="41" fontId="19" fillId="0" borderId="46" xfId="0" applyNumberFormat="1" applyFont="1" applyBorder="1" applyAlignment="1">
      <alignment horizontal="right"/>
    </xf>
    <xf numFmtId="3" fontId="19" fillId="0" borderId="32" xfId="0" applyNumberFormat="1" applyFont="1" applyBorder="1" applyAlignment="1">
      <alignment horizontal="right"/>
    </xf>
    <xf numFmtId="41" fontId="19" fillId="0" borderId="28" xfId="0" applyNumberFormat="1" applyFont="1" applyFill="1" applyBorder="1" applyAlignment="1">
      <alignment horizontal="right"/>
    </xf>
    <xf numFmtId="41" fontId="19" fillId="0" borderId="46" xfId="0" applyNumberFormat="1" applyFont="1" applyFill="1" applyBorder="1" applyAlignment="1">
      <alignment horizontal="right"/>
    </xf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0" fontId="1" fillId="0" borderId="21" xfId="0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center" vertical="center"/>
    </xf>
    <xf numFmtId="3" fontId="19" fillId="0" borderId="72" xfId="0" applyNumberFormat="1" applyFont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164" fontId="19" fillId="0" borderId="45" xfId="0" applyNumberFormat="1" applyFont="1" applyBorder="1" applyAlignment="1">
      <alignment horizontal="right"/>
    </xf>
    <xf numFmtId="3" fontId="19" fillId="0" borderId="25" xfId="0" applyNumberFormat="1" applyFont="1" applyBorder="1" applyAlignment="1">
      <alignment horizontal="right"/>
    </xf>
    <xf numFmtId="3" fontId="19" fillId="0" borderId="63" xfId="0" applyNumberFormat="1" applyFont="1" applyBorder="1" applyAlignment="1">
      <alignment horizontal="right"/>
    </xf>
    <xf numFmtId="0" fontId="20" fillId="6" borderId="12" xfId="0" applyFont="1" applyFill="1" applyBorder="1" applyAlignment="1">
      <alignment vertical="center" wrapText="1"/>
    </xf>
    <xf numFmtId="164" fontId="19" fillId="0" borderId="1" xfId="0" applyNumberFormat="1" applyFont="1" applyBorder="1" applyAlignment="1">
      <alignment horizontal="right"/>
    </xf>
    <xf numFmtId="164" fontId="19" fillId="0" borderId="46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6" fillId="0" borderId="46" xfId="0" applyNumberFormat="1" applyFont="1" applyFill="1" applyBorder="1" applyAlignment="1">
      <alignment horizontal="right"/>
    </xf>
    <xf numFmtId="164" fontId="19" fillId="0" borderId="46" xfId="0" applyNumberFormat="1" applyFont="1" applyFill="1" applyBorder="1" applyAlignment="1">
      <alignment horizontal="right"/>
    </xf>
    <xf numFmtId="3" fontId="19" fillId="6" borderId="21" xfId="0" applyNumberFormat="1" applyFont="1" applyFill="1" applyBorder="1" applyAlignment="1">
      <alignment horizontal="right"/>
    </xf>
    <xf numFmtId="0" fontId="19" fillId="0" borderId="21" xfId="0" applyFont="1" applyBorder="1" applyAlignment="1">
      <alignment horizontal="right"/>
    </xf>
    <xf numFmtId="3" fontId="1" fillId="6" borderId="21" xfId="0" applyNumberFormat="1" applyFont="1" applyFill="1" applyBorder="1" applyAlignment="1">
      <alignment horizontal="right"/>
    </xf>
    <xf numFmtId="3" fontId="19" fillId="5" borderId="21" xfId="0" applyNumberFormat="1" applyFont="1" applyFill="1" applyBorder="1" applyAlignment="1">
      <alignment horizontal="right"/>
    </xf>
    <xf numFmtId="3" fontId="19" fillId="4" borderId="21" xfId="0" applyNumberFormat="1" applyFont="1" applyFill="1" applyBorder="1" applyAlignment="1">
      <alignment horizontal="right"/>
    </xf>
    <xf numFmtId="3" fontId="19" fillId="6" borderId="42" xfId="0" applyNumberFormat="1" applyFont="1" applyFill="1" applyBorder="1" applyAlignment="1">
      <alignment horizontal="right"/>
    </xf>
    <xf numFmtId="3" fontId="19" fillId="6" borderId="26" xfId="0" applyNumberFormat="1" applyFont="1" applyFill="1" applyBorder="1" applyAlignment="1">
      <alignment horizontal="right"/>
    </xf>
    <xf numFmtId="0" fontId="19" fillId="0" borderId="41" xfId="0" applyFont="1" applyBorder="1" applyAlignment="1">
      <alignment horizontal="right"/>
    </xf>
    <xf numFmtId="3" fontId="19" fillId="5" borderId="41" xfId="0" applyNumberFormat="1" applyFont="1" applyFill="1" applyBorder="1" applyAlignment="1">
      <alignment horizontal="right"/>
    </xf>
    <xf numFmtId="3" fontId="19" fillId="5" borderId="28" xfId="0" applyNumberFormat="1" applyFont="1" applyFill="1" applyBorder="1" applyAlignment="1">
      <alignment horizontal="right"/>
    </xf>
    <xf numFmtId="3" fontId="19" fillId="4" borderId="41" xfId="0" applyNumberFormat="1" applyFont="1" applyFill="1" applyBorder="1" applyAlignment="1">
      <alignment horizontal="right"/>
    </xf>
    <xf numFmtId="3" fontId="19" fillId="4" borderId="28" xfId="0" applyNumberFormat="1" applyFont="1" applyFill="1" applyBorder="1" applyAlignment="1">
      <alignment horizontal="right"/>
    </xf>
    <xf numFmtId="3" fontId="19" fillId="6" borderId="28" xfId="0" applyNumberFormat="1" applyFont="1" applyFill="1" applyBorder="1" applyAlignment="1">
      <alignment horizontal="right"/>
    </xf>
    <xf numFmtId="3" fontId="1" fillId="0" borderId="16" xfId="0" applyNumberFormat="1" applyFont="1" applyBorder="1" applyAlignment="1"/>
    <xf numFmtId="3" fontId="1" fillId="4" borderId="43" xfId="0" applyNumberFormat="1" applyFont="1" applyFill="1" applyBorder="1" applyAlignment="1"/>
    <xf numFmtId="38" fontId="12" fillId="0" borderId="41" xfId="0" applyNumberFormat="1" applyFont="1" applyFill="1" applyBorder="1" applyAlignment="1">
      <alignment wrapText="1"/>
    </xf>
    <xf numFmtId="3" fontId="19" fillId="0" borderId="74" xfId="0" applyNumberFormat="1" applyFont="1" applyBorder="1" applyAlignment="1">
      <alignment horizontal="right"/>
    </xf>
    <xf numFmtId="3" fontId="19" fillId="0" borderId="6" xfId="0" applyNumberFormat="1" applyFont="1" applyBorder="1" applyAlignment="1">
      <alignment horizontal="right"/>
    </xf>
    <xf numFmtId="3" fontId="21" fillId="5" borderId="22" xfId="0" applyNumberFormat="1" applyFont="1" applyFill="1" applyBorder="1" applyAlignment="1">
      <alignment horizontal="right"/>
    </xf>
    <xf numFmtId="3" fontId="21" fillId="4" borderId="22" xfId="0" applyNumberFormat="1" applyFont="1" applyFill="1" applyBorder="1" applyAlignment="1">
      <alignment horizontal="right"/>
    </xf>
    <xf numFmtId="3" fontId="19" fillId="0" borderId="64" xfId="0" applyNumberFormat="1" applyFont="1" applyBorder="1" applyAlignment="1">
      <alignment horizontal="right"/>
    </xf>
    <xf numFmtId="3" fontId="21" fillId="4" borderId="75" xfId="0" applyNumberFormat="1" applyFont="1" applyFill="1" applyBorder="1" applyAlignment="1">
      <alignment horizontal="right"/>
    </xf>
    <xf numFmtId="3" fontId="19" fillId="0" borderId="73" xfId="0" applyNumberFormat="1" applyFont="1" applyBorder="1" applyAlignment="1">
      <alignment horizontal="right"/>
    </xf>
    <xf numFmtId="3" fontId="21" fillId="5" borderId="17" xfId="0" applyNumberFormat="1" applyFont="1" applyFill="1" applyBorder="1" applyAlignment="1">
      <alignment horizontal="right"/>
    </xf>
    <xf numFmtId="3" fontId="21" fillId="4" borderId="17" xfId="0" applyNumberFormat="1" applyFont="1" applyFill="1" applyBorder="1" applyAlignment="1">
      <alignment horizontal="right"/>
    </xf>
    <xf numFmtId="3" fontId="21" fillId="5" borderId="46" xfId="0" applyNumberFormat="1" applyFont="1" applyFill="1" applyBorder="1" applyAlignment="1">
      <alignment horizontal="right"/>
    </xf>
    <xf numFmtId="3" fontId="21" fillId="4" borderId="46" xfId="0" applyNumberFormat="1" applyFont="1" applyFill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1" fillId="0" borderId="16" xfId="0" applyNumberFormat="1" applyFont="1" applyBorder="1" applyAlignment="1">
      <alignment horizontal="right"/>
    </xf>
    <xf numFmtId="0" fontId="1" fillId="0" borderId="41" xfId="0" applyFont="1" applyBorder="1" applyAlignment="1">
      <alignment horizontal="right"/>
    </xf>
    <xf numFmtId="3" fontId="12" fillId="0" borderId="21" xfId="0" applyNumberFormat="1" applyFont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3" fontId="19" fillId="0" borderId="52" xfId="0" applyNumberFormat="1" applyFont="1" applyBorder="1" applyAlignment="1">
      <alignment horizontal="right"/>
    </xf>
    <xf numFmtId="0" fontId="19" fillId="0" borderId="26" xfId="0" applyFont="1" applyBorder="1" applyAlignment="1">
      <alignment horizontal="right"/>
    </xf>
    <xf numFmtId="3" fontId="12" fillId="0" borderId="28" xfId="0" applyNumberFormat="1" applyFont="1" applyBorder="1" applyAlignment="1">
      <alignment horizontal="right"/>
    </xf>
    <xf numFmtId="41" fontId="19" fillId="0" borderId="41" xfId="0" applyNumberFormat="1" applyFont="1" applyBorder="1" applyAlignment="1">
      <alignment horizontal="right"/>
    </xf>
    <xf numFmtId="3" fontId="19" fillId="5" borderId="22" xfId="0" applyNumberFormat="1" applyFont="1" applyFill="1" applyBorder="1" applyAlignment="1">
      <alignment horizontal="right"/>
    </xf>
    <xf numFmtId="3" fontId="19" fillId="4" borderId="22" xfId="0" applyNumberFormat="1" applyFont="1" applyFill="1" applyBorder="1" applyAlignment="1">
      <alignment horizontal="right"/>
    </xf>
    <xf numFmtId="3" fontId="12" fillId="0" borderId="22" xfId="0" applyNumberFormat="1" applyFont="1" applyBorder="1" applyAlignment="1">
      <alignment horizontal="right"/>
    </xf>
    <xf numFmtId="3" fontId="19" fillId="0" borderId="22" xfId="0" applyNumberFormat="1" applyFont="1" applyFill="1" applyBorder="1" applyAlignment="1">
      <alignment horizontal="right"/>
    </xf>
    <xf numFmtId="41" fontId="19" fillId="0" borderId="22" xfId="0" applyNumberFormat="1" applyFont="1" applyBorder="1" applyAlignment="1">
      <alignment horizontal="right"/>
    </xf>
    <xf numFmtId="3" fontId="19" fillId="5" borderId="46" xfId="0" applyNumberFormat="1" applyFont="1" applyFill="1" applyBorder="1" applyAlignment="1">
      <alignment horizontal="right"/>
    </xf>
    <xf numFmtId="3" fontId="19" fillId="4" borderId="46" xfId="0" applyNumberFormat="1" applyFont="1" applyFill="1" applyBorder="1" applyAlignment="1">
      <alignment horizontal="right"/>
    </xf>
    <xf numFmtId="41" fontId="19" fillId="0" borderId="41" xfId="0" applyNumberFormat="1" applyFont="1" applyFill="1" applyBorder="1" applyAlignment="1">
      <alignment horizontal="right"/>
    </xf>
    <xf numFmtId="3" fontId="12" fillId="0" borderId="46" xfId="0" applyNumberFormat="1" applyFont="1" applyBorder="1" applyAlignment="1">
      <alignment horizontal="right"/>
    </xf>
    <xf numFmtId="3" fontId="19" fillId="5" borderId="32" xfId="0" applyNumberFormat="1" applyFont="1" applyFill="1" applyBorder="1" applyAlignment="1">
      <alignment horizontal="right"/>
    </xf>
    <xf numFmtId="3" fontId="19" fillId="4" borderId="32" xfId="0" applyNumberFormat="1" applyFont="1" applyFill="1" applyBorder="1" applyAlignment="1">
      <alignment horizontal="right"/>
    </xf>
    <xf numFmtId="3" fontId="19" fillId="5" borderId="36" xfId="0" applyNumberFormat="1" applyFont="1" applyFill="1" applyBorder="1" applyAlignment="1">
      <alignment horizontal="right"/>
    </xf>
    <xf numFmtId="3" fontId="19" fillId="4" borderId="36" xfId="0" applyNumberFormat="1" applyFont="1" applyFill="1" applyBorder="1" applyAlignment="1">
      <alignment horizontal="right"/>
    </xf>
    <xf numFmtId="3" fontId="19" fillId="0" borderId="36" xfId="0" applyNumberFormat="1" applyFont="1" applyFill="1" applyBorder="1" applyAlignment="1">
      <alignment horizontal="right"/>
    </xf>
    <xf numFmtId="41" fontId="19" fillId="0" borderId="36" xfId="0" applyNumberFormat="1" applyFont="1" applyBorder="1" applyAlignment="1">
      <alignment horizontal="right"/>
    </xf>
    <xf numFmtId="164" fontId="19" fillId="0" borderId="16" xfId="0" applyNumberFormat="1" applyFont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3" fontId="1" fillId="0" borderId="52" xfId="0" applyNumberFormat="1" applyFont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1" fillId="0" borderId="36" xfId="0" applyNumberFormat="1" applyFont="1" applyFill="1" applyBorder="1" applyAlignment="1">
      <alignment horizontal="right"/>
    </xf>
    <xf numFmtId="3" fontId="1" fillId="0" borderId="25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1" fillId="0" borderId="46" xfId="0" applyNumberFormat="1" applyFont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1" fillId="0" borderId="45" xfId="0" applyNumberFormat="1" applyFont="1" applyBorder="1" applyAlignment="1">
      <alignment horizontal="right"/>
    </xf>
    <xf numFmtId="0" fontId="1" fillId="0" borderId="41" xfId="0" applyNumberFormat="1" applyFont="1" applyBorder="1" applyAlignment="1">
      <alignment horizontal="right"/>
    </xf>
    <xf numFmtId="0" fontId="27" fillId="0" borderId="42" xfId="0" applyNumberFormat="1" applyFont="1" applyFill="1" applyBorder="1" applyAlignment="1">
      <alignment vertical="top" wrapText="1" readingOrder="1"/>
    </xf>
    <xf numFmtId="0" fontId="27" fillId="0" borderId="26" xfId="0" applyNumberFormat="1" applyFont="1" applyFill="1" applyBorder="1" applyAlignment="1">
      <alignment vertical="top" wrapText="1" readingOrder="1"/>
    </xf>
    <xf numFmtId="0" fontId="27" fillId="0" borderId="27" xfId="0" applyNumberFormat="1" applyFont="1" applyFill="1" applyBorder="1" applyAlignment="1">
      <alignment vertical="top" wrapText="1" readingOrder="1"/>
    </xf>
    <xf numFmtId="0" fontId="27" fillId="0" borderId="68" xfId="0" applyNumberFormat="1" applyFont="1" applyFill="1" applyBorder="1" applyAlignment="1">
      <alignment vertical="top" wrapText="1" readingOrder="1"/>
    </xf>
    <xf numFmtId="0" fontId="26" fillId="6" borderId="42" xfId="0" applyFont="1" applyFill="1" applyBorder="1" applyAlignment="1">
      <alignment vertical="center" wrapText="1"/>
    </xf>
    <xf numFmtId="0" fontId="27" fillId="0" borderId="41" xfId="0" applyNumberFormat="1" applyFont="1" applyFill="1" applyBorder="1" applyAlignment="1">
      <alignment vertical="top" wrapText="1" readingOrder="1"/>
    </xf>
    <xf numFmtId="0" fontId="27" fillId="0" borderId="21" xfId="0" applyNumberFormat="1" applyFont="1" applyFill="1" applyBorder="1" applyAlignment="1">
      <alignment vertical="top" wrapText="1" readingOrder="1"/>
    </xf>
    <xf numFmtId="0" fontId="27" fillId="0" borderId="28" xfId="0" applyNumberFormat="1" applyFont="1" applyFill="1" applyBorder="1" applyAlignment="1">
      <alignment vertical="top" wrapText="1" readingOrder="1"/>
    </xf>
    <xf numFmtId="0" fontId="27" fillId="0" borderId="36" xfId="0" applyNumberFormat="1" applyFont="1" applyFill="1" applyBorder="1" applyAlignment="1">
      <alignment vertical="top" wrapText="1" readingOrder="1"/>
    </xf>
    <xf numFmtId="3" fontId="1" fillId="0" borderId="42" xfId="0" applyNumberFormat="1" applyFont="1" applyBorder="1" applyAlignment="1"/>
    <xf numFmtId="3" fontId="1" fillId="0" borderId="41" xfId="0" applyNumberFormat="1" applyFont="1" applyBorder="1" applyAlignment="1"/>
    <xf numFmtId="3" fontId="1" fillId="5" borderId="41" xfId="0" applyNumberFormat="1" applyFont="1" applyFill="1" applyBorder="1" applyAlignment="1"/>
    <xf numFmtId="3" fontId="1" fillId="4" borderId="41" xfId="0" applyNumberFormat="1" applyFont="1" applyFill="1" applyBorder="1" applyAlignment="1"/>
    <xf numFmtId="3" fontId="1" fillId="0" borderId="34" xfId="0" applyNumberFormat="1" applyFont="1" applyBorder="1" applyAlignment="1"/>
    <xf numFmtId="3" fontId="1" fillId="0" borderId="22" xfId="0" applyNumberFormat="1" applyFont="1" applyBorder="1" applyAlignment="1"/>
    <xf numFmtId="3" fontId="1" fillId="5" borderId="22" xfId="0" applyNumberFormat="1" applyFont="1" applyFill="1" applyBorder="1" applyAlignment="1"/>
    <xf numFmtId="3" fontId="1" fillId="4" borderId="22" xfId="0" applyNumberFormat="1" applyFont="1" applyFill="1" applyBorder="1" applyAlignment="1"/>
    <xf numFmtId="38" fontId="12" fillId="0" borderId="22" xfId="0" applyNumberFormat="1" applyFont="1" applyFill="1" applyBorder="1" applyAlignment="1">
      <alignment wrapText="1"/>
    </xf>
    <xf numFmtId="3" fontId="1" fillId="4" borderId="75" xfId="0" applyNumberFormat="1" applyFont="1" applyFill="1" applyBorder="1" applyAlignment="1"/>
    <xf numFmtId="3" fontId="1" fillId="0" borderId="17" xfId="0" applyNumberFormat="1" applyFont="1" applyBorder="1" applyAlignment="1"/>
    <xf numFmtId="3" fontId="1" fillId="5" borderId="17" xfId="0" applyNumberFormat="1" applyFont="1" applyFill="1" applyBorder="1" applyAlignment="1"/>
    <xf numFmtId="3" fontId="1" fillId="4" borderId="17" xfId="0" applyNumberFormat="1" applyFont="1" applyFill="1" applyBorder="1" applyAlignment="1"/>
    <xf numFmtId="3" fontId="1" fillId="4" borderId="35" xfId="0" applyNumberFormat="1" applyFont="1" applyFill="1" applyBorder="1" applyAlignment="1"/>
    <xf numFmtId="3" fontId="19" fillId="5" borderId="39" xfId="0" applyNumberFormat="1" applyFont="1" applyFill="1" applyBorder="1" applyAlignment="1">
      <alignment horizontal="right"/>
    </xf>
    <xf numFmtId="165" fontId="1" fillId="0" borderId="36" xfId="0" applyNumberFormat="1" applyFont="1" applyBorder="1" applyAlignment="1">
      <alignment horizontal="right"/>
    </xf>
    <xf numFmtId="0" fontId="0" fillId="0" borderId="74" xfId="0" applyBorder="1"/>
    <xf numFmtId="3" fontId="1" fillId="6" borderId="12" xfId="0" applyNumberFormat="1" applyFont="1" applyFill="1" applyBorder="1" applyAlignment="1">
      <alignment horizontal="right"/>
    </xf>
    <xf numFmtId="0" fontId="19" fillId="0" borderId="9" xfId="0" applyFont="1" applyBorder="1" applyAlignment="1">
      <alignment horizontal="right"/>
    </xf>
    <xf numFmtId="3" fontId="19" fillId="6" borderId="9" xfId="0" applyNumberFormat="1" applyFont="1" applyFill="1" applyBorder="1" applyAlignment="1">
      <alignment horizontal="right"/>
    </xf>
    <xf numFmtId="3" fontId="19" fillId="0" borderId="17" xfId="0" applyNumberFormat="1" applyFont="1" applyBorder="1" applyAlignment="1">
      <alignment horizontal="right"/>
    </xf>
    <xf numFmtId="0" fontId="21" fillId="4" borderId="25" xfId="0" applyFont="1" applyFill="1" applyBorder="1" applyAlignment="1">
      <alignment horizontal="center" vertical="center" wrapText="1"/>
    </xf>
    <xf numFmtId="0" fontId="21" fillId="4" borderId="45" xfId="0" applyFont="1" applyFill="1" applyBorder="1" applyAlignment="1">
      <alignment horizontal="center" vertical="center" wrapText="1"/>
    </xf>
    <xf numFmtId="164" fontId="6" fillId="0" borderId="25" xfId="0" applyNumberFormat="1" applyFont="1" applyFill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4" borderId="66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3" fontId="19" fillId="4" borderId="5" xfId="0" applyNumberFormat="1" applyFont="1" applyFill="1" applyBorder="1" applyAlignment="1">
      <alignment horizontal="right"/>
    </xf>
    <xf numFmtId="3" fontId="19" fillId="4" borderId="76" xfId="0" applyNumberFormat="1" applyFont="1" applyFill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2" fillId="0" borderId="50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3" borderId="50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10" fillId="3" borderId="4" xfId="0" applyNumberFormat="1" applyFont="1" applyFill="1" applyBorder="1" applyAlignment="1">
      <alignment horizontal="center" vertical="center"/>
    </xf>
    <xf numFmtId="3" fontId="9" fillId="0" borderId="44" xfId="0" applyNumberFormat="1" applyFont="1" applyBorder="1" applyAlignment="1"/>
    <xf numFmtId="3" fontId="12" fillId="0" borderId="44" xfId="0" applyNumberFormat="1" applyFont="1" applyFill="1" applyBorder="1" applyAlignment="1">
      <alignment wrapText="1"/>
    </xf>
    <xf numFmtId="3" fontId="12" fillId="3" borderId="44" xfId="0" applyNumberFormat="1" applyFont="1" applyFill="1" applyBorder="1" applyAlignment="1"/>
    <xf numFmtId="3" fontId="12" fillId="0" borderId="4" xfId="0" applyNumberFormat="1" applyFont="1" applyFill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/>
    </xf>
    <xf numFmtId="3" fontId="22" fillId="2" borderId="25" xfId="0" applyNumberFormat="1" applyFont="1" applyFill="1" applyBorder="1" applyAlignment="1">
      <alignment horizontal="center"/>
    </xf>
    <xf numFmtId="3" fontId="9" fillId="0" borderId="52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/>
    <xf numFmtId="3" fontId="10" fillId="0" borderId="44" xfId="0" applyNumberFormat="1" applyFont="1" applyFill="1" applyBorder="1" applyAlignment="1">
      <alignment horizontal="center" vertical="center" wrapText="1"/>
    </xf>
    <xf numFmtId="3" fontId="9" fillId="3" borderId="44" xfId="0" applyNumberFormat="1" applyFont="1" applyFill="1" applyBorder="1" applyAlignment="1"/>
    <xf numFmtId="3" fontId="10" fillId="0" borderId="4" xfId="0" applyNumberFormat="1" applyFont="1" applyFill="1" applyBorder="1" applyAlignment="1">
      <alignment horizontal="center" vertical="center"/>
    </xf>
    <xf numFmtId="3" fontId="10" fillId="0" borderId="4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wrapText="1"/>
    </xf>
    <xf numFmtId="3" fontId="12" fillId="0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" fillId="0" borderId="44" xfId="0" applyNumberFormat="1" applyFont="1" applyFill="1" applyBorder="1" applyAlignment="1"/>
    <xf numFmtId="3" fontId="9" fillId="0" borderId="44" xfId="0" applyNumberFormat="1" applyFont="1" applyFill="1" applyBorder="1" applyAlignment="1"/>
    <xf numFmtId="3" fontId="22" fillId="2" borderId="23" xfId="0" applyNumberFormat="1" applyFont="1" applyFill="1" applyBorder="1" applyAlignment="1">
      <alignment horizontal="center"/>
    </xf>
    <xf numFmtId="3" fontId="9" fillId="0" borderId="55" xfId="0" applyNumberFormat="1" applyFont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0" fontId="1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4" borderId="50" xfId="0" applyNumberFormat="1" applyFont="1" applyFill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3" fontId="23" fillId="0" borderId="44" xfId="0" applyNumberFormat="1" applyFont="1" applyBorder="1" applyAlignment="1"/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3" fontId="22" fillId="2" borderId="58" xfId="0" applyNumberFormat="1" applyFont="1" applyFill="1" applyBorder="1" applyAlignment="1">
      <alignment horizontal="center"/>
    </xf>
    <xf numFmtId="3" fontId="23" fillId="0" borderId="59" xfId="0" applyNumberFormat="1" applyFont="1" applyBorder="1" applyAlignment="1">
      <alignment horizontal="center"/>
    </xf>
    <xf numFmtId="3" fontId="10" fillId="0" borderId="53" xfId="0" applyNumberFormat="1" applyFont="1" applyFill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/>
    </xf>
    <xf numFmtId="3" fontId="14" fillId="4" borderId="44" xfId="0" applyNumberFormat="1" applyFont="1" applyFill="1" applyBorder="1" applyAlignment="1">
      <alignment wrapText="1"/>
    </xf>
    <xf numFmtId="3" fontId="14" fillId="0" borderId="44" xfId="0" applyNumberFormat="1" applyFont="1" applyFill="1" applyBorder="1" applyAlignment="1">
      <alignment wrapText="1"/>
    </xf>
    <xf numFmtId="0" fontId="11" fillId="3" borderId="44" xfId="0" applyFont="1" applyFill="1" applyBorder="1" applyAlignment="1">
      <alignment wrapText="1"/>
    </xf>
    <xf numFmtId="3" fontId="14" fillId="4" borderId="44" xfId="0" applyNumberFormat="1" applyFont="1" applyFill="1" applyBorder="1" applyAlignment="1"/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24" xfId="0" applyNumberFormat="1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textRotation="90"/>
    </xf>
    <xf numFmtId="164" fontId="21" fillId="4" borderId="25" xfId="0" applyNumberFormat="1" applyFont="1" applyFill="1" applyBorder="1" applyAlignment="1">
      <alignment horizontal="center" vertical="center" textRotation="90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right" vertical="center"/>
    </xf>
    <xf numFmtId="0" fontId="0" fillId="0" borderId="51" xfId="0" applyBorder="1" applyAlignment="1">
      <alignment horizontal="right"/>
    </xf>
    <xf numFmtId="0" fontId="0" fillId="0" borderId="36" xfId="0" applyBorder="1" applyAlignment="1">
      <alignment horizontal="right"/>
    </xf>
    <xf numFmtId="164" fontId="21" fillId="4" borderId="24" xfId="0" applyNumberFormat="1" applyFont="1" applyFill="1" applyBorder="1" applyAlignment="1">
      <alignment horizontal="center" vertical="center" textRotation="90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0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1" fillId="4" borderId="4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70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21" fillId="4" borderId="57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" xfId="0" applyNumberFormat="1" applyFont="1" applyFill="1" applyBorder="1" applyAlignment="1">
      <alignment horizontal="center" vertical="center" wrapText="1"/>
    </xf>
    <xf numFmtId="164" fontId="21" fillId="4" borderId="3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wrapText="1"/>
    </xf>
    <xf numFmtId="164" fontId="21" fillId="4" borderId="57" xfId="0" applyNumberFormat="1" applyFont="1" applyFill="1" applyBorder="1" applyAlignment="1">
      <alignment horizontal="center" vertical="center" wrapText="1"/>
    </xf>
    <xf numFmtId="164" fontId="21" fillId="4" borderId="49" xfId="0" applyNumberFormat="1" applyFont="1" applyFill="1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/>
    </xf>
    <xf numFmtId="0" fontId="21" fillId="4" borderId="49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 wrapText="1"/>
    </xf>
    <xf numFmtId="0" fontId="20" fillId="3" borderId="39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45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1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164" fontId="21" fillId="4" borderId="17" xfId="0" applyNumberFormat="1" applyFont="1" applyFill="1" applyBorder="1" applyAlignment="1">
      <alignment horizontal="center" vertical="center" textRotation="90"/>
    </xf>
    <xf numFmtId="164" fontId="21" fillId="4" borderId="35" xfId="0" applyNumberFormat="1" applyFont="1" applyFill="1" applyBorder="1" applyAlignment="1">
      <alignment horizontal="center" vertical="center" textRotation="90"/>
    </xf>
    <xf numFmtId="0" fontId="21" fillId="4" borderId="66" xfId="0" applyFont="1" applyFill="1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0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1" fillId="4" borderId="64" xfId="0" applyFont="1" applyFill="1" applyBorder="1" applyAlignment="1">
      <alignment horizontal="center" vertical="center" wrapText="1"/>
    </xf>
    <xf numFmtId="0" fontId="19" fillId="3" borderId="8" xfId="0" applyFont="1" applyFill="1" applyBorder="1"/>
    <xf numFmtId="3" fontId="20" fillId="4" borderId="21" xfId="0" applyNumberFormat="1" applyFont="1" applyFill="1" applyBorder="1" applyAlignment="1">
      <alignment horizontal="center" vertical="center"/>
    </xf>
    <xf numFmtId="0" fontId="21" fillId="4" borderId="61" xfId="0" applyFont="1" applyFill="1" applyBorder="1" applyAlignment="1">
      <alignment horizontal="center" vertical="center" wrapText="1"/>
    </xf>
    <xf numFmtId="164" fontId="21" fillId="4" borderId="62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  <xf numFmtId="3" fontId="19" fillId="6" borderId="34" xfId="0" applyNumberFormat="1" applyFont="1" applyFill="1" applyBorder="1" applyAlignment="1">
      <alignment horizontal="right"/>
    </xf>
    <xf numFmtId="3" fontId="19" fillId="6" borderId="22" xfId="0" applyNumberFormat="1" applyFont="1" applyFill="1" applyBorder="1" applyAlignment="1">
      <alignment horizontal="right"/>
    </xf>
    <xf numFmtId="3" fontId="19" fillId="6" borderId="5" xfId="0" applyNumberFormat="1" applyFont="1" applyFill="1" applyBorder="1" applyAlignment="1">
      <alignment horizontal="right"/>
    </xf>
    <xf numFmtId="3" fontId="19" fillId="0" borderId="75" xfId="0" applyNumberFormat="1" applyFont="1" applyBorder="1" applyAlignment="1">
      <alignment horizontal="right"/>
    </xf>
    <xf numFmtId="3" fontId="19" fillId="4" borderId="72" xfId="0" applyNumberFormat="1" applyFont="1" applyFill="1" applyBorder="1" applyAlignment="1">
      <alignment horizontal="right"/>
    </xf>
    <xf numFmtId="3" fontId="20" fillId="4" borderId="51" xfId="0" applyNumberFormat="1" applyFont="1" applyFill="1" applyBorder="1" applyAlignment="1">
      <alignment horizontal="center" vertical="center"/>
    </xf>
    <xf numFmtId="0" fontId="20" fillId="3" borderId="25" xfId="0" applyFont="1" applyFill="1" applyBorder="1" applyAlignment="1">
      <alignment horizontal="center" vertical="center" wrapText="1"/>
    </xf>
    <xf numFmtId="0" fontId="20" fillId="3" borderId="52" xfId="0" applyFont="1" applyFill="1" applyBorder="1" applyAlignment="1">
      <alignment horizontal="center" vertical="center" wrapText="1"/>
    </xf>
    <xf numFmtId="3" fontId="19" fillId="5" borderId="10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60" xfId="0" applyNumberFormat="1" applyFont="1" applyFill="1" applyBorder="1" applyAlignment="1">
      <alignment horizontal="right"/>
    </xf>
    <xf numFmtId="0" fontId="19" fillId="0" borderId="22" xfId="0" applyFont="1" applyFill="1" applyBorder="1" applyAlignment="1">
      <alignment horizontal="right"/>
    </xf>
    <xf numFmtId="3" fontId="19" fillId="4" borderId="75" xfId="0" applyNumberFormat="1" applyFont="1" applyFill="1" applyBorder="1" applyAlignment="1">
      <alignment horizontal="right"/>
    </xf>
    <xf numFmtId="3" fontId="19" fillId="0" borderId="71" xfId="0" applyNumberFormat="1" applyFont="1" applyBorder="1" applyAlignment="1">
      <alignment horizontal="right"/>
    </xf>
    <xf numFmtId="3" fontId="19" fillId="5" borderId="51" xfId="0" applyNumberFormat="1" applyFont="1" applyFill="1" applyBorder="1" applyAlignment="1">
      <alignment horizontal="right"/>
    </xf>
    <xf numFmtId="3" fontId="19" fillId="4" borderId="51" xfId="0" applyNumberFormat="1" applyFont="1" applyFill="1" applyBorder="1" applyAlignment="1">
      <alignment horizontal="right"/>
    </xf>
    <xf numFmtId="3" fontId="19" fillId="0" borderId="51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9" fillId="6" borderId="27" xfId="0" applyNumberFormat="1" applyFont="1" applyFill="1" applyBorder="1" applyAlignment="1">
      <alignment horizontal="right"/>
    </xf>
    <xf numFmtId="3" fontId="12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7"/>
  <sheetViews>
    <sheetView tabSelected="1" zoomScaleNormal="100" workbookViewId="0">
      <pane ySplit="2" topLeftCell="A3" activePane="bottomLeft" state="frozen"/>
      <selection pane="bottomLeft" activeCell="Q18" sqref="P18:Q18"/>
    </sheetView>
  </sheetViews>
  <sheetFormatPr defaultRowHeight="13.5" x14ac:dyDescent="0.25"/>
  <cols>
    <col min="1" max="1" width="26.5703125" style="108" bestFit="1" customWidth="1"/>
    <col min="2" max="2" width="8.85546875" style="108" customWidth="1"/>
    <col min="3" max="3" width="3.5703125" style="108" customWidth="1"/>
    <col min="4" max="4" width="26.5703125" style="108" bestFit="1" customWidth="1"/>
    <col min="5" max="5" width="7.5703125" style="108" bestFit="1" customWidth="1"/>
    <col min="6" max="6" width="3.7109375" style="108" customWidth="1"/>
    <col min="7" max="7" width="26.5703125" style="108" bestFit="1" customWidth="1"/>
    <col min="8" max="8" width="7.5703125" style="108" bestFit="1" customWidth="1"/>
    <col min="9" max="9" width="3.7109375" style="108" customWidth="1"/>
    <col min="10" max="10" width="26.5703125" style="108" bestFit="1" customWidth="1"/>
    <col min="11" max="11" width="11.140625" style="108" customWidth="1"/>
    <col min="12" max="12" width="3.7109375" style="108" customWidth="1"/>
    <col min="13" max="13" width="26.5703125" style="108" bestFit="1" customWidth="1"/>
    <col min="14" max="14" width="10.5703125" style="108" customWidth="1"/>
    <col min="15" max="15" width="3.7109375" style="108" customWidth="1"/>
    <col min="16" max="16" width="36.5703125" style="108" bestFit="1" customWidth="1"/>
    <col min="17" max="17" width="6.5703125" style="108" bestFit="1" customWidth="1"/>
    <col min="18" max="16384" width="9.140625" style="108"/>
  </cols>
  <sheetData>
    <row r="1" spans="1:14" x14ac:dyDescent="0.25">
      <c r="A1" s="432" t="s">
        <v>43</v>
      </c>
      <c r="B1" s="433"/>
      <c r="C1" s="92"/>
      <c r="D1" s="432" t="s">
        <v>43</v>
      </c>
      <c r="E1" s="433"/>
      <c r="F1" s="49"/>
      <c r="G1" s="432" t="s">
        <v>43</v>
      </c>
      <c r="H1" s="433"/>
      <c r="I1" s="93"/>
      <c r="J1" s="432" t="s">
        <v>43</v>
      </c>
      <c r="K1" s="433"/>
      <c r="L1" s="93"/>
      <c r="M1" s="432" t="s">
        <v>43</v>
      </c>
      <c r="N1" s="433"/>
    </row>
    <row r="2" spans="1:14" ht="15.75" customHeight="1" x14ac:dyDescent="0.25">
      <c r="A2" s="434" t="s">
        <v>107</v>
      </c>
      <c r="B2" s="435"/>
      <c r="C2" s="94"/>
      <c r="D2" s="434" t="s">
        <v>108</v>
      </c>
      <c r="E2" s="435"/>
      <c r="F2" s="95"/>
      <c r="G2" s="434" t="s">
        <v>109</v>
      </c>
      <c r="H2" s="435"/>
      <c r="I2" s="93"/>
      <c r="J2" s="434" t="s">
        <v>110</v>
      </c>
      <c r="K2" s="439"/>
      <c r="L2" s="93"/>
      <c r="M2" s="434" t="s">
        <v>111</v>
      </c>
      <c r="N2" s="439"/>
    </row>
    <row r="3" spans="1:14" ht="14.25" thickBot="1" x14ac:dyDescent="0.3">
      <c r="A3" s="436" t="s">
        <v>44</v>
      </c>
      <c r="B3" s="437"/>
      <c r="C3" s="92"/>
      <c r="D3" s="436" t="s">
        <v>44</v>
      </c>
      <c r="E3" s="437"/>
      <c r="F3" s="93"/>
      <c r="G3" s="436" t="s">
        <v>44</v>
      </c>
      <c r="H3" s="437"/>
      <c r="I3" s="93"/>
      <c r="J3" s="436" t="s">
        <v>44</v>
      </c>
      <c r="K3" s="438"/>
      <c r="L3" s="93"/>
      <c r="M3" s="436" t="s">
        <v>44</v>
      </c>
      <c r="N3" s="437"/>
    </row>
    <row r="4" spans="1:14" s="109" customFormat="1" ht="12.95" customHeight="1" x14ac:dyDescent="0.25">
      <c r="A4" s="440" t="s">
        <v>45</v>
      </c>
      <c r="B4" s="423">
        <f>SUM('NY Waterway-(Port Imperial FC)'!K14)</f>
        <v>13278</v>
      </c>
      <c r="C4" s="7"/>
      <c r="D4" s="440" t="s">
        <v>45</v>
      </c>
      <c r="E4" s="423">
        <f>SUM('NY Waterway-(Port Imperial FC)'!K25)</f>
        <v>74725</v>
      </c>
      <c r="F4" s="96"/>
      <c r="G4" s="440" t="s">
        <v>45</v>
      </c>
      <c r="H4" s="423">
        <f>SUM('NY Waterway-(Port Imperial FC)'!K36)</f>
        <v>82868</v>
      </c>
      <c r="I4" s="96"/>
      <c r="J4" s="440" t="s">
        <v>45</v>
      </c>
      <c r="K4" s="423">
        <f>SUM('NY Waterway-(Port Imperial FC)'!K47)</f>
        <v>79549</v>
      </c>
      <c r="L4" s="96"/>
      <c r="M4" s="440" t="s">
        <v>45</v>
      </c>
      <c r="N4" s="423">
        <f>SUM('NY Waterway-(Port Imperial FC)'!K58)</f>
        <v>82084</v>
      </c>
    </row>
    <row r="5" spans="1:14" s="109" customFormat="1" ht="12.95" customHeight="1" thickBot="1" x14ac:dyDescent="0.3">
      <c r="A5" s="441"/>
      <c r="B5" s="424"/>
      <c r="C5" s="8"/>
      <c r="D5" s="441"/>
      <c r="E5" s="424"/>
      <c r="F5" s="96"/>
      <c r="G5" s="441"/>
      <c r="H5" s="442"/>
      <c r="I5" s="96"/>
      <c r="J5" s="441"/>
      <c r="K5" s="442"/>
      <c r="L5" s="96"/>
      <c r="M5" s="441"/>
      <c r="N5" s="442"/>
    </row>
    <row r="6" spans="1:14" s="109" customFormat="1" ht="12.95" customHeight="1" x14ac:dyDescent="0.25">
      <c r="A6" s="425" t="s">
        <v>46</v>
      </c>
      <c r="B6" s="423">
        <f>SUM('NY Waterway-(Billy Bey FC)'!M14)</f>
        <v>9042</v>
      </c>
      <c r="C6" s="7"/>
      <c r="D6" s="425" t="s">
        <v>46</v>
      </c>
      <c r="E6" s="423">
        <f>SUM('NY Waterway-(Billy Bey FC)'!M25)</f>
        <v>51378</v>
      </c>
      <c r="F6" s="96"/>
      <c r="G6" s="425" t="s">
        <v>46</v>
      </c>
      <c r="H6" s="444">
        <f>SUM('NY Waterway-(Billy Bey FC)'!M36)</f>
        <v>55595</v>
      </c>
      <c r="I6" s="96"/>
      <c r="J6" s="425" t="s">
        <v>46</v>
      </c>
      <c r="K6" s="444">
        <f>SUM('NY Waterway-(Billy Bey FC)'!M47)</f>
        <v>55216</v>
      </c>
      <c r="L6" s="96"/>
      <c r="M6" s="425" t="s">
        <v>46</v>
      </c>
      <c r="N6" s="444">
        <f>SUM('NY Waterway-(Billy Bey FC)'!M58)</f>
        <v>56456</v>
      </c>
    </row>
    <row r="7" spans="1:14" s="109" customFormat="1" ht="12.95" customHeight="1" thickBot="1" x14ac:dyDescent="0.3">
      <c r="A7" s="443"/>
      <c r="B7" s="424"/>
      <c r="C7" s="8"/>
      <c r="D7" s="443"/>
      <c r="E7" s="424"/>
      <c r="F7" s="96"/>
      <c r="G7" s="443"/>
      <c r="H7" s="445"/>
      <c r="I7" s="96"/>
      <c r="J7" s="443"/>
      <c r="K7" s="445"/>
      <c r="L7" s="96"/>
      <c r="M7" s="443"/>
      <c r="N7" s="445"/>
    </row>
    <row r="8" spans="1:14" s="109" customFormat="1" ht="12.95" customHeight="1" x14ac:dyDescent="0.25">
      <c r="A8" s="440" t="s">
        <v>47</v>
      </c>
      <c r="B8" s="423">
        <f>SUM(SeaStreak!G14)</f>
        <v>3297</v>
      </c>
      <c r="C8" s="7"/>
      <c r="D8" s="440" t="s">
        <v>47</v>
      </c>
      <c r="E8" s="423">
        <f>SUM(SeaStreak!G25)</f>
        <v>18926</v>
      </c>
      <c r="F8" s="96"/>
      <c r="G8" s="440" t="s">
        <v>47</v>
      </c>
      <c r="H8" s="423">
        <f>SUM(SeaStreak!G36)</f>
        <v>20378</v>
      </c>
      <c r="I8" s="96"/>
      <c r="J8" s="440" t="s">
        <v>47</v>
      </c>
      <c r="K8" s="423">
        <f>SUM(SeaStreak!G47)</f>
        <v>19434</v>
      </c>
      <c r="L8" s="96"/>
      <c r="M8" s="440" t="s">
        <v>47</v>
      </c>
      <c r="N8" s="423">
        <f>SUM(SeaStreak!G58)</f>
        <v>20000</v>
      </c>
    </row>
    <row r="9" spans="1:14" s="109" customFormat="1" ht="12.95" customHeight="1" thickBot="1" x14ac:dyDescent="0.3">
      <c r="A9" s="446"/>
      <c r="B9" s="424"/>
      <c r="C9" s="97"/>
      <c r="D9" s="446"/>
      <c r="E9" s="442"/>
      <c r="F9" s="96"/>
      <c r="G9" s="446"/>
      <c r="H9" s="442"/>
      <c r="I9" s="96"/>
      <c r="J9" s="446"/>
      <c r="K9" s="442"/>
      <c r="L9" s="96"/>
      <c r="M9" s="446"/>
      <c r="N9" s="442"/>
    </row>
    <row r="10" spans="1:14" s="109" customFormat="1" ht="12.95" customHeight="1" x14ac:dyDescent="0.25">
      <c r="A10" s="425" t="s">
        <v>48</v>
      </c>
      <c r="B10" s="423">
        <f>SUM('New York Water Taxi'!K14)</f>
        <v>680</v>
      </c>
      <c r="C10" s="9"/>
      <c r="D10" s="425" t="s">
        <v>48</v>
      </c>
      <c r="E10" s="444">
        <f>SUM('New York Water Taxi'!K25)</f>
        <v>3660</v>
      </c>
      <c r="F10" s="96"/>
      <c r="G10" s="425" t="s">
        <v>48</v>
      </c>
      <c r="H10" s="444">
        <f>SUM('New York Water Taxi'!K36)</f>
        <v>4499</v>
      </c>
      <c r="I10" s="96"/>
      <c r="J10" s="425" t="s">
        <v>48</v>
      </c>
      <c r="K10" s="444">
        <f>SUM('New York Water Taxi'!K47)</f>
        <v>3317</v>
      </c>
      <c r="L10" s="96"/>
      <c r="M10" s="425" t="s">
        <v>48</v>
      </c>
      <c r="N10" s="444">
        <f>SUM('New York Water Taxi'!K58)</f>
        <v>4057</v>
      </c>
    </row>
    <row r="11" spans="1:14" s="109" customFormat="1" ht="12.95" customHeight="1" thickBot="1" x14ac:dyDescent="0.3">
      <c r="A11" s="428"/>
      <c r="B11" s="424"/>
      <c r="C11" s="98"/>
      <c r="D11" s="428"/>
      <c r="E11" s="447"/>
      <c r="F11" s="96"/>
      <c r="G11" s="428"/>
      <c r="H11" s="445"/>
      <c r="I11" s="96"/>
      <c r="J11" s="428"/>
      <c r="K11" s="445"/>
      <c r="L11" s="96"/>
      <c r="M11" s="428"/>
      <c r="N11" s="445"/>
    </row>
    <row r="12" spans="1:14" s="109" customFormat="1" ht="12.95" customHeight="1" x14ac:dyDescent="0.25">
      <c r="A12" s="452" t="s">
        <v>33</v>
      </c>
      <c r="B12" s="423">
        <f>SUM('Liberty Landing Ferry'!D14)</f>
        <v>514</v>
      </c>
      <c r="C12" s="9"/>
      <c r="D12" s="452" t="s">
        <v>33</v>
      </c>
      <c r="E12" s="444">
        <f>SUM('Liberty Landing Ferry'!D25)</f>
        <v>2982</v>
      </c>
      <c r="F12" s="96"/>
      <c r="G12" s="452" t="s">
        <v>33</v>
      </c>
      <c r="H12" s="444">
        <f>SUM('Liberty Landing Ferry'!D36)</f>
        <v>3248</v>
      </c>
      <c r="I12" s="96"/>
      <c r="J12" s="452" t="s">
        <v>33</v>
      </c>
      <c r="K12" s="444">
        <f>SUM('Liberty Landing Ferry'!D47)</f>
        <v>3360</v>
      </c>
      <c r="L12" s="96"/>
      <c r="M12" s="452" t="s">
        <v>33</v>
      </c>
      <c r="N12" s="444">
        <f>SUM('Liberty Landing Ferry'!D58)</f>
        <v>3507</v>
      </c>
    </row>
    <row r="13" spans="1:14" s="109" customFormat="1" ht="12.95" customHeight="1" thickBot="1" x14ac:dyDescent="0.3">
      <c r="A13" s="453"/>
      <c r="B13" s="424"/>
      <c r="C13" s="98"/>
      <c r="D13" s="453"/>
      <c r="E13" s="447"/>
      <c r="F13" s="96"/>
      <c r="G13" s="453"/>
      <c r="H13" s="445"/>
      <c r="I13" s="96"/>
      <c r="J13" s="453"/>
      <c r="K13" s="445"/>
      <c r="L13" s="96"/>
      <c r="M13" s="453"/>
      <c r="N13" s="445"/>
    </row>
    <row r="14" spans="1:14" s="212" customFormat="1" ht="12.95" customHeight="1" x14ac:dyDescent="0.25">
      <c r="A14" s="452" t="s">
        <v>73</v>
      </c>
      <c r="B14" s="444">
        <f>'NYC Ferry'!AI14</f>
        <v>9198</v>
      </c>
      <c r="C14" s="98"/>
      <c r="D14" s="452" t="s">
        <v>73</v>
      </c>
      <c r="E14" s="444">
        <f>'NYC Ferry'!AI25</f>
        <v>47753</v>
      </c>
      <c r="F14" s="211"/>
      <c r="G14" s="452" t="s">
        <v>73</v>
      </c>
      <c r="H14" s="444">
        <f>'NYC Ferry'!AI36</f>
        <v>60469</v>
      </c>
      <c r="I14" s="211"/>
      <c r="J14" s="452" t="s">
        <v>73</v>
      </c>
      <c r="K14" s="444">
        <f>'NYC Ferry'!AI47</f>
        <v>53490</v>
      </c>
      <c r="L14" s="211"/>
      <c r="M14" s="452" t="s">
        <v>73</v>
      </c>
      <c r="N14" s="444">
        <f>'NYC Ferry'!AI58</f>
        <v>58062</v>
      </c>
    </row>
    <row r="15" spans="1:14" s="212" customFormat="1" ht="12.95" customHeight="1" thickBot="1" x14ac:dyDescent="0.3">
      <c r="A15" s="453"/>
      <c r="B15" s="447"/>
      <c r="C15" s="98"/>
      <c r="D15" s="453"/>
      <c r="E15" s="447"/>
      <c r="F15" s="211"/>
      <c r="G15" s="453"/>
      <c r="H15" s="447"/>
      <c r="I15" s="211"/>
      <c r="J15" s="453"/>
      <c r="K15" s="447"/>
      <c r="L15" s="211"/>
      <c r="M15" s="453"/>
      <c r="N15" s="447"/>
    </row>
    <row r="16" spans="1:14" s="100" customFormat="1" ht="12.95" customHeight="1" x14ac:dyDescent="0.2">
      <c r="A16" s="448" t="s">
        <v>19</v>
      </c>
      <c r="B16" s="450">
        <f>SUM(B4:B15)</f>
        <v>36009</v>
      </c>
      <c r="C16" s="10"/>
      <c r="D16" s="448" t="s">
        <v>19</v>
      </c>
      <c r="E16" s="450">
        <f>SUM(E4:E15)</f>
        <v>199424</v>
      </c>
      <c r="F16" s="99"/>
      <c r="G16" s="448" t="s">
        <v>19</v>
      </c>
      <c r="H16" s="450">
        <f>SUM(H4:H15)</f>
        <v>227057</v>
      </c>
      <c r="I16" s="99"/>
      <c r="J16" s="448" t="s">
        <v>19</v>
      </c>
      <c r="K16" s="450">
        <f>SUM(K4:K15)</f>
        <v>214366</v>
      </c>
      <c r="L16" s="99"/>
      <c r="M16" s="448" t="s">
        <v>19</v>
      </c>
      <c r="N16" s="450">
        <f>SUM(N4:N15)</f>
        <v>224166</v>
      </c>
    </row>
    <row r="17" spans="1:17" s="100" customFormat="1" ht="12.95" customHeight="1" thickBot="1" x14ac:dyDescent="0.3">
      <c r="A17" s="449"/>
      <c r="B17" s="451"/>
      <c r="C17" s="101"/>
      <c r="D17" s="449"/>
      <c r="E17" s="451"/>
      <c r="F17" s="99"/>
      <c r="G17" s="449"/>
      <c r="H17" s="451"/>
      <c r="I17" s="99"/>
      <c r="J17" s="449"/>
      <c r="K17" s="451"/>
      <c r="L17" s="99"/>
      <c r="M17" s="449"/>
      <c r="N17" s="451"/>
      <c r="P17" s="109"/>
      <c r="Q17" s="109"/>
    </row>
    <row r="18" spans="1:17" s="109" customFormat="1" ht="14.25" thickBot="1" x14ac:dyDescent="0.3">
      <c r="A18" s="102"/>
      <c r="B18" s="103"/>
      <c r="C18" s="96"/>
      <c r="D18" s="102"/>
      <c r="E18" s="103"/>
      <c r="F18" s="96"/>
      <c r="G18" s="102"/>
      <c r="H18" s="103"/>
      <c r="I18" s="96"/>
      <c r="J18" s="104"/>
      <c r="K18" s="105"/>
      <c r="L18" s="96"/>
      <c r="M18" s="104"/>
      <c r="N18" s="105"/>
      <c r="P18" s="124" t="s">
        <v>55</v>
      </c>
      <c r="Q18" s="112">
        <f>AVERAGE('NYC Ferry'!F81,'NY Waterway-(Port Imperial FC)'!H75,'NY Waterway-(Billy Bey FC)'!F80,SeaStreak!G75,'New York Water Taxi'!L75,'Liberty Landing Ferry'!F75)</f>
        <v>25028.388888888891</v>
      </c>
    </row>
    <row r="19" spans="1:17" ht="14.25" thickBot="1" x14ac:dyDescent="0.3">
      <c r="A19" s="456" t="s">
        <v>49</v>
      </c>
      <c r="B19" s="457"/>
      <c r="C19" s="92"/>
      <c r="D19" s="456" t="s">
        <v>49</v>
      </c>
      <c r="E19" s="457"/>
      <c r="F19" s="93"/>
      <c r="G19" s="456" t="s">
        <v>49</v>
      </c>
      <c r="H19" s="457"/>
      <c r="I19" s="93"/>
      <c r="J19" s="456" t="s">
        <v>49</v>
      </c>
      <c r="K19" s="458"/>
      <c r="L19" s="93"/>
      <c r="M19" s="456" t="s">
        <v>49</v>
      </c>
      <c r="N19" s="457"/>
    </row>
    <row r="20" spans="1:17" ht="12.95" customHeight="1" x14ac:dyDescent="0.25">
      <c r="A20" s="440" t="s">
        <v>10</v>
      </c>
      <c r="B20" s="423">
        <f>SUM('NY Waterway-(Billy Bey FC)'!I14,'NY Waterway-(Billy Bey FC)'!J14,'NY Waterway-(Billy Bey FC)'!K14, 'New York Water Taxi'!I14:I14, 'NY Waterway-(Port Imperial FC)'!I14:J14, SeaStreak!C14:D14,'NYC Ferry'!C14,'NYC Ferry'!M14,'NYC Ferry'!T14,'NYC Ferry'!Y14, 'NYC Ferry'!AD14, 'NYC Ferry'!AH14)</f>
        <v>10414</v>
      </c>
      <c r="C20" s="7"/>
      <c r="D20" s="440" t="s">
        <v>10</v>
      </c>
      <c r="E20" s="423">
        <f>SUM('NY Waterway-(Billy Bey FC)'!I25,'NY Waterway-(Billy Bey FC)'!J25,'NY Waterway-(Billy Bey FC)'!K25, 'New York Water Taxi'!I25:I25, 'NY Waterway-(Port Imperial FC)'!I25:J25, SeaStreak!C25:D25,'NYC Ferry'!C25,'NYC Ferry'!M25,'NYC Ferry'!T25,'NYC Ferry'!Y25, 'NYC Ferry'!AD25, 'NYC Ferry'!AH25)</f>
        <v>57171</v>
      </c>
      <c r="F20" s="93"/>
      <c r="G20" s="440" t="s">
        <v>10</v>
      </c>
      <c r="H20" s="423">
        <f>SUM('NY Waterway-(Billy Bey FC)'!I36,'NY Waterway-(Billy Bey FC)'!J36,'NY Waterway-(Billy Bey FC)'!K36, 'New York Water Taxi'!I36:I36, 'NY Waterway-(Port Imperial FC)'!I36:J36, SeaStreak!C36:D36,'NYC Ferry'!C36,'NYC Ferry'!M36,'NYC Ferry'!T36,'NYC Ferry'!Y36, 'NYC Ferry'!AD36, 'NYC Ferry'!AH36)</f>
        <v>62416</v>
      </c>
      <c r="I20" s="93"/>
      <c r="J20" s="440" t="s">
        <v>10</v>
      </c>
      <c r="K20" s="423">
        <f>SUM('NY Waterway-(Billy Bey FC)'!I47,'NY Waterway-(Billy Bey FC)'!J47, 'NY Waterway-(Billy Bey FC)'!K47, 'New York Water Taxi'!I47:I47, 'NY Waterway-(Port Imperial FC)'!I47:J47, SeaStreak!C47:D47,'NYC Ferry'!C47,'NYC Ferry'!M47,'NYC Ferry'!T47,'NYC Ferry'!Y47, 'NYC Ferry'!AD47, 'NYC Ferry'!AH47)</f>
        <v>59900</v>
      </c>
      <c r="L20" s="93"/>
      <c r="M20" s="440" t="s">
        <v>10</v>
      </c>
      <c r="N20" s="423">
        <f>SUM('NY Waterway-(Billy Bey FC)'!I58,'NY Waterway-(Billy Bey FC)'!J58,'NY Waterway-(Billy Bey FC)'!K58, 'New York Water Taxi'!I58:I58, 'NY Waterway-(Port Imperial FC)'!I58:J58, SeaStreak!C58:D58,'NYC Ferry'!C58,'NYC Ferry'!M58,'NYC Ferry'!T58,'NYC Ferry'!Y58,'NYC Ferry'!AD58, 'NYC Ferry'!AH58)</f>
        <v>61739</v>
      </c>
    </row>
    <row r="21" spans="1:17" ht="12.95" customHeight="1" thickBot="1" x14ac:dyDescent="0.3">
      <c r="A21" s="441"/>
      <c r="B21" s="442"/>
      <c r="C21" s="8"/>
      <c r="D21" s="441"/>
      <c r="E21" s="424"/>
      <c r="F21" s="93"/>
      <c r="G21" s="441"/>
      <c r="H21" s="424"/>
      <c r="I21" s="93"/>
      <c r="J21" s="441"/>
      <c r="K21" s="424"/>
      <c r="L21" s="93"/>
      <c r="M21" s="441"/>
      <c r="N21" s="424"/>
    </row>
    <row r="22" spans="1:17" ht="12.95" customHeight="1" x14ac:dyDescent="0.25">
      <c r="A22" s="425" t="s">
        <v>68</v>
      </c>
      <c r="B22" s="423">
        <f xml:space="preserve"> 'NY Waterway-(Billy Bey FC)'!L14</f>
        <v>307</v>
      </c>
      <c r="C22" s="8"/>
      <c r="D22" s="425" t="s">
        <v>68</v>
      </c>
      <c r="E22" s="423">
        <f xml:space="preserve"> 'NY Waterway-(Billy Bey FC)'!L25</f>
        <v>1653</v>
      </c>
      <c r="F22" s="93"/>
      <c r="G22" s="425" t="s">
        <v>68</v>
      </c>
      <c r="H22" s="423">
        <f xml:space="preserve"> 'NY Waterway-(Billy Bey FC)'!L36</f>
        <v>1796</v>
      </c>
      <c r="I22" s="93"/>
      <c r="J22" s="425" t="s">
        <v>68</v>
      </c>
      <c r="K22" s="423">
        <f>'NY Waterway-(Billy Bey FC)'!L47</f>
        <v>1877</v>
      </c>
      <c r="L22" s="93"/>
      <c r="M22" s="425" t="s">
        <v>68</v>
      </c>
      <c r="N22" s="423">
        <f xml:space="preserve"> 'NY Waterway-(Billy Bey FC)'!L58</f>
        <v>1742</v>
      </c>
    </row>
    <row r="23" spans="1:17" ht="12.95" customHeight="1" thickBot="1" x14ac:dyDescent="0.3">
      <c r="A23" s="426"/>
      <c r="B23" s="442"/>
      <c r="C23" s="8"/>
      <c r="D23" s="426"/>
      <c r="E23" s="424"/>
      <c r="F23" s="93"/>
      <c r="G23" s="426"/>
      <c r="H23" s="424"/>
      <c r="I23" s="93"/>
      <c r="J23" s="426"/>
      <c r="K23" s="424"/>
      <c r="L23" s="93"/>
      <c r="M23" s="426"/>
      <c r="N23" s="424"/>
    </row>
    <row r="24" spans="1:17" ht="12.95" customHeight="1" x14ac:dyDescent="0.25">
      <c r="A24" s="425" t="s">
        <v>8</v>
      </c>
      <c r="B24" s="444">
        <f>SUM('NY Waterway-(Billy Bey FC)'!C14:E14, 'NY Waterway-(Port Imperial FC)'!C14:G14,)</f>
        <v>10035</v>
      </c>
      <c r="C24" s="9"/>
      <c r="D24" s="425" t="s">
        <v>8</v>
      </c>
      <c r="E24" s="444">
        <f>SUM('NY Waterway-(Billy Bey FC)'!C25:E25, 'NY Waterway-(Port Imperial FC)'!C25:G25,)</f>
        <v>55917</v>
      </c>
      <c r="F24" s="93"/>
      <c r="G24" s="425" t="s">
        <v>8</v>
      </c>
      <c r="H24" s="444">
        <f>SUM('NY Waterway-(Billy Bey FC)'!C36:E36, 'NY Waterway-(Port Imperial FC)'!C36:G36,)</f>
        <v>62943</v>
      </c>
      <c r="I24" s="93"/>
      <c r="J24" s="425" t="s">
        <v>8</v>
      </c>
      <c r="K24" s="444">
        <f>SUM('NY Waterway-(Billy Bey FC)'!C47:E47, 'NY Waterway-(Port Imperial FC)'!C47:G47,)</f>
        <v>60887</v>
      </c>
      <c r="L24" s="93"/>
      <c r="M24" s="425" t="s">
        <v>8</v>
      </c>
      <c r="N24" s="444">
        <f>SUM('NY Waterway-(Billy Bey FC)'!C58:E58, 'NY Waterway-(Port Imperial FC)'!C58:G58,)</f>
        <v>62537</v>
      </c>
    </row>
    <row r="25" spans="1:17" ht="12.95" customHeight="1" thickBot="1" x14ac:dyDescent="0.3">
      <c r="A25" s="426"/>
      <c r="B25" s="445"/>
      <c r="C25" s="95"/>
      <c r="D25" s="426"/>
      <c r="E25" s="445"/>
      <c r="F25" s="93"/>
      <c r="G25" s="426"/>
      <c r="H25" s="454"/>
      <c r="I25" s="93"/>
      <c r="J25" s="426"/>
      <c r="K25" s="455"/>
      <c r="L25" s="93"/>
      <c r="M25" s="426"/>
      <c r="N25" s="455"/>
    </row>
    <row r="26" spans="1:17" ht="12.95" customHeight="1" x14ac:dyDescent="0.25">
      <c r="A26" s="440" t="s">
        <v>14</v>
      </c>
      <c r="B26" s="423">
        <f>SUM(SeaStreak!E14:F14,'New York Water Taxi'!G14,'NYC Ferry'!D14,'NYC Ferry'!X14, 'NYC Ferry'!AA14, 'NYC Ferry'!AG14)</f>
        <v>3096</v>
      </c>
      <c r="C26" s="7"/>
      <c r="D26" s="440" t="s">
        <v>14</v>
      </c>
      <c r="E26" s="423">
        <f>SUM(SeaStreak!E25:F25,'New York Water Taxi'!G25, 'NYC Ferry'!D25,'NYC Ferry'!X25, 'NYC Ferry'!AA25, 'NYC Ferry'!AG25)</f>
        <v>16139</v>
      </c>
      <c r="F26" s="93"/>
      <c r="G26" s="440" t="s">
        <v>14</v>
      </c>
      <c r="H26" s="423">
        <f>SUM(SeaStreak!E36:F36,'New York Water Taxi'!G36, 'NYC Ferry'!D36,'NYC Ferry'!X36,'NYC Ferry'!AA36, 'NYC Ferry'!AG36)</f>
        <v>19205</v>
      </c>
      <c r="I26" s="93"/>
      <c r="J26" s="440" t="s">
        <v>14</v>
      </c>
      <c r="K26" s="423">
        <f>SUM(SeaStreak!E47:F47,'New York Water Taxi'!G47, 'NYC Ferry'!D47,'NYC Ferry'!X47, 'NYC Ferry'!AA47, 'NYC Ferry'!AG47)</f>
        <v>17647</v>
      </c>
      <c r="L26" s="93"/>
      <c r="M26" s="440" t="s">
        <v>14</v>
      </c>
      <c r="N26" s="423">
        <f>SUM(SeaStreak!E58:F58,'New York Water Taxi'!G58,'NYC Ferry'!D58,'NYC Ferry'!X58,'NYC Ferry'!AA58, 'NYC Ferry'!AG58)</f>
        <v>18553</v>
      </c>
    </row>
    <row r="27" spans="1:17" ht="12.95" customHeight="1" thickBot="1" x14ac:dyDescent="0.3">
      <c r="A27" s="446"/>
      <c r="B27" s="442"/>
      <c r="C27" s="97"/>
      <c r="D27" s="446"/>
      <c r="E27" s="427"/>
      <c r="F27" s="93"/>
      <c r="G27" s="446"/>
      <c r="H27" s="427"/>
      <c r="I27" s="93"/>
      <c r="J27" s="446"/>
      <c r="K27" s="427"/>
      <c r="L27" s="93"/>
      <c r="M27" s="446"/>
      <c r="N27" s="427"/>
    </row>
    <row r="28" spans="1:17" ht="12.95" customHeight="1" x14ac:dyDescent="0.25">
      <c r="A28" s="425" t="s">
        <v>9</v>
      </c>
      <c r="B28" s="444">
        <f>SUM('NY Waterway-(Billy Bey FC)'!F14:H14, 'Liberty Landing Ferry'!C14, 'NY Waterway-(Port Imperial FC)'!H14)</f>
        <v>6292</v>
      </c>
      <c r="C28" s="9"/>
      <c r="D28" s="425" t="s">
        <v>9</v>
      </c>
      <c r="E28" s="429">
        <f>SUM('NY Waterway-(Billy Bey FC)'!F25:H25, 'Liberty Landing Ferry'!C25, 'NY Waterway-(Port Imperial FC)'!H25)</f>
        <v>37430</v>
      </c>
      <c r="F28" s="93"/>
      <c r="G28" s="425" t="s">
        <v>9</v>
      </c>
      <c r="H28" s="444">
        <f>SUM('NY Waterway-(Billy Bey FC)'!F36:H36, 'Liberty Landing Ferry'!C36, 'NY Waterway-(Port Imperial FC)'!H36)</f>
        <v>41316</v>
      </c>
      <c r="I28" s="93"/>
      <c r="J28" s="425" t="s">
        <v>9</v>
      </c>
      <c r="K28" s="444">
        <f>SUM('NY Waterway-(Billy Bey FC)'!F47:H47, 'Liberty Landing Ferry'!C47, 'NY Waterway-(Port Imperial FC)'!H47)</f>
        <v>40059</v>
      </c>
      <c r="L28" s="93"/>
      <c r="M28" s="425" t="s">
        <v>9</v>
      </c>
      <c r="N28" s="444">
        <f>SUM('NY Waterway-(Billy Bey FC)'!F58:H58, 'Liberty Landing Ferry'!C58, 'NY Waterway-(Port Imperial FC)'!H58)</f>
        <v>41397</v>
      </c>
    </row>
    <row r="29" spans="1:17" ht="12.95" customHeight="1" thickBot="1" x14ac:dyDescent="0.3">
      <c r="A29" s="428"/>
      <c r="B29" s="445"/>
      <c r="C29" s="98"/>
      <c r="D29" s="428"/>
      <c r="E29" s="447"/>
      <c r="F29" s="93"/>
      <c r="G29" s="428"/>
      <c r="H29" s="447"/>
      <c r="I29" s="93"/>
      <c r="J29" s="428"/>
      <c r="K29" s="447"/>
      <c r="L29" s="93"/>
      <c r="M29" s="428"/>
      <c r="N29" s="447"/>
      <c r="P29" s="107"/>
      <c r="Q29" s="107"/>
    </row>
    <row r="30" spans="1:17" s="107" customFormat="1" ht="12.95" customHeight="1" x14ac:dyDescent="0.2">
      <c r="A30" s="425" t="s">
        <v>7</v>
      </c>
      <c r="B30" s="429">
        <f>SUM('New York Water Taxi'!C14)</f>
        <v>52</v>
      </c>
      <c r="C30" s="10"/>
      <c r="D30" s="425" t="s">
        <v>7</v>
      </c>
      <c r="E30" s="429">
        <f>SUM('New York Water Taxi'!C25)</f>
        <v>317</v>
      </c>
      <c r="F30" s="106"/>
      <c r="G30" s="425" t="s">
        <v>7</v>
      </c>
      <c r="H30" s="429">
        <f>SUM('New York Water Taxi'!C36)</f>
        <v>543</v>
      </c>
      <c r="I30" s="106"/>
      <c r="J30" s="425" t="s">
        <v>7</v>
      </c>
      <c r="K30" s="429">
        <f>SUM('New York Water Taxi'!C47)</f>
        <v>202</v>
      </c>
      <c r="L30" s="106"/>
      <c r="M30" s="425" t="s">
        <v>7</v>
      </c>
      <c r="N30" s="429">
        <f>SUM('New York Water Taxi'!C58)</f>
        <v>378</v>
      </c>
    </row>
    <row r="31" spans="1:17" s="107" customFormat="1" ht="12.95" customHeight="1" thickBot="1" x14ac:dyDescent="0.3">
      <c r="A31" s="428"/>
      <c r="B31" s="420"/>
      <c r="C31" s="101"/>
      <c r="D31" s="428"/>
      <c r="E31" s="459"/>
      <c r="F31" s="106"/>
      <c r="G31" s="428"/>
      <c r="H31" s="459"/>
      <c r="I31" s="106"/>
      <c r="J31" s="428"/>
      <c r="K31" s="459"/>
      <c r="L31" s="106"/>
      <c r="M31" s="428"/>
      <c r="N31" s="459"/>
      <c r="P31" s="108"/>
      <c r="Q31" s="108"/>
    </row>
    <row r="32" spans="1:17" ht="12.75" customHeight="1" x14ac:dyDescent="0.25">
      <c r="A32" s="425" t="s">
        <v>101</v>
      </c>
      <c r="B32" s="429">
        <f>SUM('New York Water Taxi'!E14)</f>
        <v>45</v>
      </c>
      <c r="C32" s="93"/>
      <c r="D32" s="425" t="s">
        <v>101</v>
      </c>
      <c r="E32" s="429">
        <f>SUM('New York Water Taxi'!E25)</f>
        <v>320</v>
      </c>
      <c r="F32" s="93"/>
      <c r="G32" s="425" t="s">
        <v>101</v>
      </c>
      <c r="H32" s="429">
        <f>SUM('New York Water Taxi'!E36)</f>
        <v>400</v>
      </c>
      <c r="I32" s="93"/>
      <c r="J32" s="425" t="s">
        <v>101</v>
      </c>
      <c r="K32" s="429">
        <f>SUM('New York Water Taxi'!E47)</f>
        <v>199</v>
      </c>
      <c r="L32" s="93"/>
      <c r="M32" s="425" t="s">
        <v>101</v>
      </c>
      <c r="N32" s="429">
        <f>SUM('New York Water Taxi'!E58)</f>
        <v>386</v>
      </c>
    </row>
    <row r="33" spans="1:14" ht="14.25" thickBot="1" x14ac:dyDescent="0.3">
      <c r="A33" s="428"/>
      <c r="B33" s="420"/>
      <c r="C33" s="93"/>
      <c r="D33" s="428"/>
      <c r="E33" s="430"/>
      <c r="F33" s="93"/>
      <c r="G33" s="428"/>
      <c r="H33" s="460"/>
      <c r="I33" s="93"/>
      <c r="J33" s="428"/>
      <c r="K33" s="430"/>
      <c r="L33" s="93"/>
      <c r="M33" s="428"/>
      <c r="N33" s="430"/>
    </row>
    <row r="34" spans="1:14" ht="12.75" customHeight="1" x14ac:dyDescent="0.25">
      <c r="A34" s="425" t="s">
        <v>98</v>
      </c>
      <c r="B34" s="429">
        <f>('New York Water Taxi'!F14)</f>
        <v>123</v>
      </c>
      <c r="C34" s="93"/>
      <c r="D34" s="425" t="s">
        <v>98</v>
      </c>
      <c r="E34" s="429">
        <f>'New York Water Taxi'!F25</f>
        <v>634</v>
      </c>
      <c r="F34" s="93"/>
      <c r="G34" s="425" t="s">
        <v>98</v>
      </c>
      <c r="H34" s="429">
        <f>'New York Water Taxi'!F36</f>
        <v>936</v>
      </c>
      <c r="I34" s="93"/>
      <c r="J34" s="425" t="s">
        <v>98</v>
      </c>
      <c r="K34" s="429">
        <f>'New York Water Taxi'!F47</f>
        <v>443</v>
      </c>
      <c r="L34" s="93"/>
      <c r="M34" s="425" t="s">
        <v>98</v>
      </c>
      <c r="N34" s="429">
        <f>'New York Water Taxi'!F58</f>
        <v>726</v>
      </c>
    </row>
    <row r="35" spans="1:14" ht="14.25" customHeight="1" thickBot="1" x14ac:dyDescent="0.3">
      <c r="A35" s="428"/>
      <c r="B35" s="420"/>
      <c r="C35" s="93"/>
      <c r="D35" s="428"/>
      <c r="E35" s="461"/>
      <c r="F35" s="93"/>
      <c r="G35" s="428"/>
      <c r="H35" s="462"/>
      <c r="I35" s="93"/>
      <c r="J35" s="428"/>
      <c r="K35" s="420"/>
      <c r="L35" s="93"/>
      <c r="M35" s="428"/>
      <c r="N35" s="420"/>
    </row>
    <row r="36" spans="1:14" x14ac:dyDescent="0.25">
      <c r="A36" s="431" t="s">
        <v>63</v>
      </c>
      <c r="B36" s="429">
        <f>SUM('NYC Ferry'!E14+'NYC Ferry'!S14,'New York Water Taxi'!D14)</f>
        <v>621</v>
      </c>
      <c r="C36" s="93"/>
      <c r="D36" s="431" t="s">
        <v>63</v>
      </c>
      <c r="E36" s="429">
        <f>SUM('NYC Ferry'!E25+'NYC Ferry'!S25,'New York Water Taxi'!D25)</f>
        <v>3436</v>
      </c>
      <c r="F36" s="93"/>
      <c r="G36" s="431" t="s">
        <v>63</v>
      </c>
      <c r="H36" s="429">
        <f>SUM('NYC Ferry'!E36+'NYC Ferry'!S36,'New York Water Taxi'!D36)</f>
        <v>5125</v>
      </c>
      <c r="I36" s="93"/>
      <c r="J36" s="431" t="s">
        <v>63</v>
      </c>
      <c r="K36" s="429">
        <f>SUM('NYC Ferry'!E47+'NYC Ferry'!S47,'New York Water Taxi'!D47)</f>
        <v>4523</v>
      </c>
      <c r="L36" s="93"/>
      <c r="M36" s="431" t="s">
        <v>63</v>
      </c>
      <c r="N36" s="429">
        <f>SUM('NYC Ferry'!E58+'NYC Ferry'!S58,'New York Water Taxi'!D58)</f>
        <v>5122</v>
      </c>
    </row>
    <row r="37" spans="1:14" ht="14.25" thickBot="1" x14ac:dyDescent="0.3">
      <c r="A37" s="422"/>
      <c r="B37" s="420"/>
      <c r="C37" s="93"/>
      <c r="D37" s="422"/>
      <c r="E37" s="420"/>
      <c r="F37" s="93"/>
      <c r="G37" s="422"/>
      <c r="H37" s="420"/>
      <c r="I37" s="93"/>
      <c r="J37" s="422"/>
      <c r="K37" s="420"/>
      <c r="L37" s="93"/>
      <c r="M37" s="422"/>
      <c r="N37" s="420"/>
    </row>
    <row r="38" spans="1:14" ht="12.75" customHeight="1" x14ac:dyDescent="0.25">
      <c r="A38" s="431" t="s">
        <v>64</v>
      </c>
      <c r="B38" s="429">
        <f>SUM('NYC Ferry'!F14)</f>
        <v>340</v>
      </c>
      <c r="C38" s="93"/>
      <c r="D38" s="431" t="s">
        <v>64</v>
      </c>
      <c r="E38" s="429">
        <f>SUM('NYC Ferry'!F25)</f>
        <v>2010</v>
      </c>
      <c r="F38" s="93"/>
      <c r="G38" s="431" t="s">
        <v>64</v>
      </c>
      <c r="H38" s="429">
        <f>SUM('NYC Ferry'!F36)</f>
        <v>2108</v>
      </c>
      <c r="I38" s="93"/>
      <c r="J38" s="431" t="s">
        <v>64</v>
      </c>
      <c r="K38" s="429">
        <f>SUM('NYC Ferry'!F47)</f>
        <v>1961</v>
      </c>
      <c r="L38" s="93"/>
      <c r="M38" s="431" t="s">
        <v>64</v>
      </c>
      <c r="N38" s="429">
        <f>SUM('NYC Ferry'!F58)</f>
        <v>2204</v>
      </c>
    </row>
    <row r="39" spans="1:14" ht="13.5" customHeight="1" thickBot="1" x14ac:dyDescent="0.3">
      <c r="A39" s="422"/>
      <c r="B39" s="420"/>
      <c r="C39" s="93"/>
      <c r="D39" s="422"/>
      <c r="E39" s="420"/>
      <c r="F39" s="93"/>
      <c r="G39" s="422"/>
      <c r="H39" s="420"/>
      <c r="I39" s="93"/>
      <c r="J39" s="422"/>
      <c r="K39" s="420"/>
      <c r="L39" s="93"/>
      <c r="M39" s="422"/>
      <c r="N39" s="420"/>
    </row>
    <row r="40" spans="1:14" ht="12.75" customHeight="1" x14ac:dyDescent="0.25">
      <c r="A40" s="431" t="s">
        <v>11</v>
      </c>
      <c r="B40" s="429">
        <f>SUM('NYC Ferry'!G14)</f>
        <v>807</v>
      </c>
      <c r="C40" s="93"/>
      <c r="D40" s="431" t="s">
        <v>11</v>
      </c>
      <c r="E40" s="429">
        <f>SUM('NYC Ferry'!G25)</f>
        <v>4692</v>
      </c>
      <c r="F40" s="93"/>
      <c r="G40" s="431" t="s">
        <v>11</v>
      </c>
      <c r="H40" s="429">
        <f>SUM('NYC Ferry'!G36)</f>
        <v>5891</v>
      </c>
      <c r="I40" s="93"/>
      <c r="J40" s="431" t="s">
        <v>11</v>
      </c>
      <c r="K40" s="429">
        <f>SUM('NYC Ferry'!G47)</f>
        <v>5192</v>
      </c>
      <c r="L40" s="93"/>
      <c r="M40" s="431" t="s">
        <v>11</v>
      </c>
      <c r="N40" s="429">
        <f>SUM('NYC Ferry'!G58)</f>
        <v>5737</v>
      </c>
    </row>
    <row r="41" spans="1:14" ht="13.5" customHeight="1" thickBot="1" x14ac:dyDescent="0.3">
      <c r="A41" s="422"/>
      <c r="B41" s="420"/>
      <c r="C41" s="93"/>
      <c r="D41" s="422"/>
      <c r="E41" s="420"/>
      <c r="F41" s="93"/>
      <c r="G41" s="422"/>
      <c r="H41" s="420"/>
      <c r="I41" s="93"/>
      <c r="J41" s="422"/>
      <c r="K41" s="420"/>
      <c r="L41" s="93"/>
      <c r="M41" s="422"/>
      <c r="N41" s="420"/>
    </row>
    <row r="42" spans="1:14" ht="12.75" customHeight="1" x14ac:dyDescent="0.25">
      <c r="A42" s="431" t="s">
        <v>12</v>
      </c>
      <c r="B42" s="429">
        <f>SUM('NYC Ferry'!H14)</f>
        <v>638</v>
      </c>
      <c r="C42" s="93"/>
      <c r="D42" s="431" t="s">
        <v>12</v>
      </c>
      <c r="E42" s="429">
        <f>SUM('NYC Ferry'!H25)</f>
        <v>3179</v>
      </c>
      <c r="F42" s="93"/>
      <c r="G42" s="431" t="s">
        <v>12</v>
      </c>
      <c r="H42" s="429">
        <f>SUM('NYC Ferry'!H36)</f>
        <v>3834</v>
      </c>
      <c r="I42" s="93"/>
      <c r="J42" s="431" t="s">
        <v>12</v>
      </c>
      <c r="K42" s="429">
        <f>SUM('NYC Ferry'!H47)</f>
        <v>3541</v>
      </c>
      <c r="L42" s="93"/>
      <c r="M42" s="431" t="s">
        <v>12</v>
      </c>
      <c r="N42" s="429">
        <f>SUM('NYC Ferry'!H58)</f>
        <v>4013</v>
      </c>
    </row>
    <row r="43" spans="1:14" ht="13.5" customHeight="1" thickBot="1" x14ac:dyDescent="0.3">
      <c r="A43" s="422"/>
      <c r="B43" s="420"/>
      <c r="C43" s="93"/>
      <c r="D43" s="422"/>
      <c r="E43" s="420"/>
      <c r="F43" s="93"/>
      <c r="G43" s="422"/>
      <c r="H43" s="420"/>
      <c r="I43" s="93"/>
      <c r="J43" s="422"/>
      <c r="K43" s="420"/>
      <c r="L43" s="93"/>
      <c r="M43" s="422"/>
      <c r="N43" s="420"/>
    </row>
    <row r="44" spans="1:14" ht="12.75" customHeight="1" x14ac:dyDescent="0.25">
      <c r="A44" s="431" t="s">
        <v>94</v>
      </c>
      <c r="B44" s="429">
        <f>SUM('NYC Ferry'!I14,)</f>
        <v>225</v>
      </c>
      <c r="C44" s="93"/>
      <c r="D44" s="431" t="s">
        <v>94</v>
      </c>
      <c r="E44" s="429">
        <f>SUM('NYC Ferry'!I25)</f>
        <v>920</v>
      </c>
      <c r="F44" s="93"/>
      <c r="G44" s="431" t="s">
        <v>94</v>
      </c>
      <c r="H44" s="429">
        <f>SUM('NYC Ferry'!I36)</f>
        <v>1475</v>
      </c>
      <c r="I44" s="93"/>
      <c r="J44" s="431" t="s">
        <v>94</v>
      </c>
      <c r="K44" s="429">
        <f>SUM('NYC Ferry'!I47)</f>
        <v>1275</v>
      </c>
      <c r="L44" s="93"/>
      <c r="M44" s="431" t="s">
        <v>94</v>
      </c>
      <c r="N44" s="429">
        <f>SUM('NYC Ferry'!I58)</f>
        <v>1282</v>
      </c>
    </row>
    <row r="45" spans="1:14" ht="13.5" customHeight="1" thickBot="1" x14ac:dyDescent="0.3">
      <c r="A45" s="422"/>
      <c r="B45" s="420"/>
      <c r="C45" s="93"/>
      <c r="D45" s="422"/>
      <c r="E45" s="420"/>
      <c r="F45" s="93"/>
      <c r="G45" s="422"/>
      <c r="H45" s="420"/>
      <c r="I45" s="93"/>
      <c r="J45" s="422"/>
      <c r="K45" s="420"/>
      <c r="L45" s="93"/>
      <c r="M45" s="422"/>
      <c r="N45" s="420"/>
    </row>
    <row r="46" spans="1:14" ht="12.75" customHeight="1" x14ac:dyDescent="0.25">
      <c r="A46" s="431" t="s">
        <v>78</v>
      </c>
      <c r="B46" s="429">
        <f>SUM('NYC Ferry'!P14)</f>
        <v>136</v>
      </c>
      <c r="C46" s="93"/>
      <c r="D46" s="431" t="s">
        <v>78</v>
      </c>
      <c r="E46" s="429">
        <f>SUM('NYC Ferry'!P25)</f>
        <v>587</v>
      </c>
      <c r="F46" s="93"/>
      <c r="G46" s="431" t="s">
        <v>78</v>
      </c>
      <c r="H46" s="429">
        <f>SUM('NYC Ferry'!P36)</f>
        <v>775</v>
      </c>
      <c r="I46" s="93"/>
      <c r="J46" s="431" t="s">
        <v>78</v>
      </c>
      <c r="K46" s="429">
        <f>SUM('NYC Ferry'!P47)</f>
        <v>684</v>
      </c>
      <c r="L46" s="93"/>
      <c r="M46" s="431" t="s">
        <v>78</v>
      </c>
      <c r="N46" s="429">
        <f>SUM('NYC Ferry'!P58)</f>
        <v>727</v>
      </c>
    </row>
    <row r="47" spans="1:14" ht="13.5" customHeight="1" thickBot="1" x14ac:dyDescent="0.3">
      <c r="A47" s="422"/>
      <c r="B47" s="420"/>
      <c r="C47" s="93"/>
      <c r="D47" s="422"/>
      <c r="E47" s="420"/>
      <c r="F47" s="93"/>
      <c r="G47" s="422"/>
      <c r="H47" s="420"/>
      <c r="I47" s="93"/>
      <c r="J47" s="422"/>
      <c r="K47" s="420"/>
      <c r="L47" s="93"/>
      <c r="M47" s="422"/>
      <c r="N47" s="420"/>
    </row>
    <row r="48" spans="1:14" ht="13.5" customHeight="1" x14ac:dyDescent="0.25">
      <c r="A48" s="431" t="s">
        <v>115</v>
      </c>
      <c r="B48" s="429">
        <f>'New York Water Taxi'!J14</f>
        <v>46</v>
      </c>
      <c r="C48" s="93"/>
      <c r="D48" s="431" t="s">
        <v>115</v>
      </c>
      <c r="E48" s="429">
        <f>'New York Water Taxi'!J25</f>
        <v>172</v>
      </c>
      <c r="F48" s="93"/>
      <c r="G48" s="431" t="s">
        <v>115</v>
      </c>
      <c r="H48" s="429">
        <f>SUM('New York Water Taxi'!J36)</f>
        <v>246</v>
      </c>
      <c r="I48" s="93"/>
      <c r="J48" s="431" t="s">
        <v>115</v>
      </c>
      <c r="K48" s="429">
        <f>'New York Water Taxi'!J47</f>
        <v>225</v>
      </c>
      <c r="L48" s="93"/>
      <c r="M48" s="431" t="s">
        <v>115</v>
      </c>
      <c r="N48" s="429">
        <f>'New York Water Taxi'!J58</f>
        <v>248</v>
      </c>
    </row>
    <row r="49" spans="1:14" ht="13.5" customHeight="1" thickBot="1" x14ac:dyDescent="0.3">
      <c r="A49" s="422"/>
      <c r="B49" s="420"/>
      <c r="C49" s="93"/>
      <c r="D49" s="422"/>
      <c r="E49" s="420"/>
      <c r="F49" s="93"/>
      <c r="G49" s="422"/>
      <c r="H49" s="419"/>
      <c r="I49" s="93"/>
      <c r="J49" s="422"/>
      <c r="K49" s="419"/>
      <c r="L49" s="93"/>
      <c r="M49" s="422"/>
      <c r="N49" s="420"/>
    </row>
    <row r="50" spans="1:14" ht="13.5" customHeight="1" x14ac:dyDescent="0.25">
      <c r="A50" s="585" t="s">
        <v>117</v>
      </c>
      <c r="B50" s="429">
        <f>SUM('NYC Ferry'!N14,'New York Water Taxi'!H14)</f>
        <v>256</v>
      </c>
      <c r="C50" s="93"/>
      <c r="D50" s="585" t="s">
        <v>117</v>
      </c>
      <c r="E50" s="429">
        <f>SUM('NYC Ferry'!N25,'New York Water Taxi'!H25)</f>
        <v>1291</v>
      </c>
      <c r="F50" s="93"/>
      <c r="G50" s="585" t="s">
        <v>117</v>
      </c>
      <c r="H50" s="419">
        <f>SUM('NYC Ferry'!N36,'New York Water Taxi'!H36)</f>
        <v>1603</v>
      </c>
      <c r="I50" s="93"/>
      <c r="J50" s="585" t="s">
        <v>117</v>
      </c>
      <c r="K50" s="419">
        <f>SUM('NYC Ferry'!N47,'New York Water Taxi'!H47)</f>
        <v>1538</v>
      </c>
      <c r="L50" s="93"/>
      <c r="M50" s="585" t="s">
        <v>117</v>
      </c>
      <c r="N50" s="429">
        <f>SUM('NYC Ferry'!N58,'New York Water Taxi'!H58)</f>
        <v>1585</v>
      </c>
    </row>
    <row r="51" spans="1:14" ht="13.5" customHeight="1" thickBot="1" x14ac:dyDescent="0.3">
      <c r="A51" s="586"/>
      <c r="B51" s="420"/>
      <c r="C51" s="93"/>
      <c r="D51" s="586"/>
      <c r="E51" s="420"/>
      <c r="F51" s="93"/>
      <c r="G51" s="586"/>
      <c r="H51" s="462"/>
      <c r="I51" s="93"/>
      <c r="J51" s="586"/>
      <c r="K51" s="462"/>
      <c r="L51" s="93"/>
      <c r="M51" s="586"/>
      <c r="N51" s="420"/>
    </row>
    <row r="52" spans="1:14" ht="13.5" customHeight="1" x14ac:dyDescent="0.25">
      <c r="A52" s="431" t="s">
        <v>87</v>
      </c>
      <c r="B52" s="429">
        <f>SUM('NYC Ferry'!AB14)</f>
        <v>126</v>
      </c>
      <c r="C52" s="93"/>
      <c r="D52" s="431" t="s">
        <v>87</v>
      </c>
      <c r="E52" s="429">
        <f>SUM('NYC Ferry'!AB25)</f>
        <v>663</v>
      </c>
      <c r="F52" s="93"/>
      <c r="G52" s="431" t="s">
        <v>87</v>
      </c>
      <c r="H52" s="466">
        <f>SUM('NYC Ferry'!AB36)</f>
        <v>853</v>
      </c>
      <c r="I52" s="93"/>
      <c r="J52" s="431" t="s">
        <v>87</v>
      </c>
      <c r="K52" s="466">
        <f>SUM('NYC Ferry'!AB47)</f>
        <v>676</v>
      </c>
      <c r="L52" s="93"/>
      <c r="M52" s="431" t="s">
        <v>87</v>
      </c>
      <c r="N52" s="429">
        <f>SUM('NYC Ferry'!AB58)</f>
        <v>727</v>
      </c>
    </row>
    <row r="53" spans="1:14" ht="13.5" customHeight="1" thickBot="1" x14ac:dyDescent="0.3">
      <c r="A53" s="422"/>
      <c r="B53" s="420"/>
      <c r="C53" s="93"/>
      <c r="D53" s="422"/>
      <c r="E53" s="420"/>
      <c r="F53" s="93"/>
      <c r="G53" s="422"/>
      <c r="H53" s="462"/>
      <c r="I53" s="93"/>
      <c r="J53" s="422"/>
      <c r="K53" s="462"/>
      <c r="L53" s="93"/>
      <c r="M53" s="422"/>
      <c r="N53" s="420"/>
    </row>
    <row r="54" spans="1:14" ht="13.5" customHeight="1" x14ac:dyDescent="0.25">
      <c r="A54" s="431" t="s">
        <v>88</v>
      </c>
      <c r="B54" s="429">
        <f>SUM('NYC Ferry'!AC14)</f>
        <v>36</v>
      </c>
      <c r="C54" s="93"/>
      <c r="D54" s="431" t="s">
        <v>88</v>
      </c>
      <c r="E54" s="429">
        <f>SUM('NYC Ferry'!AC25)</f>
        <v>224</v>
      </c>
      <c r="F54" s="93"/>
      <c r="G54" s="431" t="s">
        <v>88</v>
      </c>
      <c r="H54" s="466">
        <f>SUM('NYC Ferry'!AC36)</f>
        <v>249</v>
      </c>
      <c r="I54" s="93"/>
      <c r="J54" s="431" t="s">
        <v>88</v>
      </c>
      <c r="K54" s="466">
        <f>SUM('NYC Ferry'!AC47)</f>
        <v>230</v>
      </c>
      <c r="L54" s="93"/>
      <c r="M54" s="431" t="s">
        <v>88</v>
      </c>
      <c r="N54" s="429">
        <f>SUM('NYC Ferry'!AC58)</f>
        <v>218</v>
      </c>
    </row>
    <row r="55" spans="1:14" ht="13.5" customHeight="1" thickBot="1" x14ac:dyDescent="0.3">
      <c r="A55" s="422"/>
      <c r="B55" s="420"/>
      <c r="C55" s="93"/>
      <c r="D55" s="422"/>
      <c r="E55" s="420"/>
      <c r="F55" s="93"/>
      <c r="G55" s="422"/>
      <c r="H55" s="462"/>
      <c r="I55" s="93"/>
      <c r="J55" s="422"/>
      <c r="K55" s="462"/>
      <c r="L55" s="93"/>
      <c r="M55" s="422"/>
      <c r="N55" s="420"/>
    </row>
    <row r="56" spans="1:14" ht="13.5" customHeight="1" x14ac:dyDescent="0.25">
      <c r="A56" s="431" t="s">
        <v>90</v>
      </c>
      <c r="B56" s="429">
        <f>SUM('NYC Ferry'!AE14)</f>
        <v>406</v>
      </c>
      <c r="C56" s="93"/>
      <c r="D56" s="431" t="s">
        <v>90</v>
      </c>
      <c r="E56" s="429">
        <f>SUM('NYC Ferry'!AE25)</f>
        <v>2097</v>
      </c>
      <c r="F56" s="93"/>
      <c r="G56" s="431" t="s">
        <v>90</v>
      </c>
      <c r="H56" s="466">
        <f>SUM('NYC Ferry'!AE36)</f>
        <v>2617</v>
      </c>
      <c r="I56" s="93"/>
      <c r="J56" s="431" t="s">
        <v>90</v>
      </c>
      <c r="K56" s="466">
        <f>SUM('NYC Ferry'!AE47)</f>
        <v>2392</v>
      </c>
      <c r="L56" s="93"/>
      <c r="M56" s="431" t="s">
        <v>90</v>
      </c>
      <c r="N56" s="429">
        <f>SUM('NYC Ferry'!AE58)</f>
        <v>2607</v>
      </c>
    </row>
    <row r="57" spans="1:14" ht="13.5" customHeight="1" thickBot="1" x14ac:dyDescent="0.3">
      <c r="A57" s="422"/>
      <c r="B57" s="420"/>
      <c r="C57" s="93"/>
      <c r="D57" s="422"/>
      <c r="E57" s="420"/>
      <c r="F57" s="93"/>
      <c r="G57" s="422"/>
      <c r="H57" s="462"/>
      <c r="I57" s="93"/>
      <c r="J57" s="422"/>
      <c r="K57" s="462"/>
      <c r="L57" s="93"/>
      <c r="M57" s="422"/>
      <c r="N57" s="420"/>
    </row>
    <row r="58" spans="1:14" ht="13.5" customHeight="1" x14ac:dyDescent="0.25">
      <c r="A58" s="431" t="s">
        <v>89</v>
      </c>
      <c r="B58" s="429">
        <f>SUM('NYC Ferry'!AF14)</f>
        <v>204</v>
      </c>
      <c r="C58" s="93"/>
      <c r="D58" s="431" t="s">
        <v>89</v>
      </c>
      <c r="E58" s="429">
        <f>SUM('NYC Ferry'!AF25)</f>
        <v>1120</v>
      </c>
      <c r="F58" s="93"/>
      <c r="G58" s="431" t="s">
        <v>89</v>
      </c>
      <c r="H58" s="466">
        <f>SUM('NYC Ferry'!AF36)</f>
        <v>1274</v>
      </c>
      <c r="I58" s="93"/>
      <c r="J58" s="431" t="s">
        <v>89</v>
      </c>
      <c r="K58" s="466">
        <f>SUM('NYC Ferry'!AF47)</f>
        <v>1211</v>
      </c>
      <c r="L58" s="93"/>
      <c r="M58" s="431" t="s">
        <v>89</v>
      </c>
      <c r="N58" s="429">
        <f>SUM('NYC Ferry'!AF58)</f>
        <v>1292</v>
      </c>
    </row>
    <row r="59" spans="1:14" ht="13.5" customHeight="1" thickBot="1" x14ac:dyDescent="0.3">
      <c r="A59" s="422"/>
      <c r="B59" s="420"/>
      <c r="C59" s="93"/>
      <c r="D59" s="422"/>
      <c r="E59" s="420"/>
      <c r="F59" s="93"/>
      <c r="G59" s="422"/>
      <c r="H59" s="462"/>
      <c r="I59" s="93"/>
      <c r="J59" s="422"/>
      <c r="K59" s="462"/>
      <c r="L59" s="93"/>
      <c r="M59" s="422"/>
      <c r="N59" s="420"/>
    </row>
    <row r="60" spans="1:14" ht="12.75" customHeight="1" x14ac:dyDescent="0.25">
      <c r="A60" s="431" t="s">
        <v>13</v>
      </c>
      <c r="B60" s="429">
        <f>SUM('NYC Ferry'!R14)</f>
        <v>80</v>
      </c>
      <c r="C60" s="93"/>
      <c r="D60" s="431" t="s">
        <v>13</v>
      </c>
      <c r="E60" s="429">
        <f>SUM('NYC Ferry'!R25)</f>
        <v>385</v>
      </c>
      <c r="F60" s="93"/>
      <c r="G60" s="431" t="s">
        <v>13</v>
      </c>
      <c r="H60" s="429">
        <f>SUM('NYC Ferry'!R36)</f>
        <v>588</v>
      </c>
      <c r="I60" s="93"/>
      <c r="J60" s="431" t="s">
        <v>13</v>
      </c>
      <c r="K60" s="429">
        <f>SUM('NYC Ferry'!R47)</f>
        <v>444</v>
      </c>
      <c r="L60" s="93"/>
      <c r="M60" s="431" t="s">
        <v>13</v>
      </c>
      <c r="N60" s="429">
        <f>SUM('NYC Ferry'!R58)</f>
        <v>605</v>
      </c>
    </row>
    <row r="61" spans="1:14" ht="13.5" customHeight="1" thickBot="1" x14ac:dyDescent="0.3">
      <c r="A61" s="422"/>
      <c r="B61" s="420"/>
      <c r="C61" s="93"/>
      <c r="D61" s="422"/>
      <c r="E61" s="420"/>
      <c r="F61" s="93"/>
      <c r="G61" s="422"/>
      <c r="H61" s="420"/>
      <c r="I61" s="93"/>
      <c r="J61" s="422"/>
      <c r="K61" s="420"/>
      <c r="L61" s="93"/>
      <c r="M61" s="422"/>
      <c r="N61" s="420"/>
    </row>
    <row r="62" spans="1:14" ht="13.5" customHeight="1" x14ac:dyDescent="0.25">
      <c r="A62" s="421" t="s">
        <v>31</v>
      </c>
      <c r="B62" s="429">
        <f>SUM('NYC Ferry'!J14)</f>
        <v>0</v>
      </c>
      <c r="C62" s="93"/>
      <c r="D62" s="421" t="s">
        <v>31</v>
      </c>
      <c r="E62" s="429">
        <f>SUM('NYC Ferry'!J25 + 'NYC Ferry'!Q25)</f>
        <v>0</v>
      </c>
      <c r="F62" s="93"/>
      <c r="G62" s="421" t="s">
        <v>31</v>
      </c>
      <c r="H62" s="419">
        <f>SUM('NYC Ferry'!J36)</f>
        <v>0</v>
      </c>
      <c r="I62" s="93"/>
      <c r="J62" s="421" t="s">
        <v>31</v>
      </c>
      <c r="K62" s="419">
        <f>SUM('NYC Ferry'!J47 + 'NYC Ferry'!Q47)</f>
        <v>0</v>
      </c>
      <c r="L62" s="93"/>
      <c r="M62" s="421" t="s">
        <v>31</v>
      </c>
      <c r="N62" s="419">
        <f>SUM('NYC Ferry'!J58,'NYC Ferry'!Q58)</f>
        <v>0</v>
      </c>
    </row>
    <row r="63" spans="1:14" ht="13.5" customHeight="1" thickBot="1" x14ac:dyDescent="0.3">
      <c r="A63" s="422"/>
      <c r="B63" s="420"/>
      <c r="C63" s="93"/>
      <c r="D63" s="422"/>
      <c r="E63" s="420"/>
      <c r="F63" s="93"/>
      <c r="G63" s="422"/>
      <c r="H63" s="420"/>
      <c r="I63" s="93"/>
      <c r="J63" s="422"/>
      <c r="K63" s="420"/>
      <c r="L63" s="93"/>
      <c r="M63" s="422"/>
      <c r="N63" s="420"/>
    </row>
    <row r="64" spans="1:14" ht="13.5" customHeight="1" x14ac:dyDescent="0.25">
      <c r="A64" s="431" t="s">
        <v>72</v>
      </c>
      <c r="B64" s="429">
        <f>'NYC Ferry'!L14+'NYC Ferry'!O14</f>
        <v>147</v>
      </c>
      <c r="C64" s="93"/>
      <c r="D64" s="421" t="s">
        <v>72</v>
      </c>
      <c r="E64" s="429">
        <f>'NYC Ferry'!L25+'NYC Ferry'!O25</f>
        <v>866</v>
      </c>
      <c r="F64" s="93"/>
      <c r="G64" s="421" t="s">
        <v>72</v>
      </c>
      <c r="H64" s="419">
        <f>'NYC Ferry'!L36 + 'NYC Ferry'!O36</f>
        <v>1040</v>
      </c>
      <c r="I64" s="93"/>
      <c r="J64" s="421" t="s">
        <v>72</v>
      </c>
      <c r="K64" s="419">
        <f>'NYC Ferry'!L47 + 'NYC Ferry'!O47</f>
        <v>1033</v>
      </c>
      <c r="L64" s="93"/>
      <c r="M64" s="421" t="s">
        <v>72</v>
      </c>
      <c r="N64" s="429">
        <f>'NYC Ferry'!L58 + 'NYC Ferry'!O58</f>
        <v>1041</v>
      </c>
    </row>
    <row r="65" spans="1:14" ht="13.5" customHeight="1" thickBot="1" x14ac:dyDescent="0.3">
      <c r="A65" s="422"/>
      <c r="B65" s="420"/>
      <c r="C65" s="93"/>
      <c r="D65" s="422"/>
      <c r="E65" s="420"/>
      <c r="F65" s="93"/>
      <c r="G65" s="422"/>
      <c r="H65" s="420"/>
      <c r="I65" s="93"/>
      <c r="J65" s="422"/>
      <c r="K65" s="420"/>
      <c r="L65" s="93"/>
      <c r="M65" s="422"/>
      <c r="N65" s="420"/>
    </row>
    <row r="66" spans="1:14" ht="13.5" customHeight="1" x14ac:dyDescent="0.25">
      <c r="A66" s="421" t="s">
        <v>71</v>
      </c>
      <c r="B66" s="429">
        <f>'NYC Ferry'!K14</f>
        <v>364</v>
      </c>
      <c r="C66" s="93"/>
      <c r="D66" s="421" t="s">
        <v>71</v>
      </c>
      <c r="E66" s="429">
        <f>'NYC Ferry'!K25</f>
        <v>2080</v>
      </c>
      <c r="F66" s="93"/>
      <c r="G66" s="421" t="s">
        <v>71</v>
      </c>
      <c r="H66" s="419">
        <f>'NYC Ferry'!K36</f>
        <v>2565</v>
      </c>
      <c r="I66" s="93"/>
      <c r="J66" s="421" t="s">
        <v>71</v>
      </c>
      <c r="K66" s="419">
        <f>'NYC Ferry'!K47</f>
        <v>2319</v>
      </c>
      <c r="L66" s="93"/>
      <c r="M66" s="421" t="s">
        <v>71</v>
      </c>
      <c r="N66" s="419">
        <f>'NYC Ferry'!K58</f>
        <v>2252</v>
      </c>
    </row>
    <row r="67" spans="1:14" ht="13.5" customHeight="1" thickBot="1" x14ac:dyDescent="0.3">
      <c r="A67" s="422"/>
      <c r="B67" s="420"/>
      <c r="C67" s="93"/>
      <c r="D67" s="422"/>
      <c r="E67" s="420"/>
      <c r="F67" s="93"/>
      <c r="G67" s="422"/>
      <c r="H67" s="420"/>
      <c r="I67" s="93"/>
      <c r="J67" s="422"/>
      <c r="K67" s="420"/>
      <c r="L67" s="93"/>
      <c r="M67" s="422"/>
      <c r="N67" s="420"/>
    </row>
    <row r="68" spans="1:14" ht="13.5" customHeight="1" x14ac:dyDescent="0.25">
      <c r="A68" s="421" t="s">
        <v>81</v>
      </c>
      <c r="B68" s="429">
        <f>SUM('NYC Ferry'!U14)</f>
        <v>342</v>
      </c>
      <c r="C68" s="93"/>
      <c r="D68" s="421" t="s">
        <v>81</v>
      </c>
      <c r="E68" s="429">
        <f>SUM('NYC Ferry'!U25)</f>
        <v>1792</v>
      </c>
      <c r="F68" s="93"/>
      <c r="G68" s="421" t="s">
        <v>81</v>
      </c>
      <c r="H68" s="419">
        <f>SUM('NYC Ferry'!U36)</f>
        <v>2070</v>
      </c>
      <c r="I68" s="93"/>
      <c r="J68" s="421" t="s">
        <v>81</v>
      </c>
      <c r="K68" s="419">
        <f>SUM('NYC Ferry'!U47)</f>
        <v>1781</v>
      </c>
      <c r="L68" s="93"/>
      <c r="M68" s="421" t="s">
        <v>81</v>
      </c>
      <c r="N68" s="419">
        <f>SUM('NYC Ferry'!U58)</f>
        <v>2080</v>
      </c>
    </row>
    <row r="69" spans="1:14" ht="13.5" customHeight="1" thickBot="1" x14ac:dyDescent="0.3">
      <c r="A69" s="422"/>
      <c r="B69" s="420"/>
      <c r="C69" s="93"/>
      <c r="D69" s="422"/>
      <c r="E69" s="420"/>
      <c r="F69" s="93"/>
      <c r="G69" s="422"/>
      <c r="H69" s="420"/>
      <c r="I69" s="93"/>
      <c r="J69" s="422"/>
      <c r="K69" s="420"/>
      <c r="L69" s="93"/>
      <c r="M69" s="422"/>
      <c r="N69" s="420"/>
    </row>
    <row r="70" spans="1:14" ht="13.5" customHeight="1" x14ac:dyDescent="0.25">
      <c r="A70" s="421" t="s">
        <v>82</v>
      </c>
      <c r="B70" s="429">
        <f>SUM('NYC Ferry'!V14)</f>
        <v>286</v>
      </c>
      <c r="C70" s="93"/>
      <c r="D70" s="421" t="s">
        <v>82</v>
      </c>
      <c r="E70" s="429">
        <f>SUM('NYC Ferry'!V25)</f>
        <v>1444</v>
      </c>
      <c r="F70" s="93"/>
      <c r="G70" s="421" t="s">
        <v>82</v>
      </c>
      <c r="H70" s="419">
        <f>SUM('NYC Ferry'!V36)</f>
        <v>1869</v>
      </c>
      <c r="I70" s="93"/>
      <c r="J70" s="421" t="s">
        <v>82</v>
      </c>
      <c r="K70" s="419">
        <f>SUM('NYC Ferry'!V47)</f>
        <v>1225</v>
      </c>
      <c r="L70" s="93"/>
      <c r="M70" s="421" t="s">
        <v>82</v>
      </c>
      <c r="N70" s="419">
        <f>SUM('NYC Ferry'!V58)</f>
        <v>1538</v>
      </c>
    </row>
    <row r="71" spans="1:14" ht="13.5" customHeight="1" thickBot="1" x14ac:dyDescent="0.3">
      <c r="A71" s="422"/>
      <c r="B71" s="420"/>
      <c r="C71" s="93"/>
      <c r="D71" s="422"/>
      <c r="E71" s="420"/>
      <c r="F71" s="93"/>
      <c r="G71" s="422"/>
      <c r="H71" s="420"/>
      <c r="I71" s="93"/>
      <c r="J71" s="422"/>
      <c r="K71" s="420"/>
      <c r="L71" s="93"/>
      <c r="M71" s="422"/>
      <c r="N71" s="420"/>
    </row>
    <row r="72" spans="1:14" ht="13.5" customHeight="1" x14ac:dyDescent="0.25">
      <c r="A72" s="431" t="s">
        <v>65</v>
      </c>
      <c r="B72" s="429">
        <f>SUM('NYC Ferry'!W14,'NYC Ferry'!Z14)</f>
        <v>585</v>
      </c>
      <c r="C72" s="93"/>
      <c r="D72" s="431" t="s">
        <v>65</v>
      </c>
      <c r="E72" s="429">
        <f>SUM(,'NYC Ferry'!W25, 'NYC Ferry'!Z25)</f>
        <v>2885</v>
      </c>
      <c r="F72" s="93"/>
      <c r="G72" s="431" t="s">
        <v>65</v>
      </c>
      <c r="H72" s="429">
        <f>SUM(,'NYC Ferry'!W36,'NYC Ferry'!Z36)</f>
        <v>3320</v>
      </c>
      <c r="I72" s="93"/>
      <c r="J72" s="431" t="s">
        <v>65</v>
      </c>
      <c r="K72" s="429">
        <f>SUM('NYC Ferry'!W47,'NYC Ferry'!Z47)</f>
        <v>2902</v>
      </c>
      <c r="L72" s="93"/>
      <c r="M72" s="431" t="s">
        <v>65</v>
      </c>
      <c r="N72" s="429">
        <f>SUM('NYC Ferry'!W58, 'NYC Ferry'!Z58)</f>
        <v>3430</v>
      </c>
    </row>
    <row r="73" spans="1:14" ht="13.5" customHeight="1" thickBot="1" x14ac:dyDescent="0.3">
      <c r="A73" s="422"/>
      <c r="B73" s="420"/>
      <c r="C73" s="93"/>
      <c r="D73" s="422"/>
      <c r="E73" s="420"/>
      <c r="F73" s="93"/>
      <c r="G73" s="422"/>
      <c r="H73" s="420"/>
      <c r="I73" s="93"/>
      <c r="J73" s="422"/>
      <c r="K73" s="420"/>
      <c r="L73" s="93"/>
      <c r="M73" s="422"/>
      <c r="N73" s="420"/>
    </row>
    <row r="74" spans="1:14" ht="13.5" customHeight="1" x14ac:dyDescent="0.25">
      <c r="A74" s="463" t="s">
        <v>19</v>
      </c>
      <c r="B74" s="450">
        <f>SUM(B20:B73)</f>
        <v>36009</v>
      </c>
      <c r="C74" s="93"/>
      <c r="D74" s="463" t="s">
        <v>19</v>
      </c>
      <c r="E74" s="450">
        <f>SUM(E20:E73)</f>
        <v>199424</v>
      </c>
      <c r="F74" s="93"/>
      <c r="G74" s="463" t="s">
        <v>19</v>
      </c>
      <c r="H74" s="450">
        <f>SUM(H20:H73)</f>
        <v>227057</v>
      </c>
      <c r="I74" s="93"/>
      <c r="J74" s="465" t="s">
        <v>19</v>
      </c>
      <c r="K74" s="450">
        <f>SUM(K20:K73)</f>
        <v>214366</v>
      </c>
      <c r="L74" s="93"/>
      <c r="M74" s="463" t="s">
        <v>19</v>
      </c>
      <c r="N74" s="450">
        <f>SUM(N20:N73)</f>
        <v>224166</v>
      </c>
    </row>
    <row r="75" spans="1:14" ht="13.5" customHeight="1" thickBot="1" x14ac:dyDescent="0.3">
      <c r="A75" s="464"/>
      <c r="B75" s="451"/>
      <c r="C75" s="93"/>
      <c r="D75" s="464"/>
      <c r="E75" s="451"/>
      <c r="F75" s="93"/>
      <c r="G75" s="464"/>
      <c r="H75" s="451"/>
      <c r="I75" s="93"/>
      <c r="J75" s="464"/>
      <c r="K75" s="451"/>
      <c r="L75" s="93"/>
      <c r="M75" s="464"/>
      <c r="N75" s="451"/>
    </row>
    <row r="76" spans="1:14" x14ac:dyDescent="0.25">
      <c r="C76" s="93"/>
      <c r="F76" s="93"/>
      <c r="I76" s="93"/>
      <c r="L76" s="93"/>
    </row>
    <row r="77" spans="1:14" x14ac:dyDescent="0.25">
      <c r="C77" s="93"/>
      <c r="F77" s="93"/>
      <c r="I77" s="93"/>
      <c r="L77" s="93"/>
    </row>
  </sheetData>
  <mergeCells count="370">
    <mergeCell ref="N48:N49"/>
    <mergeCell ref="N72:N73"/>
    <mergeCell ref="A72:A73"/>
    <mergeCell ref="D72:D73"/>
    <mergeCell ref="G72:G73"/>
    <mergeCell ref="J72:J73"/>
    <mergeCell ref="M72:M73"/>
    <mergeCell ref="K72:K73"/>
    <mergeCell ref="H72:H73"/>
    <mergeCell ref="E72:E73"/>
    <mergeCell ref="B72:B73"/>
    <mergeCell ref="A54:A55"/>
    <mergeCell ref="G52:G53"/>
    <mergeCell ref="G54:G55"/>
    <mergeCell ref="J52:J53"/>
    <mergeCell ref="J54:J55"/>
    <mergeCell ref="M52:M53"/>
    <mergeCell ref="M54:M55"/>
    <mergeCell ref="D54:D55"/>
    <mergeCell ref="B52:B53"/>
    <mergeCell ref="E52:E53"/>
    <mergeCell ref="H52:H53"/>
    <mergeCell ref="K52:K53"/>
    <mergeCell ref="H54:H55"/>
    <mergeCell ref="E54:E55"/>
    <mergeCell ref="B54:B55"/>
    <mergeCell ref="D46:D47"/>
    <mergeCell ref="E46:E47"/>
    <mergeCell ref="G46:G47"/>
    <mergeCell ref="J46:J47"/>
    <mergeCell ref="M46:M47"/>
    <mergeCell ref="H46:H47"/>
    <mergeCell ref="K46:K47"/>
    <mergeCell ref="A52:A53"/>
    <mergeCell ref="D52:D53"/>
    <mergeCell ref="A48:A49"/>
    <mergeCell ref="D48:D49"/>
    <mergeCell ref="G48:G49"/>
    <mergeCell ref="J48:J49"/>
    <mergeCell ref="M48:M49"/>
    <mergeCell ref="B48:B49"/>
    <mergeCell ref="E48:E49"/>
    <mergeCell ref="H48:H49"/>
    <mergeCell ref="K48:K49"/>
    <mergeCell ref="N54:N55"/>
    <mergeCell ref="K54:K55"/>
    <mergeCell ref="K50:K51"/>
    <mergeCell ref="N52:N53"/>
    <mergeCell ref="K56:K57"/>
    <mergeCell ref="K58:K59"/>
    <mergeCell ref="M56:M57"/>
    <mergeCell ref="M58:M59"/>
    <mergeCell ref="N56:N57"/>
    <mergeCell ref="N58:N59"/>
    <mergeCell ref="H56:H57"/>
    <mergeCell ref="H58:H59"/>
    <mergeCell ref="J56:J57"/>
    <mergeCell ref="J58:J59"/>
    <mergeCell ref="D66:D67"/>
    <mergeCell ref="E66:E67"/>
    <mergeCell ref="G66:G67"/>
    <mergeCell ref="H66:H67"/>
    <mergeCell ref="J66:J67"/>
    <mergeCell ref="A56:A57"/>
    <mergeCell ref="A58:A59"/>
    <mergeCell ref="B56:B57"/>
    <mergeCell ref="B58:B59"/>
    <mergeCell ref="D56:D57"/>
    <mergeCell ref="D58:D59"/>
    <mergeCell ref="E56:E57"/>
    <mergeCell ref="E58:E59"/>
    <mergeCell ref="G56:G57"/>
    <mergeCell ref="G58:G59"/>
    <mergeCell ref="A64:A65"/>
    <mergeCell ref="B64:B65"/>
    <mergeCell ref="D64:D65"/>
    <mergeCell ref="E64:E65"/>
    <mergeCell ref="A60:A61"/>
    <mergeCell ref="B60:B61"/>
    <mergeCell ref="D60:D61"/>
    <mergeCell ref="M14:M15"/>
    <mergeCell ref="N14:N15"/>
    <mergeCell ref="G64:G65"/>
    <mergeCell ref="H64:H65"/>
    <mergeCell ref="J64:J65"/>
    <mergeCell ref="K64:K65"/>
    <mergeCell ref="M64:M65"/>
    <mergeCell ref="N64:N65"/>
    <mergeCell ref="M50:M51"/>
    <mergeCell ref="N50:N51"/>
    <mergeCell ref="G50:G51"/>
    <mergeCell ref="H50:H51"/>
    <mergeCell ref="J50:J51"/>
    <mergeCell ref="N34:N35"/>
    <mergeCell ref="N62:N63"/>
    <mergeCell ref="N44:N45"/>
    <mergeCell ref="M38:M39"/>
    <mergeCell ref="N46:N47"/>
    <mergeCell ref="N74:N75"/>
    <mergeCell ref="A62:A63"/>
    <mergeCell ref="B62:B63"/>
    <mergeCell ref="D62:D63"/>
    <mergeCell ref="E62:E63"/>
    <mergeCell ref="G62:G63"/>
    <mergeCell ref="H62:H63"/>
    <mergeCell ref="J62:J63"/>
    <mergeCell ref="K62:K63"/>
    <mergeCell ref="M62:M63"/>
    <mergeCell ref="A74:A75"/>
    <mergeCell ref="B74:B75"/>
    <mergeCell ref="D74:D75"/>
    <mergeCell ref="E74:E75"/>
    <mergeCell ref="G74:G75"/>
    <mergeCell ref="H74:H75"/>
    <mergeCell ref="J74:J75"/>
    <mergeCell ref="K74:K75"/>
    <mergeCell ref="M74:M75"/>
    <mergeCell ref="K66:K67"/>
    <mergeCell ref="M66:M67"/>
    <mergeCell ref="N66:N67"/>
    <mergeCell ref="A66:A67"/>
    <mergeCell ref="B66:B67"/>
    <mergeCell ref="D50:D51"/>
    <mergeCell ref="E50:E51"/>
    <mergeCell ref="A46:A47"/>
    <mergeCell ref="B46:B47"/>
    <mergeCell ref="A50:A51"/>
    <mergeCell ref="B50:B51"/>
    <mergeCell ref="B6:B7"/>
    <mergeCell ref="M2:N2"/>
    <mergeCell ref="N6:N7"/>
    <mergeCell ref="N4:N5"/>
    <mergeCell ref="N8:N9"/>
    <mergeCell ref="A34:A35"/>
    <mergeCell ref="D34:D35"/>
    <mergeCell ref="G34:G35"/>
    <mergeCell ref="J34:J35"/>
    <mergeCell ref="M34:M35"/>
    <mergeCell ref="B34:B35"/>
    <mergeCell ref="E34:E35"/>
    <mergeCell ref="H34:H35"/>
    <mergeCell ref="K34:K35"/>
    <mergeCell ref="G14:G15"/>
    <mergeCell ref="H14:H15"/>
    <mergeCell ref="J14:J15"/>
    <mergeCell ref="K14:K15"/>
    <mergeCell ref="A44:A45"/>
    <mergeCell ref="B44:B45"/>
    <mergeCell ref="D44:D45"/>
    <mergeCell ref="E44:E45"/>
    <mergeCell ref="G44:G45"/>
    <mergeCell ref="H44:H45"/>
    <mergeCell ref="J44:J45"/>
    <mergeCell ref="K44:K45"/>
    <mergeCell ref="K38:K39"/>
    <mergeCell ref="A36:A37"/>
    <mergeCell ref="B36:B37"/>
    <mergeCell ref="D36:D37"/>
    <mergeCell ref="E36:E37"/>
    <mergeCell ref="G36:G37"/>
    <mergeCell ref="H36:H37"/>
    <mergeCell ref="A38:A39"/>
    <mergeCell ref="B38:B39"/>
    <mergeCell ref="D38:D39"/>
    <mergeCell ref="E38:E39"/>
    <mergeCell ref="A32:A33"/>
    <mergeCell ref="B32:B33"/>
    <mergeCell ref="D32:D33"/>
    <mergeCell ref="E32:E33"/>
    <mergeCell ref="M44:M45"/>
    <mergeCell ref="A42:A43"/>
    <mergeCell ref="B42:B43"/>
    <mergeCell ref="D42:D43"/>
    <mergeCell ref="E42:E43"/>
    <mergeCell ref="G42:G43"/>
    <mergeCell ref="G38:G39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H42:H43"/>
    <mergeCell ref="J42:J43"/>
    <mergeCell ref="K42:K43"/>
    <mergeCell ref="M42:M43"/>
    <mergeCell ref="N40:N41"/>
    <mergeCell ref="H38:H39"/>
    <mergeCell ref="J38:J39"/>
    <mergeCell ref="G32:G33"/>
    <mergeCell ref="H32:H33"/>
    <mergeCell ref="J32:J33"/>
    <mergeCell ref="K32:K33"/>
    <mergeCell ref="M32:M33"/>
    <mergeCell ref="A24:A25"/>
    <mergeCell ref="B24:B25"/>
    <mergeCell ref="D24:D25"/>
    <mergeCell ref="E24:E25"/>
    <mergeCell ref="G24:G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8:N29"/>
    <mergeCell ref="A30:A31"/>
    <mergeCell ref="B30:B31"/>
    <mergeCell ref="D30:D31"/>
    <mergeCell ref="E30:E31"/>
    <mergeCell ref="G30:G31"/>
    <mergeCell ref="H30:H31"/>
    <mergeCell ref="J30:J31"/>
    <mergeCell ref="K30:K31"/>
    <mergeCell ref="M30:M31"/>
    <mergeCell ref="N30:N31"/>
    <mergeCell ref="A28:A29"/>
    <mergeCell ref="B28:B29"/>
    <mergeCell ref="D28:D29"/>
    <mergeCell ref="E28:E29"/>
    <mergeCell ref="G28:G29"/>
    <mergeCell ref="H28:H29"/>
    <mergeCell ref="J28:J29"/>
    <mergeCell ref="K28:K29"/>
    <mergeCell ref="A20:A21"/>
    <mergeCell ref="H24:H25"/>
    <mergeCell ref="J24:J25"/>
    <mergeCell ref="K24:K25"/>
    <mergeCell ref="A19:B19"/>
    <mergeCell ref="D19:E19"/>
    <mergeCell ref="G19:H19"/>
    <mergeCell ref="J19:K19"/>
    <mergeCell ref="M19:N19"/>
    <mergeCell ref="B20:B21"/>
    <mergeCell ref="D20:D21"/>
    <mergeCell ref="E20:E21"/>
    <mergeCell ref="G20:G21"/>
    <mergeCell ref="H20:H21"/>
    <mergeCell ref="J20:J21"/>
    <mergeCell ref="K20:K21"/>
    <mergeCell ref="M20:M21"/>
    <mergeCell ref="N20:N21"/>
    <mergeCell ref="M24:M25"/>
    <mergeCell ref="N24:N25"/>
    <mergeCell ref="A22:A23"/>
    <mergeCell ref="D22:D23"/>
    <mergeCell ref="G22:G23"/>
    <mergeCell ref="B22:B23"/>
    <mergeCell ref="N12:N13"/>
    <mergeCell ref="A16:A17"/>
    <mergeCell ref="B16:B17"/>
    <mergeCell ref="D16:D17"/>
    <mergeCell ref="E16:E17"/>
    <mergeCell ref="G16:G17"/>
    <mergeCell ref="H16:H17"/>
    <mergeCell ref="K16:K17"/>
    <mergeCell ref="M16:M17"/>
    <mergeCell ref="N16:N17"/>
    <mergeCell ref="J16:J17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4:A15"/>
    <mergeCell ref="B14:B15"/>
    <mergeCell ref="D14:D15"/>
    <mergeCell ref="E14:E15"/>
    <mergeCell ref="N10:N11"/>
    <mergeCell ref="A8:A9"/>
    <mergeCell ref="B8:B9"/>
    <mergeCell ref="D8:D9"/>
    <mergeCell ref="E8:E9"/>
    <mergeCell ref="G8:G9"/>
    <mergeCell ref="H8:H9"/>
    <mergeCell ref="J8:J9"/>
    <mergeCell ref="K8:K9"/>
    <mergeCell ref="M8:M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M4:M5"/>
    <mergeCell ref="A4:A5"/>
    <mergeCell ref="B4:B5"/>
    <mergeCell ref="D4:D5"/>
    <mergeCell ref="G4:G5"/>
    <mergeCell ref="H4:H5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N70:N71"/>
    <mergeCell ref="A68:A69"/>
    <mergeCell ref="B68:B69"/>
    <mergeCell ref="D68:D69"/>
    <mergeCell ref="E68:E69"/>
    <mergeCell ref="G68:G69"/>
    <mergeCell ref="H68:H69"/>
    <mergeCell ref="J68:J69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J4:J5"/>
    <mergeCell ref="K4:K5"/>
    <mergeCell ref="A70:A71"/>
    <mergeCell ref="B70:B71"/>
    <mergeCell ref="D70:D71"/>
    <mergeCell ref="E70:E71"/>
    <mergeCell ref="G70:G71"/>
    <mergeCell ref="H70:H71"/>
    <mergeCell ref="J70:J71"/>
    <mergeCell ref="K70:K71"/>
    <mergeCell ref="M70:M71"/>
    <mergeCell ref="K68:K69"/>
    <mergeCell ref="M68:M69"/>
    <mergeCell ref="E22:E23"/>
    <mergeCell ref="H22:H23"/>
    <mergeCell ref="J22:J23"/>
    <mergeCell ref="K22:K23"/>
    <mergeCell ref="M22:M23"/>
    <mergeCell ref="N22:N23"/>
    <mergeCell ref="N68:N69"/>
    <mergeCell ref="N26:N27"/>
    <mergeCell ref="M28:M29"/>
    <mergeCell ref="N32:N33"/>
    <mergeCell ref="N38:N39"/>
    <mergeCell ref="N36:N37"/>
    <mergeCell ref="J36:J37"/>
    <mergeCell ref="K36:K37"/>
    <mergeCell ref="M36:M37"/>
    <mergeCell ref="E60:E61"/>
    <mergeCell ref="G60:G61"/>
    <mergeCell ref="H60:H61"/>
    <mergeCell ref="J60:J61"/>
    <mergeCell ref="K60:K61"/>
    <mergeCell ref="M60:M61"/>
    <mergeCell ref="N60:N6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8:N19 A16 C16:D16 F16:G16 I16:J16 L16:M16 A37 L36 A39 C38 L38 A41 A40 L40 A43 A42 L42 A45 C44 L44 A21 A20 L20:M20 A27:A31 L26:M26 A61 A60 A75:D75 A62 C20:D20 C26:D26 C36 E37:F37 E39:F39 F38 E41:F41 F40 E43:F43 F42 E45:F45 F44 A35 E35:F35 F36 H37:I37 H39:I39 I38 H41:I41 I40 H43:I43 I42 H45:I45 I44 H35:I35 I36 K37:L37 K39:L39 K41:L41 K43:L43 K45:L45 K35:L35 N37 N39 N41 N43 N45 N35 C40 C42 C60:D60 C62:D62 F20:G20 F26:G26 F60:G60 F62:G62 I20:J20 I26:J26 I60:J60 I62:J62 L60:M60 L62:M62 A63 I63:N63 A17 I17:N17 I75:J75 A25 A24 C24:D24 F24:G24 I24:J24 L24:M24 C17:G17 A74 C74:D74 F74:G74 I74:J74 L74:M74 C37 C39 C41 C43 C45 C21:N21 C27:N27 C61 C34:C35 C63:G63 C25:N25 C29:N29 C28:D28 F28:G28 C31:N31 C30:D30 F30:G30 I30:N30 F75:G75 L75:M75 L28:M28 I28:J28 E61:N61 F34 I34 L34 A33 C32:C33 E33:F33 H33:I33 K33:L33 N33 F32 I32 L32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38" bestFit="1" customWidth="1"/>
    <col min="3" max="3" width="15.7109375" style="11" customWidth="1"/>
    <col min="4" max="5" width="18.7109375" style="11" bestFit="1" customWidth="1"/>
    <col min="6" max="6" width="18.5703125" style="11" bestFit="1" customWidth="1"/>
    <col min="7" max="16384" width="9.140625" style="11"/>
  </cols>
  <sheetData>
    <row r="1" spans="1:6" ht="14.25" customHeight="1" x14ac:dyDescent="0.25">
      <c r="A1" s="27"/>
      <c r="B1" s="175"/>
      <c r="C1" s="512" t="s">
        <v>69</v>
      </c>
      <c r="D1" s="512" t="s">
        <v>8</v>
      </c>
      <c r="E1" s="552" t="s">
        <v>19</v>
      </c>
    </row>
    <row r="2" spans="1:6" ht="14.25" customHeight="1" thickBot="1" x14ac:dyDescent="0.3">
      <c r="A2" s="28"/>
      <c r="B2" s="176"/>
      <c r="C2" s="513"/>
      <c r="D2" s="513"/>
      <c r="E2" s="553"/>
    </row>
    <row r="3" spans="1:6" ht="14.25" customHeight="1" x14ac:dyDescent="0.25">
      <c r="A3" s="481" t="s">
        <v>52</v>
      </c>
      <c r="B3" s="509" t="s">
        <v>53</v>
      </c>
      <c r="C3" s="555" t="s">
        <v>66</v>
      </c>
      <c r="D3" s="555" t="s">
        <v>8</v>
      </c>
      <c r="E3" s="553"/>
    </row>
    <row r="4" spans="1:6" ht="15" customHeight="1" thickBot="1" x14ac:dyDescent="0.3">
      <c r="A4" s="518"/>
      <c r="B4" s="511"/>
      <c r="C4" s="556"/>
      <c r="D4" s="556"/>
      <c r="E4" s="553"/>
    </row>
    <row r="5" spans="1:6" s="50" customFormat="1" ht="14.25" thickBot="1" x14ac:dyDescent="0.3">
      <c r="A5" s="29" t="s">
        <v>3</v>
      </c>
      <c r="B5" s="177">
        <v>42856</v>
      </c>
      <c r="C5" s="12"/>
      <c r="D5" s="19"/>
      <c r="E5" s="18">
        <f t="shared" ref="E5:E11" si="0">SUM(C5:D5)</f>
        <v>0</v>
      </c>
    </row>
    <row r="6" spans="1:6" s="50" customFormat="1" ht="14.25" thickBot="1" x14ac:dyDescent="0.3">
      <c r="A6" s="29" t="s">
        <v>4</v>
      </c>
      <c r="B6" s="192">
        <v>42948</v>
      </c>
      <c r="C6" s="12"/>
      <c r="D6" s="19"/>
      <c r="E6" s="18">
        <f t="shared" si="0"/>
        <v>0</v>
      </c>
    </row>
    <row r="7" spans="1:6" s="50" customFormat="1" ht="14.25" thickBot="1" x14ac:dyDescent="0.3">
      <c r="A7" s="29" t="s">
        <v>5</v>
      </c>
      <c r="B7" s="192">
        <f>B6+1</f>
        <v>42949</v>
      </c>
      <c r="C7" s="12"/>
      <c r="D7" s="19"/>
      <c r="E7" s="18">
        <f t="shared" si="0"/>
        <v>0</v>
      </c>
    </row>
    <row r="8" spans="1:6" s="50" customFormat="1" ht="14.25" thickBot="1" x14ac:dyDescent="0.3">
      <c r="A8" s="29" t="s">
        <v>6</v>
      </c>
      <c r="B8" s="192">
        <f>B7+1</f>
        <v>42950</v>
      </c>
      <c r="C8" s="12"/>
      <c r="D8" s="19"/>
      <c r="E8" s="18">
        <f t="shared" si="0"/>
        <v>0</v>
      </c>
      <c r="F8" s="156"/>
    </row>
    <row r="9" spans="1:6" s="50" customFormat="1" ht="14.25" thickBot="1" x14ac:dyDescent="0.3">
      <c r="A9" s="29" t="s">
        <v>0</v>
      </c>
      <c r="B9" s="192">
        <f>B8+1</f>
        <v>42951</v>
      </c>
      <c r="C9" s="12"/>
      <c r="D9" s="19"/>
      <c r="E9" s="18">
        <f t="shared" si="0"/>
        <v>0</v>
      </c>
      <c r="F9" s="156"/>
    </row>
    <row r="10" spans="1:6" s="50" customFormat="1" ht="14.25" customHeight="1" outlineLevel="1" thickBot="1" x14ac:dyDescent="0.3">
      <c r="A10" s="29" t="s">
        <v>1</v>
      </c>
      <c r="B10" s="192">
        <f>B9+1</f>
        <v>42952</v>
      </c>
      <c r="C10" s="19"/>
      <c r="D10" s="19"/>
      <c r="E10" s="18">
        <f t="shared" si="0"/>
        <v>0</v>
      </c>
      <c r="F10" s="156"/>
    </row>
    <row r="11" spans="1:6" s="50" customFormat="1" ht="15" customHeight="1" outlineLevel="1" thickBot="1" x14ac:dyDescent="0.3">
      <c r="A11" s="29" t="s">
        <v>2</v>
      </c>
      <c r="B11" s="192">
        <f>B10+1</f>
        <v>42953</v>
      </c>
      <c r="C11" s="23"/>
      <c r="D11" s="23"/>
      <c r="E11" s="18">
        <f t="shared" si="0"/>
        <v>0</v>
      </c>
      <c r="F11" s="156"/>
    </row>
    <row r="12" spans="1:6" s="51" customFormat="1" ht="15" customHeight="1" outlineLevel="1" thickBot="1" x14ac:dyDescent="0.3">
      <c r="A12" s="164" t="s">
        <v>21</v>
      </c>
      <c r="B12" s="503" t="s">
        <v>24</v>
      </c>
      <c r="C12" s="119">
        <f>SUM(C5:C11)</f>
        <v>0</v>
      </c>
      <c r="D12" s="119">
        <f>SUM(D5:D11)</f>
        <v>0</v>
      </c>
      <c r="E12" s="122">
        <f>SUM(E5:E11)</f>
        <v>0</v>
      </c>
    </row>
    <row r="13" spans="1:6" s="51" customFormat="1" ht="15" customHeight="1" outlineLevel="1" thickBot="1" x14ac:dyDescent="0.3">
      <c r="A13" s="114" t="s">
        <v>23</v>
      </c>
      <c r="B13" s="504"/>
      <c r="C13" s="115" t="e">
        <f>AVERAGE(C5:C11)</f>
        <v>#DIV/0!</v>
      </c>
      <c r="D13" s="115" t="e">
        <f>AVERAGE(D5:D11)</f>
        <v>#DIV/0!</v>
      </c>
      <c r="E13" s="118">
        <f>AVERAGE(E5:E11)</f>
        <v>0</v>
      </c>
    </row>
    <row r="14" spans="1:6" s="51" customFormat="1" ht="15" customHeight="1" thickBot="1" x14ac:dyDescent="0.3">
      <c r="A14" s="30" t="s">
        <v>20</v>
      </c>
      <c r="B14" s="504"/>
      <c r="C14" s="31">
        <f>SUM(C5:C9)</f>
        <v>0</v>
      </c>
      <c r="D14" s="31">
        <f>SUM(D5:D9)</f>
        <v>0</v>
      </c>
      <c r="E14" s="31">
        <f>SUM(E5:E9)</f>
        <v>0</v>
      </c>
    </row>
    <row r="15" spans="1:6" s="51" customFormat="1" ht="15" customHeight="1" thickBot="1" x14ac:dyDescent="0.3">
      <c r="A15" s="30" t="s">
        <v>22</v>
      </c>
      <c r="B15" s="504"/>
      <c r="C15" s="35" t="e">
        <f>AVERAGE(C5:C9)</f>
        <v>#DIV/0!</v>
      </c>
      <c r="D15" s="35" t="e">
        <f>AVERAGE(D5:D9)</f>
        <v>#DIV/0!</v>
      </c>
      <c r="E15" s="35">
        <f>AVERAGE(E5:E9)</f>
        <v>0</v>
      </c>
    </row>
    <row r="16" spans="1:6" s="51" customFormat="1" ht="15" customHeight="1" thickBot="1" x14ac:dyDescent="0.3">
      <c r="A16" s="29" t="s">
        <v>3</v>
      </c>
      <c r="B16" s="177">
        <f>B11+1</f>
        <v>42954</v>
      </c>
      <c r="C16" s="12"/>
      <c r="D16" s="13"/>
      <c r="E16" s="16">
        <f t="shared" ref="E16:E22" si="1">SUM(C16:D16)</f>
        <v>0</v>
      </c>
    </row>
    <row r="17" spans="1:6" s="51" customFormat="1" ht="15" customHeight="1" thickBot="1" x14ac:dyDescent="0.3">
      <c r="A17" s="29" t="s">
        <v>4</v>
      </c>
      <c r="B17" s="178">
        <f t="shared" ref="B17:B22" si="2">B16+1</f>
        <v>42955</v>
      </c>
      <c r="C17" s="12"/>
      <c r="D17" s="20"/>
      <c r="E17" s="18">
        <f t="shared" si="1"/>
        <v>0</v>
      </c>
    </row>
    <row r="18" spans="1:6" s="51" customFormat="1" ht="15" customHeight="1" thickBot="1" x14ac:dyDescent="0.3">
      <c r="A18" s="29" t="s">
        <v>5</v>
      </c>
      <c r="B18" s="178">
        <f t="shared" si="2"/>
        <v>42956</v>
      </c>
      <c r="C18" s="12"/>
      <c r="D18" s="20"/>
      <c r="E18" s="18">
        <f t="shared" si="1"/>
        <v>0</v>
      </c>
    </row>
    <row r="19" spans="1:6" s="51" customFormat="1" ht="15" customHeight="1" thickBot="1" x14ac:dyDescent="0.3">
      <c r="A19" s="29" t="s">
        <v>6</v>
      </c>
      <c r="B19" s="179">
        <f t="shared" si="2"/>
        <v>42957</v>
      </c>
      <c r="C19" s="12"/>
      <c r="D19" s="20"/>
      <c r="E19" s="18">
        <f t="shared" si="1"/>
        <v>0</v>
      </c>
    </row>
    <row r="20" spans="1:6" s="51" customFormat="1" ht="15" customHeight="1" thickBot="1" x14ac:dyDescent="0.3">
      <c r="A20" s="29" t="s">
        <v>0</v>
      </c>
      <c r="B20" s="179">
        <f t="shared" si="2"/>
        <v>42958</v>
      </c>
      <c r="C20" s="12"/>
      <c r="D20" s="20"/>
      <c r="E20" s="18">
        <f t="shared" si="1"/>
        <v>0</v>
      </c>
    </row>
    <row r="21" spans="1:6" s="51" customFormat="1" ht="15" customHeight="1" outlineLevel="1" thickBot="1" x14ac:dyDescent="0.3">
      <c r="A21" s="29" t="s">
        <v>1</v>
      </c>
      <c r="B21" s="192">
        <f t="shared" si="2"/>
        <v>42959</v>
      </c>
      <c r="C21" s="19"/>
      <c r="D21" s="20"/>
      <c r="E21" s="18">
        <f t="shared" si="1"/>
        <v>0</v>
      </c>
      <c r="F21" s="159"/>
    </row>
    <row r="22" spans="1:6" s="51" customFormat="1" ht="15" customHeight="1" outlineLevel="1" thickBot="1" x14ac:dyDescent="0.3">
      <c r="A22" s="29" t="s">
        <v>2</v>
      </c>
      <c r="B22" s="178">
        <f t="shared" si="2"/>
        <v>42960</v>
      </c>
      <c r="C22" s="23"/>
      <c r="D22" s="24"/>
      <c r="E22" s="70">
        <f t="shared" si="1"/>
        <v>0</v>
      </c>
    </row>
    <row r="23" spans="1:6" s="51" customFormat="1" ht="15" customHeight="1" outlineLevel="1" thickBot="1" x14ac:dyDescent="0.3">
      <c r="A23" s="164" t="s">
        <v>21</v>
      </c>
      <c r="B23" s="503" t="s">
        <v>25</v>
      </c>
      <c r="C23" s="119">
        <f>SUM(C16:C22)</f>
        <v>0</v>
      </c>
      <c r="D23" s="119">
        <f>SUM(D16:D22)</f>
        <v>0</v>
      </c>
      <c r="E23" s="119">
        <f>SUM(E16:E22)</f>
        <v>0</v>
      </c>
    </row>
    <row r="24" spans="1:6" s="51" customFormat="1" ht="15" customHeight="1" outlineLevel="1" thickBot="1" x14ac:dyDescent="0.3">
      <c r="A24" s="114" t="s">
        <v>23</v>
      </c>
      <c r="B24" s="504"/>
      <c r="C24" s="115" t="e">
        <f>AVERAGE(C16:C22)</f>
        <v>#DIV/0!</v>
      </c>
      <c r="D24" s="115" t="e">
        <f>AVERAGE(D16:D22)</f>
        <v>#DIV/0!</v>
      </c>
      <c r="E24" s="115">
        <f>AVERAGE(E16:E22)</f>
        <v>0</v>
      </c>
    </row>
    <row r="25" spans="1:6" s="51" customFormat="1" ht="15" customHeight="1" thickBot="1" x14ac:dyDescent="0.3">
      <c r="A25" s="30" t="s">
        <v>20</v>
      </c>
      <c r="B25" s="504"/>
      <c r="C25" s="31">
        <f>SUM(C16:C20)</f>
        <v>0</v>
      </c>
      <c r="D25" s="31">
        <f>SUM(D16:D20)</f>
        <v>0</v>
      </c>
      <c r="E25" s="31">
        <f>SUM(E16:E20)</f>
        <v>0</v>
      </c>
    </row>
    <row r="26" spans="1:6" s="51" customFormat="1" ht="15" customHeight="1" thickBot="1" x14ac:dyDescent="0.3">
      <c r="A26" s="30" t="s">
        <v>22</v>
      </c>
      <c r="B26" s="505"/>
      <c r="C26" s="35" t="e">
        <f>AVERAGE(C16:C20)</f>
        <v>#DIV/0!</v>
      </c>
      <c r="D26" s="35" t="e">
        <f>AVERAGE(D16:D20)</f>
        <v>#DIV/0!</v>
      </c>
      <c r="E26" s="35">
        <f>AVERAGE(E16:E20)</f>
        <v>0</v>
      </c>
    </row>
    <row r="27" spans="1:6" s="51" customFormat="1" ht="15" customHeight="1" thickBot="1" x14ac:dyDescent="0.3">
      <c r="A27" s="29" t="s">
        <v>3</v>
      </c>
      <c r="B27" s="180">
        <f>B22+1</f>
        <v>42961</v>
      </c>
      <c r="C27" s="12"/>
      <c r="D27" s="12"/>
      <c r="E27" s="16">
        <f t="shared" ref="E27:E33" si="3">SUM(C27:D27)</f>
        <v>0</v>
      </c>
    </row>
    <row r="28" spans="1:6" s="51" customFormat="1" ht="15" customHeight="1" thickBot="1" x14ac:dyDescent="0.3">
      <c r="A28" s="29" t="s">
        <v>4</v>
      </c>
      <c r="B28" s="181">
        <f t="shared" ref="B28:B33" si="4">B27+1</f>
        <v>42962</v>
      </c>
      <c r="C28" s="12"/>
      <c r="D28" s="19"/>
      <c r="E28" s="18">
        <f t="shared" si="3"/>
        <v>0</v>
      </c>
    </row>
    <row r="29" spans="1:6" s="51" customFormat="1" ht="15" customHeight="1" thickBot="1" x14ac:dyDescent="0.3">
      <c r="A29" s="29" t="s">
        <v>5</v>
      </c>
      <c r="B29" s="181">
        <f t="shared" si="4"/>
        <v>42963</v>
      </c>
      <c r="C29" s="12"/>
      <c r="D29" s="19"/>
      <c r="E29" s="18">
        <f t="shared" si="3"/>
        <v>0</v>
      </c>
    </row>
    <row r="30" spans="1:6" s="51" customFormat="1" ht="15" customHeight="1" thickBot="1" x14ac:dyDescent="0.3">
      <c r="A30" s="29" t="s">
        <v>6</v>
      </c>
      <c r="B30" s="181">
        <f t="shared" si="4"/>
        <v>42964</v>
      </c>
      <c r="C30" s="12"/>
      <c r="D30" s="19"/>
      <c r="E30" s="18">
        <f t="shared" si="3"/>
        <v>0</v>
      </c>
    </row>
    <row r="31" spans="1:6" s="51" customFormat="1" ht="15" customHeight="1" thickBot="1" x14ac:dyDescent="0.3">
      <c r="A31" s="29" t="s">
        <v>0</v>
      </c>
      <c r="B31" s="181">
        <f t="shared" si="4"/>
        <v>42965</v>
      </c>
      <c r="C31" s="12"/>
      <c r="D31" s="19"/>
      <c r="E31" s="18">
        <f t="shared" si="3"/>
        <v>0</v>
      </c>
    </row>
    <row r="32" spans="1:6" s="51" customFormat="1" ht="15" customHeight="1" outlineLevel="1" thickBot="1" x14ac:dyDescent="0.3">
      <c r="A32" s="29" t="s">
        <v>1</v>
      </c>
      <c r="B32" s="181">
        <f t="shared" si="4"/>
        <v>42966</v>
      </c>
      <c r="C32" s="19"/>
      <c r="D32" s="19"/>
      <c r="E32" s="18">
        <f t="shared" si="3"/>
        <v>0</v>
      </c>
    </row>
    <row r="33" spans="1:6" s="51" customFormat="1" ht="15" customHeight="1" outlineLevel="1" thickBot="1" x14ac:dyDescent="0.3">
      <c r="A33" s="29" t="s">
        <v>2</v>
      </c>
      <c r="B33" s="181">
        <f t="shared" si="4"/>
        <v>42967</v>
      </c>
      <c r="C33" s="23"/>
      <c r="D33" s="23"/>
      <c r="E33" s="70">
        <f t="shared" si="3"/>
        <v>0</v>
      </c>
      <c r="F33" s="159"/>
    </row>
    <row r="34" spans="1:6" s="51" customFormat="1" ht="15" customHeight="1" outlineLevel="1" thickBot="1" x14ac:dyDescent="0.3">
      <c r="A34" s="164" t="s">
        <v>21</v>
      </c>
      <c r="B34" s="503" t="s">
        <v>26</v>
      </c>
      <c r="C34" s="119">
        <f>SUM(C27:C33)</f>
        <v>0</v>
      </c>
      <c r="D34" s="119">
        <f>SUM(D27:D33)</f>
        <v>0</v>
      </c>
      <c r="E34" s="119">
        <f>SUM(E27:E33)</f>
        <v>0</v>
      </c>
    </row>
    <row r="35" spans="1:6" s="51" customFormat="1" ht="15" customHeight="1" outlineLevel="1" thickBot="1" x14ac:dyDescent="0.3">
      <c r="A35" s="114" t="s">
        <v>23</v>
      </c>
      <c r="B35" s="504"/>
      <c r="C35" s="115" t="e">
        <f>AVERAGE(C27:C33)</f>
        <v>#DIV/0!</v>
      </c>
      <c r="D35" s="115" t="e">
        <f>AVERAGE(D27:D33)</f>
        <v>#DIV/0!</v>
      </c>
      <c r="E35" s="115">
        <f>AVERAGE(E27:E33)</f>
        <v>0</v>
      </c>
    </row>
    <row r="36" spans="1:6" s="51" customFormat="1" ht="15" customHeight="1" thickBot="1" x14ac:dyDescent="0.3">
      <c r="A36" s="30" t="s">
        <v>20</v>
      </c>
      <c r="B36" s="504"/>
      <c r="C36" s="31">
        <f>SUM(C27:C31)</f>
        <v>0</v>
      </c>
      <c r="D36" s="31">
        <f>SUM(D27:D31)</f>
        <v>0</v>
      </c>
      <c r="E36" s="31">
        <f>SUM(E27:E31)</f>
        <v>0</v>
      </c>
    </row>
    <row r="37" spans="1:6" s="51" customFormat="1" ht="15" customHeight="1" thickBot="1" x14ac:dyDescent="0.3">
      <c r="A37" s="30" t="s">
        <v>22</v>
      </c>
      <c r="B37" s="505"/>
      <c r="C37" s="35" t="e">
        <f>AVERAGE(C27:C31)</f>
        <v>#DIV/0!</v>
      </c>
      <c r="D37" s="35" t="e">
        <f>AVERAGE(D27:D31)</f>
        <v>#DIV/0!</v>
      </c>
      <c r="E37" s="35">
        <f>AVERAGE(E27:E31)</f>
        <v>0</v>
      </c>
    </row>
    <row r="38" spans="1:6" s="51" customFormat="1" ht="15" customHeight="1" thickBot="1" x14ac:dyDescent="0.3">
      <c r="A38" s="29" t="s">
        <v>3</v>
      </c>
      <c r="B38" s="182">
        <f>B33+1</f>
        <v>42968</v>
      </c>
      <c r="C38" s="12"/>
      <c r="D38" s="12"/>
      <c r="E38" s="16">
        <f t="shared" ref="E38:E44" si="5">SUM(C38:D38)</f>
        <v>0</v>
      </c>
      <c r="F38" s="159"/>
    </row>
    <row r="39" spans="1:6" s="51" customFormat="1" ht="15" customHeight="1" thickBot="1" x14ac:dyDescent="0.3">
      <c r="A39" s="29" t="s">
        <v>4</v>
      </c>
      <c r="B39" s="183">
        <f t="shared" ref="B39:B44" si="6">B38+1</f>
        <v>42969</v>
      </c>
      <c r="C39" s="12"/>
      <c r="D39" s="19"/>
      <c r="E39" s="18">
        <f t="shared" si="5"/>
        <v>0</v>
      </c>
      <c r="F39" s="159"/>
    </row>
    <row r="40" spans="1:6" s="51" customFormat="1" ht="15" customHeight="1" thickBot="1" x14ac:dyDescent="0.3">
      <c r="A40" s="29" t="s">
        <v>5</v>
      </c>
      <c r="B40" s="183">
        <f t="shared" si="6"/>
        <v>42970</v>
      </c>
      <c r="C40" s="12"/>
      <c r="D40" s="19"/>
      <c r="E40" s="18">
        <f t="shared" si="5"/>
        <v>0</v>
      </c>
      <c r="F40" s="159"/>
    </row>
    <row r="41" spans="1:6" s="51" customFormat="1" ht="15" customHeight="1" thickBot="1" x14ac:dyDescent="0.3">
      <c r="A41" s="29" t="s">
        <v>6</v>
      </c>
      <c r="B41" s="183">
        <f t="shared" si="6"/>
        <v>42971</v>
      </c>
      <c r="C41" s="12"/>
      <c r="D41" s="19"/>
      <c r="E41" s="18">
        <f t="shared" si="5"/>
        <v>0</v>
      </c>
      <c r="F41" s="159"/>
    </row>
    <row r="42" spans="1:6" s="51" customFormat="1" ht="15" customHeight="1" thickBot="1" x14ac:dyDescent="0.3">
      <c r="A42" s="29" t="s">
        <v>0</v>
      </c>
      <c r="B42" s="183">
        <f t="shared" si="6"/>
        <v>42972</v>
      </c>
      <c r="C42" s="12"/>
      <c r="D42" s="19"/>
      <c r="E42" s="18">
        <f t="shared" si="5"/>
        <v>0</v>
      </c>
      <c r="F42" s="159"/>
    </row>
    <row r="43" spans="1:6" s="51" customFormat="1" ht="15" customHeight="1" outlineLevel="1" thickBot="1" x14ac:dyDescent="0.3">
      <c r="A43" s="29" t="s">
        <v>1</v>
      </c>
      <c r="B43" s="183">
        <f t="shared" si="6"/>
        <v>42973</v>
      </c>
      <c r="C43" s="19"/>
      <c r="D43" s="19"/>
      <c r="E43" s="18">
        <f t="shared" si="5"/>
        <v>0</v>
      </c>
      <c r="F43" s="159"/>
    </row>
    <row r="44" spans="1:6" s="51" customFormat="1" ht="15" customHeight="1" outlineLevel="1" thickBot="1" x14ac:dyDescent="0.3">
      <c r="A44" s="29" t="s">
        <v>2</v>
      </c>
      <c r="B44" s="183">
        <f t="shared" si="6"/>
        <v>42974</v>
      </c>
      <c r="C44" s="23"/>
      <c r="D44" s="23"/>
      <c r="E44" s="70">
        <f t="shared" si="5"/>
        <v>0</v>
      </c>
      <c r="F44" s="159"/>
    </row>
    <row r="45" spans="1:6" s="51" customFormat="1" ht="15" customHeight="1" outlineLevel="1" thickBot="1" x14ac:dyDescent="0.3">
      <c r="A45" s="164" t="s">
        <v>21</v>
      </c>
      <c r="B45" s="503" t="s">
        <v>27</v>
      </c>
      <c r="C45" s="119">
        <f>SUM(C38:C44)</f>
        <v>0</v>
      </c>
      <c r="D45" s="119">
        <f>SUM(D38:D44)</f>
        <v>0</v>
      </c>
      <c r="E45" s="119">
        <f>SUM(E38:E44)</f>
        <v>0</v>
      </c>
    </row>
    <row r="46" spans="1:6" s="51" customFormat="1" ht="15" customHeight="1" outlineLevel="1" thickBot="1" x14ac:dyDescent="0.3">
      <c r="A46" s="114" t="s">
        <v>23</v>
      </c>
      <c r="B46" s="504"/>
      <c r="C46" s="115" t="e">
        <f>AVERAGE(C38:C44)</f>
        <v>#DIV/0!</v>
      </c>
      <c r="D46" s="115" t="e">
        <f>AVERAGE(D38:D44)</f>
        <v>#DIV/0!</v>
      </c>
      <c r="E46" s="115">
        <f>AVERAGE(E38:E44)</f>
        <v>0</v>
      </c>
    </row>
    <row r="47" spans="1:6" s="51" customFormat="1" ht="15" customHeight="1" thickBot="1" x14ac:dyDescent="0.3">
      <c r="A47" s="30" t="s">
        <v>20</v>
      </c>
      <c r="B47" s="504"/>
      <c r="C47" s="31">
        <f>SUM(C38:C42)</f>
        <v>0</v>
      </c>
      <c r="D47" s="31">
        <f>SUM(D38:D42)</f>
        <v>0</v>
      </c>
      <c r="E47" s="31">
        <f>SUM(E38:E42)</f>
        <v>0</v>
      </c>
    </row>
    <row r="48" spans="1:6" s="51" customFormat="1" ht="15" customHeight="1" thickBot="1" x14ac:dyDescent="0.3">
      <c r="A48" s="30" t="s">
        <v>22</v>
      </c>
      <c r="B48" s="505"/>
      <c r="C48" s="35" t="e">
        <f>AVERAGE(C38:C42)</f>
        <v>#DIV/0!</v>
      </c>
      <c r="D48" s="35" t="e">
        <f>AVERAGE(D38:D42)</f>
        <v>#DIV/0!</v>
      </c>
      <c r="E48" s="35">
        <f>AVERAGE(E38:E42)</f>
        <v>0</v>
      </c>
    </row>
    <row r="49" spans="1:6" s="51" customFormat="1" ht="15" customHeight="1" thickBot="1" x14ac:dyDescent="0.3">
      <c r="A49" s="29" t="s">
        <v>3</v>
      </c>
      <c r="B49" s="182">
        <f>B44+1</f>
        <v>42975</v>
      </c>
      <c r="C49" s="55"/>
      <c r="D49" s="58"/>
      <c r="E49" s="18">
        <f t="shared" ref="E49:E55" si="7">SUM(C49:D49)</f>
        <v>0</v>
      </c>
      <c r="F49" s="159"/>
    </row>
    <row r="50" spans="1:6" s="51" customFormat="1" ht="15" customHeight="1" thickBot="1" x14ac:dyDescent="0.3">
      <c r="A50" s="155" t="s">
        <v>4</v>
      </c>
      <c r="B50" s="183">
        <f t="shared" ref="B50:B55" si="8">B49+1</f>
        <v>42976</v>
      </c>
      <c r="C50" s="12"/>
      <c r="D50" s="15"/>
      <c r="E50" s="18">
        <f t="shared" si="7"/>
        <v>0</v>
      </c>
      <c r="F50" s="159"/>
    </row>
    <row r="51" spans="1:6" s="51" customFormat="1" ht="13.5" customHeight="1" thickBot="1" x14ac:dyDescent="0.3">
      <c r="A51" s="155" t="s">
        <v>5</v>
      </c>
      <c r="B51" s="183">
        <f t="shared" si="8"/>
        <v>42977</v>
      </c>
      <c r="C51" s="12"/>
      <c r="D51" s="15"/>
      <c r="E51" s="18">
        <f t="shared" si="7"/>
        <v>0</v>
      </c>
      <c r="F51" s="159"/>
    </row>
    <row r="52" spans="1:6" s="51" customFormat="1" ht="15" customHeight="1" thickBot="1" x14ac:dyDescent="0.3">
      <c r="A52" s="155" t="s">
        <v>6</v>
      </c>
      <c r="B52" s="183">
        <f t="shared" si="8"/>
        <v>42978</v>
      </c>
      <c r="C52" s="12"/>
      <c r="D52" s="15"/>
      <c r="E52" s="18">
        <f t="shared" si="7"/>
        <v>0</v>
      </c>
      <c r="F52" s="159"/>
    </row>
    <row r="53" spans="1:6" s="51" customFormat="1" ht="14.25" thickBot="1" x14ac:dyDescent="0.3">
      <c r="A53" s="29" t="s">
        <v>0</v>
      </c>
      <c r="B53" s="185">
        <f t="shared" si="8"/>
        <v>42979</v>
      </c>
      <c r="C53" s="12"/>
      <c r="D53" s="15"/>
      <c r="E53" s="18">
        <f t="shared" si="7"/>
        <v>0</v>
      </c>
      <c r="F53" s="159"/>
    </row>
    <row r="54" spans="1:6" s="51" customFormat="1" ht="14.25" outlineLevel="1" thickBot="1" x14ac:dyDescent="0.3">
      <c r="A54" s="29" t="s">
        <v>1</v>
      </c>
      <c r="B54" s="185">
        <f t="shared" si="8"/>
        <v>42980</v>
      </c>
      <c r="C54" s="19"/>
      <c r="D54" s="19"/>
      <c r="E54" s="18">
        <f t="shared" si="7"/>
        <v>0</v>
      </c>
      <c r="F54" s="159"/>
    </row>
    <row r="55" spans="1:6" s="51" customFormat="1" ht="14.25" outlineLevel="1" thickBot="1" x14ac:dyDescent="0.3">
      <c r="A55" s="155" t="s">
        <v>2</v>
      </c>
      <c r="B55" s="185">
        <f t="shared" si="8"/>
        <v>42981</v>
      </c>
      <c r="C55" s="23"/>
      <c r="D55" s="23"/>
      <c r="E55" s="18">
        <f t="shared" si="7"/>
        <v>0</v>
      </c>
    </row>
    <row r="56" spans="1:6" s="51" customFormat="1" ht="15" customHeight="1" outlineLevel="1" thickBot="1" x14ac:dyDescent="0.3">
      <c r="A56" s="164" t="s">
        <v>21</v>
      </c>
      <c r="B56" s="503" t="s">
        <v>28</v>
      </c>
      <c r="C56" s="119">
        <f>SUM(C49:C55)</f>
        <v>0</v>
      </c>
      <c r="D56" s="119">
        <f>SUM(D49:D55)</f>
        <v>0</v>
      </c>
      <c r="E56" s="122">
        <f>SUM(E49:E55)</f>
        <v>0</v>
      </c>
    </row>
    <row r="57" spans="1:6" s="51" customFormat="1" ht="15" customHeight="1" outlineLevel="1" thickBot="1" x14ac:dyDescent="0.3">
      <c r="A57" s="114" t="s">
        <v>23</v>
      </c>
      <c r="B57" s="504"/>
      <c r="C57" s="115" t="e">
        <f>AVERAGE(C49:C55)</f>
        <v>#DIV/0!</v>
      </c>
      <c r="D57" s="115" t="e">
        <f>AVERAGE(D49:D55)</f>
        <v>#DIV/0!</v>
      </c>
      <c r="E57" s="118">
        <f>AVERAGE(E49:E55)</f>
        <v>0</v>
      </c>
    </row>
    <row r="58" spans="1:6" s="51" customFormat="1" ht="15" customHeight="1" thickBot="1" x14ac:dyDescent="0.3">
      <c r="A58" s="30" t="s">
        <v>20</v>
      </c>
      <c r="B58" s="504"/>
      <c r="C58" s="31">
        <f>SUM(C49:C53)</f>
        <v>0</v>
      </c>
      <c r="D58" s="31">
        <f>SUM(D49:D53)</f>
        <v>0</v>
      </c>
      <c r="E58" s="31">
        <f>SUM(E49:E53)</f>
        <v>0</v>
      </c>
    </row>
    <row r="59" spans="1:6" s="51" customFormat="1" ht="14.25" thickBot="1" x14ac:dyDescent="0.3">
      <c r="A59" s="30" t="s">
        <v>22</v>
      </c>
      <c r="B59" s="505"/>
      <c r="C59" s="35" t="e">
        <f>AVERAGE(C49:C53)</f>
        <v>#DIV/0!</v>
      </c>
      <c r="D59" s="35" t="e">
        <f>AVERAGE(D49:D53)</f>
        <v>#DIV/0!</v>
      </c>
      <c r="E59" s="35">
        <f>AVERAGE(E49:E53)</f>
        <v>0</v>
      </c>
    </row>
    <row r="60" spans="1:6" s="51" customFormat="1" ht="14.25" thickBot="1" x14ac:dyDescent="0.3">
      <c r="A60" s="155" t="s">
        <v>3</v>
      </c>
      <c r="B60" s="182">
        <f>B55+1</f>
        <v>42982</v>
      </c>
      <c r="C60" s="12"/>
      <c r="D60" s="12"/>
      <c r="E60" s="18">
        <f>SUM(C60:D60)</f>
        <v>0</v>
      </c>
    </row>
    <row r="61" spans="1:6" s="51" customFormat="1" ht="14.25" thickBot="1" x14ac:dyDescent="0.3">
      <c r="A61" s="155" t="s">
        <v>4</v>
      </c>
      <c r="B61" s="183">
        <f>B60+1</f>
        <v>42983</v>
      </c>
      <c r="C61" s="12"/>
      <c r="D61" s="19"/>
      <c r="E61" s="18"/>
    </row>
    <row r="62" spans="1:6" s="51" customFormat="1" ht="14.25" thickBot="1" x14ac:dyDescent="0.3">
      <c r="A62" s="155"/>
      <c r="B62" s="184"/>
      <c r="C62" s="12"/>
      <c r="D62" s="19"/>
      <c r="E62" s="18"/>
    </row>
    <row r="63" spans="1:6" s="51" customFormat="1" ht="14.25" thickBot="1" x14ac:dyDescent="0.3">
      <c r="A63" s="155"/>
      <c r="B63" s="184"/>
      <c r="C63" s="12"/>
      <c r="D63" s="19"/>
      <c r="E63" s="18"/>
    </row>
    <row r="64" spans="1:6" s="51" customFormat="1" ht="14.25" thickBot="1" x14ac:dyDescent="0.3">
      <c r="A64" s="29"/>
      <c r="B64" s="184"/>
      <c r="C64" s="12"/>
      <c r="D64" s="19"/>
      <c r="E64" s="18"/>
    </row>
    <row r="65" spans="1:6" s="51" customFormat="1" ht="14.25" thickBot="1" x14ac:dyDescent="0.3">
      <c r="A65" s="29"/>
      <c r="B65" s="184"/>
      <c r="C65" s="19"/>
      <c r="D65" s="19"/>
      <c r="E65" s="18"/>
    </row>
    <row r="66" spans="1:6" s="51" customFormat="1" ht="14.25" thickBot="1" x14ac:dyDescent="0.3">
      <c r="A66" s="29"/>
      <c r="B66" s="186"/>
      <c r="C66" s="23"/>
      <c r="D66" s="23"/>
      <c r="E66" s="70"/>
    </row>
    <row r="67" spans="1:6" s="51" customFormat="1" ht="14.25" thickBot="1" x14ac:dyDescent="0.3">
      <c r="A67" s="164" t="s">
        <v>21</v>
      </c>
      <c r="B67" s="503" t="s">
        <v>32</v>
      </c>
      <c r="C67" s="119">
        <f>SUM(C60:C66)</f>
        <v>0</v>
      </c>
      <c r="D67" s="119">
        <f>SUM(D60:D66)</f>
        <v>0</v>
      </c>
      <c r="E67" s="119">
        <f>SUM(E60:E66)</f>
        <v>0</v>
      </c>
    </row>
    <row r="68" spans="1:6" s="51" customFormat="1" ht="14.25" thickBot="1" x14ac:dyDescent="0.3">
      <c r="A68" s="114" t="s">
        <v>23</v>
      </c>
      <c r="B68" s="504"/>
      <c r="C68" s="115" t="e">
        <f>AVERAGE(C60:C66)</f>
        <v>#DIV/0!</v>
      </c>
      <c r="D68" s="115" t="e">
        <f>AVERAGE(D60:D66)</f>
        <v>#DIV/0!</v>
      </c>
      <c r="E68" s="115">
        <f>AVERAGE(E60:E66)</f>
        <v>0</v>
      </c>
    </row>
    <row r="69" spans="1:6" s="51" customFormat="1" ht="14.25" thickBot="1" x14ac:dyDescent="0.3">
      <c r="A69" s="30" t="s">
        <v>20</v>
      </c>
      <c r="B69" s="504"/>
      <c r="C69" s="31">
        <f>SUM(C60:C64)</f>
        <v>0</v>
      </c>
      <c r="D69" s="31">
        <f>SUM(D60:D64)</f>
        <v>0</v>
      </c>
      <c r="E69" s="31">
        <f>SUM(E60:E64)</f>
        <v>0</v>
      </c>
    </row>
    <row r="70" spans="1:6" s="51" customFormat="1" ht="14.25" thickBot="1" x14ac:dyDescent="0.3">
      <c r="A70" s="30" t="s">
        <v>22</v>
      </c>
      <c r="B70" s="505"/>
      <c r="C70" s="35" t="e">
        <f>AVERAGE(C60:C64)</f>
        <v>#DIV/0!</v>
      </c>
      <c r="D70" s="35" t="e">
        <f>AVERAGE(D60:D64)</f>
        <v>#DIV/0!</v>
      </c>
      <c r="E70" s="35">
        <f>AVERAGE(E60:E64)</f>
        <v>0</v>
      </c>
    </row>
    <row r="71" spans="1:6" s="51" customFormat="1" x14ac:dyDescent="0.25">
      <c r="A71" s="4"/>
      <c r="B71" s="137"/>
      <c r="C71" s="54"/>
      <c r="D71" s="54"/>
      <c r="E71" s="54"/>
    </row>
    <row r="72" spans="1:6" s="51" customFormat="1" x14ac:dyDescent="0.25">
      <c r="B72" s="195"/>
      <c r="C72" s="43" t="s">
        <v>68</v>
      </c>
      <c r="D72" s="43" t="s">
        <v>8</v>
      </c>
      <c r="E72" s="540" t="s">
        <v>75</v>
      </c>
      <c r="F72" s="542"/>
    </row>
    <row r="73" spans="1:6" ht="25.5" x14ac:dyDescent="0.25">
      <c r="A73" s="11"/>
      <c r="B73" s="46" t="s">
        <v>30</v>
      </c>
      <c r="C73" s="197">
        <f>SUM(C58:C58, C47:C47, C36:C36, C25:C25, C14:C14, C69:C69)</f>
        <v>0</v>
      </c>
      <c r="D73" s="41">
        <f>SUM(D69:D69, D58:D58, D47:D47, D36:D36, D25:D25, D14:D14)</f>
        <v>0</v>
      </c>
      <c r="E73" s="231" t="s">
        <v>30</v>
      </c>
      <c r="F73" s="110">
        <f>SUM(E14, E25, E36, E47, E58, E69)</f>
        <v>0</v>
      </c>
    </row>
    <row r="74" spans="1:6" ht="25.5" x14ac:dyDescent="0.25">
      <c r="A74" s="11"/>
      <c r="B74" s="46" t="s">
        <v>29</v>
      </c>
      <c r="C74" s="197">
        <f>SUM(C56:C56, C45:C45, C34:C34, C23:C23, C12:C12, C67:C67)</f>
        <v>0</v>
      </c>
      <c r="D74" s="41">
        <f>SUM(D67:D67, D56:D56, D45:D45, D34:D34, D23:D23, D12:D12)</f>
        <v>0</v>
      </c>
      <c r="E74" s="231" t="s">
        <v>29</v>
      </c>
      <c r="F74" s="111">
        <f>SUM(E56, E45, E34, E23, E12, E67)</f>
        <v>0</v>
      </c>
    </row>
    <row r="75" spans="1:6" x14ac:dyDescent="0.25">
      <c r="C75" s="138"/>
      <c r="E75" s="231" t="s">
        <v>22</v>
      </c>
      <c r="F75" s="111">
        <f>AVERAGE(E14, E25, E36, E47, E58, E69)</f>
        <v>0</v>
      </c>
    </row>
    <row r="76" spans="1:6" x14ac:dyDescent="0.25">
      <c r="C76" s="138"/>
      <c r="E76" s="231" t="s">
        <v>62</v>
      </c>
      <c r="F76" s="110">
        <f>AVERAGE(E56, E45, E34, E23, E12, E67)</f>
        <v>0</v>
      </c>
    </row>
    <row r="78" spans="1:6" x14ac:dyDescent="0.25">
      <c r="C78" s="157"/>
    </row>
  </sheetData>
  <mergeCells count="14">
    <mergeCell ref="E72:F72"/>
    <mergeCell ref="B56:B59"/>
    <mergeCell ref="B67:B70"/>
    <mergeCell ref="D1:D2"/>
    <mergeCell ref="E1:E4"/>
    <mergeCell ref="B12:B15"/>
    <mergeCell ref="B23:B26"/>
    <mergeCell ref="B34:B37"/>
    <mergeCell ref="B45:B48"/>
    <mergeCell ref="A3:A4"/>
    <mergeCell ref="B3:B4"/>
    <mergeCell ref="C3:C4"/>
    <mergeCell ref="D3:D4"/>
    <mergeCell ref="C1:C2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71" bestFit="1" customWidth="1"/>
    <col min="2" max="2" width="10.140625" style="71" bestFit="1" customWidth="1"/>
    <col min="3" max="7" width="15.7109375" style="71" customWidth="1"/>
    <col min="8" max="8" width="16.28515625" style="71" bestFit="1" customWidth="1"/>
    <col min="9" max="16384" width="9.140625" style="71"/>
  </cols>
  <sheetData>
    <row r="1" spans="1:7" ht="15" customHeight="1" x14ac:dyDescent="0.25">
      <c r="B1" s="139"/>
      <c r="C1" s="512" t="s">
        <v>47</v>
      </c>
      <c r="D1" s="534"/>
      <c r="E1" s="512"/>
      <c r="F1" s="497"/>
      <c r="G1" s="552" t="s">
        <v>19</v>
      </c>
    </row>
    <row r="2" spans="1:7" ht="15" customHeight="1" thickBot="1" x14ac:dyDescent="0.3">
      <c r="B2" s="139"/>
      <c r="C2" s="513"/>
      <c r="D2" s="535"/>
      <c r="E2" s="513"/>
      <c r="F2" s="498"/>
      <c r="G2" s="553"/>
    </row>
    <row r="3" spans="1:7" x14ac:dyDescent="0.25">
      <c r="A3" s="562" t="s">
        <v>52</v>
      </c>
      <c r="B3" s="563" t="s">
        <v>53</v>
      </c>
      <c r="C3" s="555" t="s">
        <v>50</v>
      </c>
      <c r="D3" s="550" t="s">
        <v>51</v>
      </c>
      <c r="E3" s="555"/>
      <c r="F3" s="550"/>
      <c r="G3" s="553"/>
    </row>
    <row r="4" spans="1:7" ht="14.25" customHeight="1" thickBot="1" x14ac:dyDescent="0.3">
      <c r="A4" s="556"/>
      <c r="B4" s="564"/>
      <c r="C4" s="556"/>
      <c r="D4" s="551"/>
      <c r="E4" s="556"/>
      <c r="F4" s="551"/>
      <c r="G4" s="553"/>
    </row>
    <row r="5" spans="1:7" s="77" customFormat="1" ht="12.75" customHeight="1" thickBot="1" x14ac:dyDescent="0.3">
      <c r="A5" s="153"/>
      <c r="B5" s="136"/>
      <c r="C5" s="72"/>
      <c r="D5" s="73"/>
      <c r="E5" s="74"/>
      <c r="F5" s="75"/>
      <c r="G5" s="76"/>
    </row>
    <row r="6" spans="1:7" s="77" customFormat="1" ht="12.75" customHeight="1" thickBot="1" x14ac:dyDescent="0.3">
      <c r="A6" s="153"/>
      <c r="B6" s="129"/>
      <c r="C6" s="72"/>
      <c r="D6" s="73"/>
      <c r="E6" s="74"/>
      <c r="F6" s="75"/>
      <c r="G6" s="76"/>
    </row>
    <row r="7" spans="1:7" s="77" customFormat="1" ht="12.75" customHeight="1" thickBot="1" x14ac:dyDescent="0.3">
      <c r="A7" s="153"/>
      <c r="B7" s="129"/>
      <c r="C7" s="72"/>
      <c r="D7" s="73"/>
      <c r="E7" s="74"/>
      <c r="F7" s="75"/>
      <c r="G7" s="76"/>
    </row>
    <row r="8" spans="1:7" s="77" customFormat="1" ht="12.75" customHeight="1" thickBot="1" x14ac:dyDescent="0.3">
      <c r="A8" s="158"/>
      <c r="B8" s="129"/>
      <c r="C8" s="72"/>
      <c r="D8" s="73"/>
      <c r="E8" s="74"/>
      <c r="F8" s="75"/>
      <c r="G8" s="76"/>
    </row>
    <row r="9" spans="1:7" s="77" customFormat="1" ht="12.75" customHeight="1" thickBot="1" x14ac:dyDescent="0.3">
      <c r="A9" s="158"/>
      <c r="B9" s="129"/>
      <c r="C9" s="72"/>
      <c r="D9" s="73"/>
      <c r="E9" s="74"/>
      <c r="F9" s="75"/>
      <c r="G9" s="76"/>
    </row>
    <row r="10" spans="1:7" s="77" customFormat="1" ht="12.75" customHeight="1" outlineLevel="1" thickBot="1" x14ac:dyDescent="0.3">
      <c r="A10" s="158"/>
      <c r="B10" s="163"/>
      <c r="C10" s="74"/>
      <c r="D10" s="78"/>
      <c r="E10" s="74"/>
      <c r="F10" s="75"/>
      <c r="G10" s="76">
        <f>SUM(C10:F10)</f>
        <v>0</v>
      </c>
    </row>
    <row r="11" spans="1:7" s="77" customFormat="1" ht="14.25" outlineLevel="1" thickBot="1" x14ac:dyDescent="0.3">
      <c r="A11" s="158"/>
      <c r="B11" s="129"/>
      <c r="C11" s="79"/>
      <c r="D11" s="80"/>
      <c r="E11" s="79"/>
      <c r="F11" s="81"/>
      <c r="G11" s="76">
        <f>SUM(C11:F11)</f>
        <v>0</v>
      </c>
    </row>
    <row r="12" spans="1:7" s="83" customFormat="1" ht="14.25" customHeight="1" outlineLevel="1" thickBot="1" x14ac:dyDescent="0.3">
      <c r="A12" s="113" t="s">
        <v>21</v>
      </c>
      <c r="B12" s="503" t="s">
        <v>24</v>
      </c>
      <c r="C12" s="125">
        <f>SUM(C5:C11)</f>
        <v>0</v>
      </c>
      <c r="D12" s="125">
        <f>SUM(D5:D11)</f>
        <v>0</v>
      </c>
      <c r="E12" s="125">
        <f>SUM(E5:E11)</f>
        <v>0</v>
      </c>
      <c r="F12" s="125">
        <f>SUM(F5:F11)</f>
        <v>0</v>
      </c>
      <c r="G12" s="125">
        <f>SUM(G5:G11)</f>
        <v>0</v>
      </c>
    </row>
    <row r="13" spans="1:7" s="83" customFormat="1" ht="14.25" customHeight="1" outlineLevel="1" thickBot="1" x14ac:dyDescent="0.3">
      <c r="A13" s="114" t="s">
        <v>23</v>
      </c>
      <c r="B13" s="504"/>
      <c r="C13" s="126" t="e">
        <f>AVERAGE(C5:C11)</f>
        <v>#DIV/0!</v>
      </c>
      <c r="D13" s="126" t="e">
        <f>AVERAGE(D5:D11)</f>
        <v>#DIV/0!</v>
      </c>
      <c r="E13" s="126" t="e">
        <f>AVERAGE(E5:E11)</f>
        <v>#DIV/0!</v>
      </c>
      <c r="F13" s="126" t="e">
        <f>AVERAGE(F5:F11)</f>
        <v>#DIV/0!</v>
      </c>
      <c r="G13" s="126">
        <f>AVERAGE(G5:G11)</f>
        <v>0</v>
      </c>
    </row>
    <row r="14" spans="1:7" s="83" customFormat="1" ht="14.25" customHeight="1" thickBot="1" x14ac:dyDescent="0.3">
      <c r="A14" s="30" t="s">
        <v>20</v>
      </c>
      <c r="B14" s="504"/>
      <c r="C14" s="90">
        <f>SUM(C5:C9)</f>
        <v>0</v>
      </c>
      <c r="D14" s="90">
        <f>SUM(D5:D9)</f>
        <v>0</v>
      </c>
      <c r="E14" s="90">
        <f>SUM(E5:E9)</f>
        <v>0</v>
      </c>
      <c r="F14" s="90">
        <f>SUM(F5:F9)</f>
        <v>0</v>
      </c>
      <c r="G14" s="90">
        <f>SUM(G5:G9)</f>
        <v>0</v>
      </c>
    </row>
    <row r="15" spans="1:7" s="83" customFormat="1" ht="14.25" customHeight="1" thickBot="1" x14ac:dyDescent="0.3">
      <c r="A15" s="30" t="s">
        <v>22</v>
      </c>
      <c r="B15" s="505"/>
      <c r="C15" s="91" t="e">
        <f>AVERAGE(C5:C9)</f>
        <v>#DIV/0!</v>
      </c>
      <c r="D15" s="91" t="e">
        <f>AVERAGE(D5:D9)</f>
        <v>#DIV/0!</v>
      </c>
      <c r="E15" s="91" t="e">
        <f>AVERAGE(E5:E9)</f>
        <v>#DIV/0!</v>
      </c>
      <c r="F15" s="91" t="e">
        <f>AVERAGE(F5:F9)</f>
        <v>#DIV/0!</v>
      </c>
      <c r="G15" s="91" t="e">
        <f>AVERAGE(G5:G9)</f>
        <v>#DIV/0!</v>
      </c>
    </row>
    <row r="16" spans="1:7" s="83" customFormat="1" ht="13.5" customHeight="1" thickBot="1" x14ac:dyDescent="0.3">
      <c r="A16" s="29"/>
      <c r="B16" s="130"/>
      <c r="C16" s="72"/>
      <c r="D16" s="73"/>
      <c r="E16" s="72"/>
      <c r="F16" s="84"/>
      <c r="G16" s="160"/>
    </row>
    <row r="17" spans="1:7" s="83" customFormat="1" ht="13.5" customHeight="1" thickBot="1" x14ac:dyDescent="0.3">
      <c r="A17" s="29"/>
      <c r="B17" s="131"/>
      <c r="C17" s="72"/>
      <c r="D17" s="73"/>
      <c r="E17" s="74"/>
      <c r="F17" s="75"/>
      <c r="G17" s="160"/>
    </row>
    <row r="18" spans="1:7" s="83" customFormat="1" ht="15" customHeight="1" thickBot="1" x14ac:dyDescent="0.3">
      <c r="A18" s="29"/>
      <c r="B18" s="131"/>
      <c r="C18" s="72"/>
      <c r="D18" s="73"/>
      <c r="E18" s="74"/>
      <c r="F18" s="75"/>
      <c r="G18" s="160"/>
    </row>
    <row r="19" spans="1:7" s="83" customFormat="1" ht="14.25" customHeight="1" thickBot="1" x14ac:dyDescent="0.3">
      <c r="A19" s="29"/>
      <c r="B19" s="131"/>
      <c r="C19" s="72"/>
      <c r="D19" s="73"/>
      <c r="E19" s="74"/>
      <c r="F19" s="75"/>
      <c r="G19" s="160"/>
    </row>
    <row r="20" spans="1:7" s="83" customFormat="1" ht="14.25" customHeight="1" thickBot="1" x14ac:dyDescent="0.3">
      <c r="A20" s="29"/>
      <c r="B20" s="131"/>
      <c r="C20" s="72"/>
      <c r="D20" s="73"/>
      <c r="E20" s="74"/>
      <c r="F20" s="75"/>
      <c r="G20" s="160"/>
    </row>
    <row r="21" spans="1:7" s="83" customFormat="1" ht="14.25" customHeight="1" outlineLevel="1" thickBot="1" x14ac:dyDescent="0.3">
      <c r="A21" s="155"/>
      <c r="B21" s="131"/>
      <c r="C21" s="74"/>
      <c r="D21" s="78"/>
      <c r="E21" s="74"/>
      <c r="F21" s="75"/>
      <c r="G21" s="160">
        <f>SUM(C21:F21)</f>
        <v>0</v>
      </c>
    </row>
    <row r="22" spans="1:7" s="83" customFormat="1" ht="14.25" customHeight="1" outlineLevel="1" thickBot="1" x14ac:dyDescent="0.3">
      <c r="A22" s="155"/>
      <c r="B22" s="131"/>
      <c r="C22" s="79"/>
      <c r="D22" s="80"/>
      <c r="E22" s="79"/>
      <c r="F22" s="81"/>
      <c r="G22" s="160">
        <f>SUM(C22:F22)</f>
        <v>0</v>
      </c>
    </row>
    <row r="23" spans="1:7" s="83" customFormat="1" ht="14.25" customHeight="1" outlineLevel="1" thickBot="1" x14ac:dyDescent="0.3">
      <c r="A23" s="113" t="s">
        <v>21</v>
      </c>
      <c r="B23" s="503" t="s">
        <v>25</v>
      </c>
      <c r="C23" s="125">
        <f>SUM(C16:C22)</f>
        <v>0</v>
      </c>
      <c r="D23" s="125">
        <f>SUM(D16:D22)</f>
        <v>0</v>
      </c>
      <c r="E23" s="125">
        <f>SUM(E16:E22)</f>
        <v>0</v>
      </c>
      <c r="F23" s="125">
        <f>SUM(F16:F22)</f>
        <v>0</v>
      </c>
      <c r="G23" s="125">
        <f>SUM(G16:G22)</f>
        <v>0</v>
      </c>
    </row>
    <row r="24" spans="1:7" s="83" customFormat="1" ht="14.25" customHeight="1" outlineLevel="1" thickBot="1" x14ac:dyDescent="0.3">
      <c r="A24" s="114" t="s">
        <v>23</v>
      </c>
      <c r="B24" s="504"/>
      <c r="C24" s="126" t="e">
        <f>AVERAGE(C16:C22)</f>
        <v>#DIV/0!</v>
      </c>
      <c r="D24" s="126" t="e">
        <f>AVERAGE(D16:D22)</f>
        <v>#DIV/0!</v>
      </c>
      <c r="E24" s="126" t="e">
        <f>AVERAGE(E16:E22)</f>
        <v>#DIV/0!</v>
      </c>
      <c r="F24" s="126" t="e">
        <f>AVERAGE(F16:F22)</f>
        <v>#DIV/0!</v>
      </c>
      <c r="G24" s="126">
        <f>AVERAGE(G16:G22)</f>
        <v>0</v>
      </c>
    </row>
    <row r="25" spans="1:7" s="83" customFormat="1" ht="14.25" customHeight="1" thickBot="1" x14ac:dyDescent="0.3">
      <c r="A25" s="30" t="s">
        <v>20</v>
      </c>
      <c r="B25" s="504"/>
      <c r="C25" s="90">
        <f>SUM(C16:C20)</f>
        <v>0</v>
      </c>
      <c r="D25" s="90">
        <f>SUM(D16:D20)</f>
        <v>0</v>
      </c>
      <c r="E25" s="90">
        <f>SUM(E16:E20)</f>
        <v>0</v>
      </c>
      <c r="F25" s="90">
        <f>SUM(F16:F20)</f>
        <v>0</v>
      </c>
      <c r="G25" s="90">
        <f>SUM(G16:G20)</f>
        <v>0</v>
      </c>
    </row>
    <row r="26" spans="1:7" s="83" customFormat="1" ht="14.25" customHeight="1" thickBot="1" x14ac:dyDescent="0.3">
      <c r="A26" s="30" t="s">
        <v>22</v>
      </c>
      <c r="B26" s="505"/>
      <c r="C26" s="91" t="e">
        <f>AVERAGE(C16:C20)</f>
        <v>#DIV/0!</v>
      </c>
      <c r="D26" s="91" t="e">
        <f>AVERAGE(D16:D20)</f>
        <v>#DIV/0!</v>
      </c>
      <c r="E26" s="91" t="e">
        <f>AVERAGE(E16:E20)</f>
        <v>#DIV/0!</v>
      </c>
      <c r="F26" s="91" t="e">
        <f>AVERAGE(F16:F20)</f>
        <v>#DIV/0!</v>
      </c>
      <c r="G26" s="91" t="e">
        <f>AVERAGE(G16:G20)</f>
        <v>#DIV/0!</v>
      </c>
    </row>
    <row r="27" spans="1:7" s="83" customFormat="1" ht="14.25" customHeight="1" thickBot="1" x14ac:dyDescent="0.3">
      <c r="A27" s="29"/>
      <c r="B27" s="154"/>
      <c r="C27" s="72"/>
      <c r="D27" s="73"/>
      <c r="E27" s="72"/>
      <c r="F27" s="84"/>
      <c r="G27" s="160"/>
    </row>
    <row r="28" spans="1:7" s="83" customFormat="1" ht="15.75" customHeight="1" thickBot="1" x14ac:dyDescent="0.3">
      <c r="A28" s="29"/>
      <c r="B28" s="133"/>
      <c r="C28" s="72"/>
      <c r="D28" s="73"/>
      <c r="E28" s="74"/>
      <c r="F28" s="75"/>
      <c r="G28" s="160"/>
    </row>
    <row r="29" spans="1:7" s="83" customFormat="1" ht="13.5" customHeight="1" thickBot="1" x14ac:dyDescent="0.3">
      <c r="A29" s="29"/>
      <c r="B29" s="133"/>
      <c r="C29" s="72"/>
      <c r="D29" s="73"/>
      <c r="E29" s="74"/>
      <c r="F29" s="75"/>
      <c r="G29" s="160"/>
    </row>
    <row r="30" spans="1:7" s="83" customFormat="1" ht="12.75" customHeight="1" thickBot="1" x14ac:dyDescent="0.3">
      <c r="A30" s="29"/>
      <c r="B30" s="133"/>
      <c r="C30" s="72"/>
      <c r="D30" s="73"/>
      <c r="E30" s="74"/>
      <c r="F30" s="75"/>
      <c r="G30" s="160"/>
    </row>
    <row r="31" spans="1:7" s="83" customFormat="1" ht="14.25" thickBot="1" x14ac:dyDescent="0.3">
      <c r="A31" s="29"/>
      <c r="B31" s="133"/>
      <c r="C31" s="72"/>
      <c r="D31" s="73"/>
      <c r="E31" s="74"/>
      <c r="F31" s="75"/>
      <c r="G31" s="160"/>
    </row>
    <row r="32" spans="1:7" s="83" customFormat="1" ht="14.25" customHeight="1" outlineLevel="1" thickBot="1" x14ac:dyDescent="0.3">
      <c r="A32" s="155"/>
      <c r="B32" s="131"/>
      <c r="C32" s="74"/>
      <c r="D32" s="78"/>
      <c r="E32" s="74"/>
      <c r="F32" s="75"/>
      <c r="G32" s="160">
        <f>SUM(C32:F32)</f>
        <v>0</v>
      </c>
    </row>
    <row r="33" spans="1:8" s="83" customFormat="1" ht="14.25" customHeight="1" outlineLevel="1" thickBot="1" x14ac:dyDescent="0.3">
      <c r="A33" s="155"/>
      <c r="B33" s="131"/>
      <c r="C33" s="79"/>
      <c r="D33" s="80"/>
      <c r="E33" s="79"/>
      <c r="F33" s="81"/>
      <c r="G33" s="160">
        <f>SUM(C33:F33)</f>
        <v>0</v>
      </c>
    </row>
    <row r="34" spans="1:8" s="83" customFormat="1" ht="14.25" customHeight="1" outlineLevel="1" thickBot="1" x14ac:dyDescent="0.3">
      <c r="A34" s="113" t="s">
        <v>21</v>
      </c>
      <c r="B34" s="503" t="s">
        <v>26</v>
      </c>
      <c r="C34" s="125">
        <f>SUM(C27:C33)</f>
        <v>0</v>
      </c>
      <c r="D34" s="125">
        <f>SUM(D27:D33)</f>
        <v>0</v>
      </c>
      <c r="E34" s="125">
        <f>SUM(E27:E33)</f>
        <v>0</v>
      </c>
      <c r="F34" s="125">
        <f>SUM(F27:F33)</f>
        <v>0</v>
      </c>
      <c r="G34" s="125">
        <f>SUM(G27:G33)</f>
        <v>0</v>
      </c>
    </row>
    <row r="35" spans="1:8" s="83" customFormat="1" ht="14.25" customHeight="1" outlineLevel="1" thickBot="1" x14ac:dyDescent="0.3">
      <c r="A35" s="114" t="s">
        <v>23</v>
      </c>
      <c r="B35" s="504"/>
      <c r="C35" s="126" t="e">
        <f>AVERAGE(C27:C33)</f>
        <v>#DIV/0!</v>
      </c>
      <c r="D35" s="126" t="e">
        <f>AVERAGE(D27:D33)</f>
        <v>#DIV/0!</v>
      </c>
      <c r="E35" s="126" t="e">
        <f>AVERAGE(E27:E33)</f>
        <v>#DIV/0!</v>
      </c>
      <c r="F35" s="126" t="e">
        <f>AVERAGE(F27:F33)</f>
        <v>#DIV/0!</v>
      </c>
      <c r="G35" s="126">
        <f>AVERAGE(G27:G33)</f>
        <v>0</v>
      </c>
    </row>
    <row r="36" spans="1:8" s="83" customFormat="1" ht="14.25" customHeight="1" thickBot="1" x14ac:dyDescent="0.3">
      <c r="A36" s="30" t="s">
        <v>20</v>
      </c>
      <c r="B36" s="504"/>
      <c r="C36" s="90">
        <f>SUM(C27:C31)</f>
        <v>0</v>
      </c>
      <c r="D36" s="90">
        <f>SUM(D27:D31)</f>
        <v>0</v>
      </c>
      <c r="E36" s="90">
        <f>SUM(E27:E31)</f>
        <v>0</v>
      </c>
      <c r="F36" s="90">
        <f>SUM(F27:F31)</f>
        <v>0</v>
      </c>
      <c r="G36" s="90">
        <f>SUM(G27:G31)</f>
        <v>0</v>
      </c>
    </row>
    <row r="37" spans="1:8" s="83" customFormat="1" ht="15.75" customHeight="1" thickBot="1" x14ac:dyDescent="0.3">
      <c r="A37" s="30" t="s">
        <v>22</v>
      </c>
      <c r="B37" s="505"/>
      <c r="C37" s="91" t="e">
        <f>AVERAGE(C27:C31)</f>
        <v>#DIV/0!</v>
      </c>
      <c r="D37" s="91" t="e">
        <f>AVERAGE(D27:D31)</f>
        <v>#DIV/0!</v>
      </c>
      <c r="E37" s="91" t="e">
        <f>AVERAGE(E27:E31)</f>
        <v>#DIV/0!</v>
      </c>
      <c r="F37" s="91" t="e">
        <f>AVERAGE(F27:F31)</f>
        <v>#DIV/0!</v>
      </c>
      <c r="G37" s="91" t="e">
        <f>AVERAGE(G27:G31)</f>
        <v>#DIV/0!</v>
      </c>
    </row>
    <row r="38" spans="1:8" s="83" customFormat="1" ht="12.75" customHeight="1" thickBot="1" x14ac:dyDescent="0.3">
      <c r="A38" s="29"/>
      <c r="B38" s="154"/>
      <c r="C38" s="72"/>
      <c r="D38" s="73"/>
      <c r="E38" s="72"/>
      <c r="F38" s="84"/>
      <c r="G38" s="85"/>
    </row>
    <row r="39" spans="1:8" s="83" customFormat="1" ht="15.75" customHeight="1" thickBot="1" x14ac:dyDescent="0.3">
      <c r="A39" s="29"/>
      <c r="B39" s="133"/>
      <c r="C39" s="72"/>
      <c r="D39" s="73"/>
      <c r="E39" s="74"/>
      <c r="F39" s="75"/>
      <c r="G39" s="76"/>
    </row>
    <row r="40" spans="1:8" s="83" customFormat="1" ht="17.25" customHeight="1" thickBot="1" x14ac:dyDescent="0.3">
      <c r="A40" s="29"/>
      <c r="B40" s="133"/>
      <c r="C40" s="72"/>
      <c r="D40" s="73"/>
      <c r="E40" s="74"/>
      <c r="F40" s="75"/>
      <c r="G40" s="76"/>
    </row>
    <row r="41" spans="1:8" s="83" customFormat="1" ht="14.25" customHeight="1" thickBot="1" x14ac:dyDescent="0.3">
      <c r="A41" s="29"/>
      <c r="B41" s="133"/>
      <c r="C41" s="72"/>
      <c r="D41" s="73"/>
      <c r="E41" s="74"/>
      <c r="F41" s="75"/>
      <c r="G41" s="76"/>
    </row>
    <row r="42" spans="1:8" s="83" customFormat="1" ht="17.25" customHeight="1" thickBot="1" x14ac:dyDescent="0.3">
      <c r="A42" s="29"/>
      <c r="B42" s="133"/>
      <c r="C42" s="72"/>
      <c r="D42" s="73"/>
      <c r="E42" s="74"/>
      <c r="F42" s="75"/>
      <c r="G42" s="76"/>
    </row>
    <row r="43" spans="1:8" s="83" customFormat="1" ht="14.25" customHeight="1" outlineLevel="1" thickBot="1" x14ac:dyDescent="0.3">
      <c r="A43" s="155"/>
      <c r="B43" s="131"/>
      <c r="C43" s="74"/>
      <c r="D43" s="78"/>
      <c r="E43" s="74"/>
      <c r="F43" s="75"/>
      <c r="G43" s="76">
        <f>SUM(C43:F43)</f>
        <v>0</v>
      </c>
      <c r="H43" s="128"/>
    </row>
    <row r="44" spans="1:8" s="83" customFormat="1" ht="14.25" customHeight="1" outlineLevel="1" thickBot="1" x14ac:dyDescent="0.3">
      <c r="A44" s="155"/>
      <c r="B44" s="131"/>
      <c r="C44" s="79"/>
      <c r="D44" s="80"/>
      <c r="E44" s="79"/>
      <c r="F44" s="81"/>
      <c r="G44" s="82">
        <f>SUM(C44:F44)</f>
        <v>0</v>
      </c>
      <c r="H44" s="128"/>
    </row>
    <row r="45" spans="1:8" s="83" customFormat="1" ht="14.25" customHeight="1" outlineLevel="1" thickBot="1" x14ac:dyDescent="0.3">
      <c r="A45" s="113" t="s">
        <v>21</v>
      </c>
      <c r="B45" s="503" t="s">
        <v>27</v>
      </c>
      <c r="C45" s="125">
        <f>SUM(C38:C44)</f>
        <v>0</v>
      </c>
      <c r="D45" s="125">
        <f>SUM(D38:D44)</f>
        <v>0</v>
      </c>
      <c r="E45" s="125">
        <f>SUM(E38:E44)</f>
        <v>0</v>
      </c>
      <c r="F45" s="125">
        <f>SUM(F38:F44)</f>
        <v>0</v>
      </c>
      <c r="G45" s="125">
        <f>SUM(G38:G44)</f>
        <v>0</v>
      </c>
    </row>
    <row r="46" spans="1:8" s="83" customFormat="1" ht="14.25" customHeight="1" outlineLevel="1" thickBot="1" x14ac:dyDescent="0.3">
      <c r="A46" s="114" t="s">
        <v>23</v>
      </c>
      <c r="B46" s="504"/>
      <c r="C46" s="126" t="e">
        <f>AVERAGE(C38:C44)</f>
        <v>#DIV/0!</v>
      </c>
      <c r="D46" s="126" t="e">
        <f>AVERAGE(D38:D44)</f>
        <v>#DIV/0!</v>
      </c>
      <c r="E46" s="126" t="e">
        <f>AVERAGE(E38:E44)</f>
        <v>#DIV/0!</v>
      </c>
      <c r="F46" s="126" t="e">
        <f>AVERAGE(F38:F44)</f>
        <v>#DIV/0!</v>
      </c>
      <c r="G46" s="126">
        <f>AVERAGE(G38:G44)</f>
        <v>0</v>
      </c>
    </row>
    <row r="47" spans="1:8" s="83" customFormat="1" ht="14.25" customHeight="1" thickBot="1" x14ac:dyDescent="0.3">
      <c r="A47" s="30" t="s">
        <v>20</v>
      </c>
      <c r="B47" s="504"/>
      <c r="C47" s="90">
        <f>SUM(C38:C42)</f>
        <v>0</v>
      </c>
      <c r="D47" s="90">
        <f>SUM(D38:D42)</f>
        <v>0</v>
      </c>
      <c r="E47" s="90">
        <f>SUM(E38:E42)</f>
        <v>0</v>
      </c>
      <c r="F47" s="90">
        <f>SUM(F38:F42)</f>
        <v>0</v>
      </c>
      <c r="G47" s="90">
        <f>SUM(G38:G42)</f>
        <v>0</v>
      </c>
    </row>
    <row r="48" spans="1:8" s="83" customFormat="1" ht="13.5" customHeight="1" thickBot="1" x14ac:dyDescent="0.3">
      <c r="A48" s="30" t="s">
        <v>22</v>
      </c>
      <c r="B48" s="505"/>
      <c r="C48" s="91" t="e">
        <f>AVERAGE(C38:C42)</f>
        <v>#DIV/0!</v>
      </c>
      <c r="D48" s="91" t="e">
        <f>AVERAGE(D38:D42)</f>
        <v>#DIV/0!</v>
      </c>
      <c r="E48" s="91" t="e">
        <f>AVERAGE(E38:E42)</f>
        <v>#DIV/0!</v>
      </c>
      <c r="F48" s="91" t="e">
        <f>AVERAGE(F38:F42)</f>
        <v>#DIV/0!</v>
      </c>
      <c r="G48" s="91" t="e">
        <f>AVERAGE(G38:G42)</f>
        <v>#DIV/0!</v>
      </c>
    </row>
    <row r="49" spans="1:7" s="83" customFormat="1" ht="13.5" customHeight="1" thickBot="1" x14ac:dyDescent="0.3">
      <c r="A49" s="29"/>
      <c r="B49" s="132"/>
      <c r="C49" s="149"/>
      <c r="D49" s="150"/>
      <c r="E49" s="72"/>
      <c r="F49" s="84"/>
      <c r="G49" s="85"/>
    </row>
    <row r="50" spans="1:7" s="83" customFormat="1" ht="14.25" customHeight="1" thickBot="1" x14ac:dyDescent="0.3">
      <c r="A50" s="29"/>
      <c r="B50" s="148"/>
      <c r="C50" s="151"/>
      <c r="D50" s="152"/>
      <c r="E50" s="74"/>
      <c r="F50" s="75"/>
      <c r="G50" s="76"/>
    </row>
    <row r="51" spans="1:7" s="83" customFormat="1" ht="13.5" customHeight="1" thickBot="1" x14ac:dyDescent="0.3">
      <c r="A51" s="29"/>
      <c r="B51" s="148"/>
      <c r="C51" s="72"/>
      <c r="D51" s="84"/>
      <c r="E51" s="74"/>
      <c r="F51" s="75"/>
      <c r="G51" s="76"/>
    </row>
    <row r="52" spans="1:7" s="83" customFormat="1" ht="13.5" customHeight="1" thickBot="1" x14ac:dyDescent="0.3">
      <c r="A52" s="155"/>
      <c r="B52" s="148"/>
      <c r="C52" s="72"/>
      <c r="D52" s="84"/>
      <c r="E52" s="74"/>
      <c r="F52" s="75"/>
      <c r="G52" s="76"/>
    </row>
    <row r="53" spans="1:7" s="83" customFormat="1" ht="12" customHeight="1" x14ac:dyDescent="0.25">
      <c r="A53" s="155"/>
      <c r="B53" s="148"/>
      <c r="C53" s="149"/>
      <c r="D53" s="187"/>
      <c r="E53" s="79"/>
      <c r="F53" s="81"/>
      <c r="G53" s="82"/>
    </row>
    <row r="54" spans="1:7" s="83" customFormat="1" ht="14.25" customHeight="1" outlineLevel="1" thickBot="1" x14ac:dyDescent="0.3">
      <c r="A54" s="190"/>
      <c r="B54" s="200"/>
      <c r="C54" s="74"/>
      <c r="D54" s="75"/>
      <c r="E54" s="74"/>
      <c r="F54" s="75"/>
      <c r="G54" s="74">
        <f>SUM(C54:F54)</f>
        <v>0</v>
      </c>
    </row>
    <row r="55" spans="1:7" s="83" customFormat="1" ht="16.5" hidden="1" customHeight="1" outlineLevel="1" thickBot="1" x14ac:dyDescent="0.3">
      <c r="A55" s="155" t="s">
        <v>2</v>
      </c>
      <c r="B55" s="131">
        <f>B54+1</f>
        <v>1</v>
      </c>
      <c r="C55" s="188"/>
      <c r="D55" s="189"/>
      <c r="E55" s="149"/>
      <c r="F55" s="187"/>
      <c r="G55" s="74">
        <f>SUM(C55:F55)</f>
        <v>0</v>
      </c>
    </row>
    <row r="56" spans="1:7" s="83" customFormat="1" ht="16.5" customHeight="1" outlineLevel="1" thickBot="1" x14ac:dyDescent="0.3">
      <c r="A56" s="113" t="s">
        <v>21</v>
      </c>
      <c r="B56" s="503" t="s">
        <v>28</v>
      </c>
      <c r="C56" s="125">
        <f>SUM(C49:C55)</f>
        <v>0</v>
      </c>
      <c r="D56" s="125">
        <f>SUM(D49:D55)</f>
        <v>0</v>
      </c>
      <c r="E56" s="125">
        <f>SUM(E49:E55)</f>
        <v>0</v>
      </c>
      <c r="F56" s="125">
        <f>SUM(F49:F55)</f>
        <v>0</v>
      </c>
      <c r="G56" s="125">
        <f>SUM(G49:G55)</f>
        <v>0</v>
      </c>
    </row>
    <row r="57" spans="1:7" s="83" customFormat="1" ht="14.25" customHeight="1" outlineLevel="1" thickBot="1" x14ac:dyDescent="0.3">
      <c r="A57" s="114" t="s">
        <v>23</v>
      </c>
      <c r="B57" s="504"/>
      <c r="C57" s="126" t="e">
        <f>AVERAGE(C49:C55)</f>
        <v>#DIV/0!</v>
      </c>
      <c r="D57" s="126" t="e">
        <f>AVERAGE(D49:D55)</f>
        <v>#DIV/0!</v>
      </c>
      <c r="E57" s="126" t="e">
        <f>AVERAGE(E49:E55)</f>
        <v>#DIV/0!</v>
      </c>
      <c r="F57" s="126" t="e">
        <f>AVERAGE(F49:F55)</f>
        <v>#DIV/0!</v>
      </c>
      <c r="G57" s="126">
        <f>AVERAGE(G49:G55)</f>
        <v>0</v>
      </c>
    </row>
    <row r="58" spans="1:7" s="83" customFormat="1" ht="15.75" customHeight="1" thickBot="1" x14ac:dyDescent="0.3">
      <c r="A58" s="30" t="s">
        <v>20</v>
      </c>
      <c r="B58" s="504"/>
      <c r="C58" s="90">
        <f>SUM(C49:C53)</f>
        <v>0</v>
      </c>
      <c r="D58" s="90">
        <f>SUM(D49:D53)</f>
        <v>0</v>
      </c>
      <c r="E58" s="90">
        <f>SUM(E49:E53)</f>
        <v>0</v>
      </c>
      <c r="F58" s="90">
        <f>SUM(F49:F53)</f>
        <v>0</v>
      </c>
      <c r="G58" s="90">
        <f>SUM(G49:G53)</f>
        <v>0</v>
      </c>
    </row>
    <row r="59" spans="1:7" s="83" customFormat="1" ht="14.25" customHeight="1" thickBot="1" x14ac:dyDescent="0.3">
      <c r="A59" s="30" t="s">
        <v>22</v>
      </c>
      <c r="B59" s="505"/>
      <c r="C59" s="91" t="e">
        <f>AVERAGE(C49:C53)</f>
        <v>#DIV/0!</v>
      </c>
      <c r="D59" s="91" t="e">
        <f>AVERAGE(D49:D53)</f>
        <v>#DIV/0!</v>
      </c>
      <c r="E59" s="91" t="e">
        <f>AVERAGE(E49:E53)</f>
        <v>#DIV/0!</v>
      </c>
      <c r="F59" s="91" t="e">
        <f>AVERAGE(F49:F53)</f>
        <v>#DIV/0!</v>
      </c>
      <c r="G59" s="91" t="e">
        <f>AVERAGE(G49:G53)</f>
        <v>#DIV/0!</v>
      </c>
    </row>
    <row r="60" spans="1:7" s="83" customFormat="1" ht="1.5" hidden="1" customHeight="1" x14ac:dyDescent="0.25">
      <c r="A60" s="144"/>
      <c r="B60" s="135"/>
      <c r="C60" s="72"/>
      <c r="D60" s="73"/>
      <c r="E60" s="72"/>
      <c r="F60" s="84"/>
      <c r="G60" s="85"/>
    </row>
    <row r="61" spans="1:7" s="83" customFormat="1" ht="17.25" hidden="1" customHeight="1" x14ac:dyDescent="0.25">
      <c r="A61" s="145"/>
      <c r="B61" s="133"/>
      <c r="C61" s="72"/>
      <c r="D61" s="73"/>
      <c r="E61" s="74"/>
      <c r="F61" s="75"/>
      <c r="G61" s="76"/>
    </row>
    <row r="62" spans="1:7" s="83" customFormat="1" ht="18" hidden="1" customHeight="1" x14ac:dyDescent="0.25">
      <c r="A62" s="140"/>
      <c r="B62" s="133"/>
      <c r="C62" s="72"/>
      <c r="D62" s="73"/>
      <c r="E62" s="74"/>
      <c r="F62" s="75"/>
      <c r="G62" s="76"/>
    </row>
    <row r="63" spans="1:7" s="83" customFormat="1" ht="16.5" hidden="1" customHeight="1" x14ac:dyDescent="0.25">
      <c r="A63" s="140"/>
      <c r="B63" s="133"/>
      <c r="C63" s="72"/>
      <c r="D63" s="73"/>
      <c r="E63" s="74"/>
      <c r="F63" s="75"/>
      <c r="G63" s="76"/>
    </row>
    <row r="64" spans="1:7" s="83" customFormat="1" ht="15" hidden="1" customHeight="1" x14ac:dyDescent="0.25">
      <c r="A64" s="140"/>
      <c r="B64" s="133"/>
      <c r="C64" s="72"/>
      <c r="D64" s="73"/>
      <c r="E64" s="74"/>
      <c r="F64" s="75"/>
      <c r="G64" s="76"/>
    </row>
    <row r="65" spans="1:7" s="83" customFormat="1" ht="17.25" hidden="1" customHeight="1" outlineLevel="1" x14ac:dyDescent="0.25">
      <c r="A65" s="140"/>
      <c r="B65" s="133"/>
      <c r="C65" s="74"/>
      <c r="D65" s="78"/>
      <c r="E65" s="74"/>
      <c r="F65" s="75"/>
      <c r="G65" s="76"/>
    </row>
    <row r="66" spans="1:7" s="83" customFormat="1" ht="12" hidden="1" customHeight="1" outlineLevel="1" thickBot="1" x14ac:dyDescent="0.3">
      <c r="A66" s="140"/>
      <c r="B66" s="134"/>
      <c r="C66" s="79"/>
      <c r="D66" s="80"/>
      <c r="E66" s="79"/>
      <c r="F66" s="81"/>
      <c r="G66" s="82"/>
    </row>
    <row r="67" spans="1:7" s="83" customFormat="1" ht="15" hidden="1" customHeight="1" outlineLevel="1" thickBot="1" x14ac:dyDescent="0.3">
      <c r="A67" s="113" t="s">
        <v>21</v>
      </c>
      <c r="B67" s="503" t="s">
        <v>32</v>
      </c>
      <c r="C67" s="125">
        <f>SUM(C60:C66)</f>
        <v>0</v>
      </c>
      <c r="D67" s="125">
        <f>SUM(D60:D66)</f>
        <v>0</v>
      </c>
      <c r="E67" s="125">
        <f>SUM(E60:E66)</f>
        <v>0</v>
      </c>
      <c r="F67" s="125">
        <f>SUM(F60:F66)</f>
        <v>0</v>
      </c>
      <c r="G67" s="125">
        <f>SUM(G60:G66)</f>
        <v>0</v>
      </c>
    </row>
    <row r="68" spans="1:7" s="83" customFormat="1" ht="14.25" hidden="1" customHeight="1" outlineLevel="1" thickBot="1" x14ac:dyDescent="0.3">
      <c r="A68" s="114" t="s">
        <v>23</v>
      </c>
      <c r="B68" s="504"/>
      <c r="C68" s="126" t="e">
        <f>AVERAGE(C60:C66)</f>
        <v>#DIV/0!</v>
      </c>
      <c r="D68" s="126" t="e">
        <f>AVERAGE(D60:D66)</f>
        <v>#DIV/0!</v>
      </c>
      <c r="E68" s="126" t="e">
        <f>AVERAGE(E60:E66)</f>
        <v>#DIV/0!</v>
      </c>
      <c r="F68" s="126" t="e">
        <f>AVERAGE(F60:F66)</f>
        <v>#DIV/0!</v>
      </c>
      <c r="G68" s="126" t="e">
        <f>AVERAGE(G60:G66)</f>
        <v>#DIV/0!</v>
      </c>
    </row>
    <row r="69" spans="1:7" s="83" customFormat="1" ht="15.75" hidden="1" customHeight="1" thickBot="1" x14ac:dyDescent="0.3">
      <c r="A69" s="30" t="s">
        <v>20</v>
      </c>
      <c r="B69" s="504"/>
      <c r="C69" s="90">
        <f>SUM(C60:C64)</f>
        <v>0</v>
      </c>
      <c r="D69" s="90">
        <f>SUM(D60:D64)</f>
        <v>0</v>
      </c>
      <c r="E69" s="90">
        <f>SUM(E60:E64)</f>
        <v>0</v>
      </c>
      <c r="F69" s="90">
        <f>SUM(F60:F64)</f>
        <v>0</v>
      </c>
      <c r="G69" s="90">
        <f>SUM(G60:G64)</f>
        <v>0</v>
      </c>
    </row>
    <row r="70" spans="1:7" s="83" customFormat="1" ht="17.25" hidden="1" customHeight="1" thickBot="1" x14ac:dyDescent="0.3">
      <c r="A70" s="30" t="s">
        <v>22</v>
      </c>
      <c r="B70" s="505"/>
      <c r="C70" s="91" t="e">
        <f>AVERAGE(C60:C64)</f>
        <v>#DIV/0!</v>
      </c>
      <c r="D70" s="91" t="e">
        <f>AVERAGE(D60:D64)</f>
        <v>#DIV/0!</v>
      </c>
      <c r="E70" s="91" t="e">
        <f>AVERAGE(E60:E64)</f>
        <v>#DIV/0!</v>
      </c>
      <c r="F70" s="91" t="e">
        <f>AVERAGE(F60:F64)</f>
        <v>#DIV/0!</v>
      </c>
      <c r="G70" s="91" t="e">
        <f>AVERAGE(G60:G64)</f>
        <v>#DIV/0!</v>
      </c>
    </row>
    <row r="71" spans="1:7" s="83" customFormat="1" ht="14.25" customHeight="1" x14ac:dyDescent="0.25">
      <c r="A71" s="52"/>
      <c r="B71" s="53"/>
      <c r="C71" s="86"/>
      <c r="D71" s="86"/>
      <c r="E71" s="86"/>
      <c r="F71" s="86"/>
      <c r="G71" s="86"/>
    </row>
    <row r="72" spans="1:7" s="83" customFormat="1" ht="30" customHeight="1" x14ac:dyDescent="0.25">
      <c r="B72" s="87"/>
      <c r="C72" s="43" t="s">
        <v>50</v>
      </c>
      <c r="D72" s="43" t="s">
        <v>51</v>
      </c>
      <c r="E72" s="540" t="s">
        <v>61</v>
      </c>
      <c r="F72" s="541"/>
      <c r="G72" s="542"/>
    </row>
    <row r="73" spans="1:7" ht="30" customHeight="1" x14ac:dyDescent="0.25">
      <c r="B73" s="46" t="s">
        <v>29</v>
      </c>
      <c r="C73" s="88">
        <f>SUM(C56:D56, C45:D45, C34:D34, C23:D23, C12:D12, C67:D67)</f>
        <v>0</v>
      </c>
      <c r="D73" s="88">
        <f>SUM(E67:F67, E56:F56, E45:F45, E34:F34, E23:F23, E12:F12)</f>
        <v>0</v>
      </c>
      <c r="E73" s="495" t="s">
        <v>29</v>
      </c>
      <c r="F73" s="496"/>
      <c r="G73" s="110">
        <f>SUM(G12, G23, G34, G45, G56, G67)</f>
        <v>0</v>
      </c>
    </row>
    <row r="74" spans="1:7" ht="30" customHeight="1" x14ac:dyDescent="0.25">
      <c r="B74" s="46" t="s">
        <v>30</v>
      </c>
      <c r="C74" s="88">
        <f>SUM(C58:D58, C47:D47, C36:D36, C25:D25, C14:D14, C69:D69)</f>
        <v>0</v>
      </c>
      <c r="D74" s="88">
        <f>SUM(E69:F69, E58:F58, E47:F47, E36:F36, E25:F25, E14:F14)</f>
        <v>0</v>
      </c>
      <c r="E74" s="561" t="s">
        <v>30</v>
      </c>
      <c r="F74" s="561"/>
      <c r="G74" s="111">
        <f>SUM(G58, G47, G36, G25, G14, G69)</f>
        <v>0</v>
      </c>
    </row>
    <row r="75" spans="1:7" ht="30" customHeight="1" x14ac:dyDescent="0.25">
      <c r="E75" s="495" t="s">
        <v>62</v>
      </c>
      <c r="F75" s="496"/>
      <c r="G75" s="111">
        <f>AVERAGE(G12, G23, G34, G45, G56, G67)</f>
        <v>0</v>
      </c>
    </row>
    <row r="76" spans="1:7" ht="30" customHeight="1" x14ac:dyDescent="0.25">
      <c r="E76" s="561" t="s">
        <v>22</v>
      </c>
      <c r="F76" s="561"/>
      <c r="G76" s="110">
        <f>AVERAGE(G58, G47, G36, G25, G14, G69)</f>
        <v>0</v>
      </c>
    </row>
    <row r="86" spans="2:2" x14ac:dyDescent="0.25">
      <c r="B86" s="89"/>
    </row>
    <row r="87" spans="2:2" x14ac:dyDescent="0.25">
      <c r="B87" s="89"/>
    </row>
    <row r="88" spans="2:2" x14ac:dyDescent="0.25">
      <c r="B88" s="89"/>
    </row>
    <row r="89" spans="2:2" x14ac:dyDescent="0.25">
      <c r="B89" s="89"/>
    </row>
    <row r="90" spans="2:2" x14ac:dyDescent="0.25">
      <c r="B90" s="89"/>
    </row>
    <row r="91" spans="2:2" x14ac:dyDescent="0.25">
      <c r="B91" s="89"/>
    </row>
    <row r="92" spans="2:2" x14ac:dyDescent="0.25">
      <c r="B92" s="89"/>
    </row>
    <row r="97" spans="2:2" x14ac:dyDescent="0.25">
      <c r="B97" s="89"/>
    </row>
    <row r="98" spans="2:2" x14ac:dyDescent="0.25">
      <c r="B98" s="89"/>
    </row>
    <row r="99" spans="2:2" x14ac:dyDescent="0.25">
      <c r="B99" s="89"/>
    </row>
    <row r="100" spans="2:2" x14ac:dyDescent="0.25">
      <c r="B100" s="89"/>
    </row>
    <row r="101" spans="2:2" x14ac:dyDescent="0.25">
      <c r="B101" s="89"/>
    </row>
    <row r="102" spans="2:2" x14ac:dyDescent="0.25">
      <c r="B102" s="89"/>
    </row>
    <row r="103" spans="2:2" x14ac:dyDescent="0.25">
      <c r="B103" s="89"/>
    </row>
    <row r="104" spans="2:2" x14ac:dyDescent="0.25">
      <c r="B104" s="89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13"/>
  <sheetViews>
    <sheetView topLeftCell="A48" zoomScaleNormal="100" workbookViewId="0">
      <selection activeCell="B12" sqref="B12:B13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470" t="s">
        <v>91</v>
      </c>
      <c r="B1" s="471"/>
    </row>
    <row r="2" spans="1:2" ht="15.75" thickBot="1" x14ac:dyDescent="0.3">
      <c r="A2" s="472"/>
      <c r="B2" s="473"/>
    </row>
    <row r="3" spans="1:2" ht="15.75" thickBot="1" x14ac:dyDescent="0.3">
      <c r="A3" s="456" t="s">
        <v>44</v>
      </c>
      <c r="B3" s="474"/>
    </row>
    <row r="4" spans="1:2" ht="12.75" customHeight="1" x14ac:dyDescent="0.25">
      <c r="A4" s="440" t="s">
        <v>45</v>
      </c>
      <c r="B4" s="423">
        <f>SUM('NY Waterway-(Port Imperial FC)'!H74)</f>
        <v>384950</v>
      </c>
    </row>
    <row r="5" spans="1:2" ht="13.5" customHeight="1" thickBot="1" x14ac:dyDescent="0.3">
      <c r="A5" s="441"/>
      <c r="B5" s="442"/>
    </row>
    <row r="6" spans="1:2" ht="12.75" customHeight="1" x14ac:dyDescent="0.25">
      <c r="A6" s="425" t="s">
        <v>46</v>
      </c>
      <c r="B6" s="444">
        <f>SUM('NY Waterway-(Billy Bey FC)'!F77)</f>
        <v>379688</v>
      </c>
    </row>
    <row r="7" spans="1:2" ht="13.5" customHeight="1" thickBot="1" x14ac:dyDescent="0.3">
      <c r="A7" s="467"/>
      <c r="B7" s="445"/>
    </row>
    <row r="8" spans="1:2" ht="12.75" customHeight="1" x14ac:dyDescent="0.25">
      <c r="A8" s="440" t="s">
        <v>47</v>
      </c>
      <c r="B8" s="423">
        <f>SUM(SeaStreak!G74)</f>
        <v>89133</v>
      </c>
    </row>
    <row r="9" spans="1:2" ht="13.5" customHeight="1" thickBot="1" x14ac:dyDescent="0.3">
      <c r="A9" s="468"/>
      <c r="B9" s="442"/>
    </row>
    <row r="10" spans="1:2" ht="12.75" customHeight="1" x14ac:dyDescent="0.25">
      <c r="A10" s="425" t="s">
        <v>48</v>
      </c>
      <c r="B10" s="444">
        <f>SUM('New York Water Taxi'!M74)</f>
        <v>31906</v>
      </c>
    </row>
    <row r="11" spans="1:2" ht="13.5" customHeight="1" thickBot="1" x14ac:dyDescent="0.3">
      <c r="A11" s="469"/>
      <c r="B11" s="445"/>
    </row>
    <row r="12" spans="1:2" ht="12.75" customHeight="1" x14ac:dyDescent="0.25">
      <c r="A12" s="452" t="s">
        <v>33</v>
      </c>
      <c r="B12" s="444">
        <f>SUM('Liberty Landing Ferry'!F74)</f>
        <v>17165</v>
      </c>
    </row>
    <row r="13" spans="1:2" ht="13.5" customHeight="1" thickBot="1" x14ac:dyDescent="0.3">
      <c r="A13" s="477"/>
      <c r="B13" s="445"/>
    </row>
    <row r="14" spans="1:2" ht="13.5" customHeight="1" x14ac:dyDescent="0.25">
      <c r="A14" s="452" t="s">
        <v>73</v>
      </c>
      <c r="B14" s="444">
        <f>'NYC Ferry'!F78</f>
        <v>303666</v>
      </c>
    </row>
    <row r="15" spans="1:2" ht="13.5" customHeight="1" thickBot="1" x14ac:dyDescent="0.3">
      <c r="A15" s="477"/>
      <c r="B15" s="445"/>
    </row>
    <row r="16" spans="1:2" ht="13.5" hidden="1" customHeight="1" x14ac:dyDescent="0.25">
      <c r="A16" s="452" t="s">
        <v>67</v>
      </c>
      <c r="B16" s="444">
        <f>'Water Tours'!F74</f>
        <v>0</v>
      </c>
    </row>
    <row r="17" spans="1:2" ht="13.5" hidden="1" customHeight="1" thickBot="1" x14ac:dyDescent="0.3">
      <c r="A17" s="477"/>
      <c r="B17" s="445"/>
    </row>
    <row r="18" spans="1:2" x14ac:dyDescent="0.25">
      <c r="A18" s="448" t="s">
        <v>19</v>
      </c>
      <c r="B18" s="450">
        <f>SUM(B4:B17)</f>
        <v>1206508</v>
      </c>
    </row>
    <row r="19" spans="1:2" ht="15.75" thickBot="1" x14ac:dyDescent="0.3">
      <c r="A19" s="475"/>
      <c r="B19" s="476"/>
    </row>
    <row r="20" spans="1:2" ht="15.75" thickBot="1" x14ac:dyDescent="0.3">
      <c r="A20" s="47"/>
      <c r="B20" s="48"/>
    </row>
    <row r="21" spans="1:2" ht="15.75" thickBot="1" x14ac:dyDescent="0.3">
      <c r="A21" s="456" t="s">
        <v>49</v>
      </c>
      <c r="B21" s="474"/>
    </row>
    <row r="22" spans="1:2" x14ac:dyDescent="0.25">
      <c r="A22" s="440" t="s">
        <v>10</v>
      </c>
      <c r="B22" s="423">
        <f>SUM('NYC Ferry'!C73,'NY Waterway-(Port Imperial FC)'!D74,'NY Waterway-(Billy Bey FC)'!G73,SeaStreak!B74,'New York Water Taxi'!I74)</f>
        <v>275312</v>
      </c>
    </row>
    <row r="23" spans="1:2" ht="15.75" thickBot="1" x14ac:dyDescent="0.3">
      <c r="A23" s="441"/>
      <c r="B23" s="442"/>
    </row>
    <row r="24" spans="1:2" x14ac:dyDescent="0.25">
      <c r="A24" s="440" t="s">
        <v>68</v>
      </c>
      <c r="B24" s="423">
        <f>SUM('NY Waterway-(Billy Bey FC)'!E73)</f>
        <v>7375</v>
      </c>
    </row>
    <row r="25" spans="1:2" ht="15.75" thickBot="1" x14ac:dyDescent="0.3">
      <c r="A25" s="441"/>
      <c r="B25" s="442"/>
    </row>
    <row r="26" spans="1:2" x14ac:dyDescent="0.25">
      <c r="A26" s="425" t="s">
        <v>8</v>
      </c>
      <c r="B26" s="444">
        <f>SUM('NY Waterway-(Port Imperial FC)'!B74,'NY Waterway-(Billy Bey FC)'!D73)</f>
        <v>305687</v>
      </c>
    </row>
    <row r="27" spans="1:2" ht="15.75" thickBot="1" x14ac:dyDescent="0.3">
      <c r="A27" s="467"/>
      <c r="B27" s="445"/>
    </row>
    <row r="28" spans="1:2" x14ac:dyDescent="0.25">
      <c r="A28" s="440" t="s">
        <v>14</v>
      </c>
      <c r="B28" s="423">
        <f>SUM('NYC Ferry'!D73,SeaStreak!C74,'New York Water Taxi'!G74)</f>
        <v>89498</v>
      </c>
    </row>
    <row r="29" spans="1:2" ht="15.75" thickBot="1" x14ac:dyDescent="0.3">
      <c r="A29" s="468"/>
      <c r="B29" s="442"/>
    </row>
    <row r="30" spans="1:2" ht="12.75" customHeight="1" x14ac:dyDescent="0.25">
      <c r="A30" s="425" t="s">
        <v>9</v>
      </c>
      <c r="B30" s="423">
        <f>SUM('NY Waterway-(Port Imperial FC)'!C74,'NY Waterway-(Billy Bey FC)'!F73,'Liberty Landing Ferry'!B74)</f>
        <v>321127</v>
      </c>
    </row>
    <row r="31" spans="1:2" ht="15.75" thickBot="1" x14ac:dyDescent="0.3">
      <c r="A31" s="469"/>
      <c r="B31" s="442"/>
    </row>
    <row r="32" spans="1:2" x14ac:dyDescent="0.25">
      <c r="A32" s="425" t="s">
        <v>7</v>
      </c>
      <c r="B32" s="429">
        <f>SUM('New York Water Taxi'!C74)</f>
        <v>3129</v>
      </c>
    </row>
    <row r="33" spans="1:6" ht="15.75" thickBot="1" x14ac:dyDescent="0.3">
      <c r="A33" s="469"/>
      <c r="B33" s="420"/>
    </row>
    <row r="34" spans="1:6" x14ac:dyDescent="0.25">
      <c r="A34" s="440" t="s">
        <v>101</v>
      </c>
      <c r="B34" s="429">
        <f>SUM('New York Water Taxi'!E74)</f>
        <v>2847</v>
      </c>
    </row>
    <row r="35" spans="1:6" ht="15.75" thickBot="1" x14ac:dyDescent="0.3">
      <c r="A35" s="468"/>
      <c r="B35" s="420"/>
    </row>
    <row r="36" spans="1:6" ht="13.5" customHeight="1" x14ac:dyDescent="0.25">
      <c r="A36" s="431" t="s">
        <v>63</v>
      </c>
      <c r="B36" s="429">
        <f>SUM('NYC Ferry'!E73,'New York Water Taxi'!D74)</f>
        <v>29826</v>
      </c>
    </row>
    <row r="37" spans="1:6" ht="14.25" customHeight="1" thickBot="1" x14ac:dyDescent="0.3">
      <c r="A37" s="422"/>
      <c r="B37" s="420"/>
    </row>
    <row r="38" spans="1:6" ht="14.25" customHeight="1" x14ac:dyDescent="0.25">
      <c r="A38" s="431" t="s">
        <v>98</v>
      </c>
      <c r="B38" s="429">
        <f>SUM('New York Water Taxi'!F74)</f>
        <v>5408</v>
      </c>
    </row>
    <row r="39" spans="1:6" ht="14.25" customHeight="1" thickBot="1" x14ac:dyDescent="0.3">
      <c r="A39" s="422"/>
      <c r="B39" s="420"/>
    </row>
    <row r="40" spans="1:6" ht="13.5" customHeight="1" x14ac:dyDescent="0.25">
      <c r="A40" s="431" t="s">
        <v>64</v>
      </c>
      <c r="B40" s="429">
        <f>SUM('NYC Ferry'!F73)</f>
        <v>10451</v>
      </c>
    </row>
    <row r="41" spans="1:6" ht="14.25" customHeight="1" thickBot="1" x14ac:dyDescent="0.3">
      <c r="A41" s="422"/>
      <c r="B41" s="420"/>
    </row>
    <row r="42" spans="1:6" ht="13.5" customHeight="1" x14ac:dyDescent="0.25">
      <c r="A42" s="431" t="s">
        <v>11</v>
      </c>
      <c r="B42" s="429">
        <f>SUM('NYC Ferry'!G73)</f>
        <v>29659</v>
      </c>
    </row>
    <row r="43" spans="1:6" ht="14.25" customHeight="1" thickBot="1" x14ac:dyDescent="0.3">
      <c r="A43" s="422"/>
      <c r="B43" s="420"/>
    </row>
    <row r="44" spans="1:6" ht="13.5" customHeight="1" x14ac:dyDescent="0.25">
      <c r="A44" s="431" t="s">
        <v>12</v>
      </c>
      <c r="B44" s="429">
        <f>SUM('NYC Ferry'!H73)</f>
        <v>19410</v>
      </c>
    </row>
    <row r="45" spans="1:6" ht="14.25" customHeight="1" thickBot="1" x14ac:dyDescent="0.3">
      <c r="A45" s="422"/>
      <c r="B45" s="420"/>
    </row>
    <row r="46" spans="1:6" ht="13.5" customHeight="1" x14ac:dyDescent="0.25">
      <c r="A46" s="431" t="s">
        <v>104</v>
      </c>
      <c r="B46" s="429">
        <f>SUM('NYC Ferry'!J73)</f>
        <v>8229</v>
      </c>
    </row>
    <row r="47" spans="1:6" ht="14.25" customHeight="1" thickBot="1" x14ac:dyDescent="0.3">
      <c r="A47" s="422"/>
      <c r="B47" s="420"/>
    </row>
    <row r="48" spans="1:6" ht="14.25" customHeight="1" x14ac:dyDescent="0.25">
      <c r="A48" s="431" t="s">
        <v>31</v>
      </c>
      <c r="B48" s="429">
        <f>SUM('NYC Ferry'!K73)</f>
        <v>0</v>
      </c>
      <c r="F48" s="6"/>
    </row>
    <row r="49" spans="1:2" ht="14.25" customHeight="1" thickBot="1" x14ac:dyDescent="0.3">
      <c r="A49" s="422"/>
      <c r="B49" s="420"/>
    </row>
    <row r="50" spans="1:2" ht="14.25" customHeight="1" x14ac:dyDescent="0.25">
      <c r="A50" s="431" t="s">
        <v>78</v>
      </c>
      <c r="B50" s="429">
        <f>SUM('NYC Ferry'!O73)</f>
        <v>3761</v>
      </c>
    </row>
    <row r="51" spans="1:2" ht="14.25" customHeight="1" thickBot="1" x14ac:dyDescent="0.3">
      <c r="A51" s="422"/>
      <c r="B51" s="420"/>
    </row>
    <row r="52" spans="1:2" ht="14.25" customHeight="1" x14ac:dyDescent="0.25">
      <c r="A52" s="431" t="s">
        <v>115</v>
      </c>
      <c r="B52" s="429">
        <f>'New York Water Taxi'!J74</f>
        <v>5265</v>
      </c>
    </row>
    <row r="53" spans="1:2" ht="14.25" customHeight="1" thickBot="1" x14ac:dyDescent="0.3">
      <c r="A53" s="422"/>
      <c r="B53" s="420"/>
    </row>
    <row r="54" spans="1:2" ht="14.25" customHeight="1" x14ac:dyDescent="0.25">
      <c r="A54" s="585" t="s">
        <v>117</v>
      </c>
      <c r="B54" s="429">
        <f>SUM('NYC Ferry'!N73,'New York Water Taxi'!H74)</f>
        <v>7737</v>
      </c>
    </row>
    <row r="55" spans="1:2" ht="14.25" customHeight="1" thickBot="1" x14ac:dyDescent="0.3">
      <c r="A55" s="586"/>
      <c r="B55" s="420"/>
    </row>
    <row r="56" spans="1:2" ht="14.25" customHeight="1" x14ac:dyDescent="0.25">
      <c r="A56" s="431" t="s">
        <v>87</v>
      </c>
      <c r="B56" s="429">
        <f>SUM('NYC Ferry'!S73)</f>
        <v>3813</v>
      </c>
    </row>
    <row r="57" spans="1:2" ht="14.25" customHeight="1" thickBot="1" x14ac:dyDescent="0.3">
      <c r="A57" s="422"/>
      <c r="B57" s="420"/>
    </row>
    <row r="58" spans="1:2" ht="14.25" customHeight="1" x14ac:dyDescent="0.25">
      <c r="A58" s="431" t="s">
        <v>88</v>
      </c>
      <c r="B58" s="429">
        <f>SUM('NYC Ferry'!T73)</f>
        <v>1232</v>
      </c>
    </row>
    <row r="59" spans="1:2" ht="14.25" customHeight="1" thickBot="1" x14ac:dyDescent="0.3">
      <c r="A59" s="422"/>
      <c r="B59" s="420"/>
    </row>
    <row r="60" spans="1:2" ht="14.25" customHeight="1" x14ac:dyDescent="0.25">
      <c r="A60" s="431" t="s">
        <v>90</v>
      </c>
      <c r="B60" s="429">
        <f>SUM('NYC Ferry'!U73)</f>
        <v>12283</v>
      </c>
    </row>
    <row r="61" spans="1:2" ht="14.25" customHeight="1" thickBot="1" x14ac:dyDescent="0.3">
      <c r="A61" s="422"/>
      <c r="B61" s="420"/>
    </row>
    <row r="62" spans="1:2" ht="14.25" customHeight="1" x14ac:dyDescent="0.25">
      <c r="A62" s="431" t="s">
        <v>89</v>
      </c>
      <c r="B62" s="429">
        <f>SUM('NYC Ferry'!V73)</f>
        <v>6632</v>
      </c>
    </row>
    <row r="63" spans="1:2" ht="14.25" customHeight="1" thickBot="1" x14ac:dyDescent="0.3">
      <c r="A63" s="422"/>
      <c r="B63" s="420"/>
    </row>
    <row r="64" spans="1:2" ht="14.25" customHeight="1" x14ac:dyDescent="0.25">
      <c r="A64" s="479" t="s">
        <v>106</v>
      </c>
      <c r="B64" s="429">
        <f>SUM('NYC Ferry'!P73)</f>
        <v>2859</v>
      </c>
    </row>
    <row r="65" spans="1:2" ht="14.25" customHeight="1" thickBot="1" x14ac:dyDescent="0.3">
      <c r="A65" s="480"/>
      <c r="B65" s="420"/>
    </row>
    <row r="66" spans="1:2" ht="14.25" customHeight="1" x14ac:dyDescent="0.25">
      <c r="A66" s="431" t="s">
        <v>72</v>
      </c>
      <c r="B66" s="429">
        <f>SUM('NYC Ferry'!M73)</f>
        <v>5247</v>
      </c>
    </row>
    <row r="67" spans="1:2" ht="14.25" customHeight="1" thickBot="1" x14ac:dyDescent="0.3">
      <c r="A67" s="422"/>
      <c r="B67" s="420"/>
    </row>
    <row r="68" spans="1:2" ht="14.25" customHeight="1" x14ac:dyDescent="0.25">
      <c r="A68" s="431" t="s">
        <v>71</v>
      </c>
      <c r="B68" s="429">
        <f>SUM('NYC Ferry'!L73)</f>
        <v>13527</v>
      </c>
    </row>
    <row r="69" spans="1:2" ht="14.25" customHeight="1" thickBot="1" x14ac:dyDescent="0.3">
      <c r="A69" s="422"/>
      <c r="B69" s="420"/>
    </row>
    <row r="70" spans="1:2" ht="14.25" customHeight="1" x14ac:dyDescent="0.25">
      <c r="A70" s="431" t="s">
        <v>81</v>
      </c>
      <c r="B70" s="429">
        <f>SUM('NYC Ferry'!Q73)</f>
        <v>10763</v>
      </c>
    </row>
    <row r="71" spans="1:2" ht="14.25" customHeight="1" thickBot="1" x14ac:dyDescent="0.3">
      <c r="A71" s="422"/>
      <c r="B71" s="420"/>
    </row>
    <row r="72" spans="1:2" ht="14.25" customHeight="1" x14ac:dyDescent="0.25">
      <c r="A72" s="431" t="s">
        <v>82</v>
      </c>
      <c r="B72" s="429">
        <f>SUM('NYC Ferry'!R73)</f>
        <v>8399</v>
      </c>
    </row>
    <row r="73" spans="1:2" ht="14.25" customHeight="1" thickBot="1" x14ac:dyDescent="0.3">
      <c r="A73" s="422"/>
      <c r="B73" s="420"/>
    </row>
    <row r="74" spans="1:2" ht="14.25" customHeight="1" x14ac:dyDescent="0.25">
      <c r="A74" s="431" t="s">
        <v>65</v>
      </c>
      <c r="B74" s="429">
        <f>SUM('NYC Ferry'!I73)</f>
        <v>17032</v>
      </c>
    </row>
    <row r="75" spans="1:2" ht="14.25" customHeight="1" thickBot="1" x14ac:dyDescent="0.3">
      <c r="A75" s="422"/>
      <c r="B75" s="420"/>
    </row>
    <row r="76" spans="1:2" x14ac:dyDescent="0.25">
      <c r="A76" s="463" t="s">
        <v>19</v>
      </c>
      <c r="B76" s="450">
        <f>SUM(B22:B75)</f>
        <v>1206508</v>
      </c>
    </row>
    <row r="77" spans="1:2" ht="15.75" thickBot="1" x14ac:dyDescent="0.3">
      <c r="A77" s="478"/>
      <c r="B77" s="47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J92" s="6"/>
    </row>
    <row r="93" spans="9:10" x14ac:dyDescent="0.25">
      <c r="J93" s="6"/>
    </row>
    <row r="94" spans="9:10" x14ac:dyDescent="0.25">
      <c r="I94" s="6"/>
      <c r="J94" s="6"/>
    </row>
    <row r="95" spans="9:10" x14ac:dyDescent="0.25">
      <c r="I95" s="6"/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  <c r="J103" s="6"/>
    </row>
    <row r="104" spans="9:10" x14ac:dyDescent="0.25">
      <c r="I104" s="6"/>
      <c r="J104" s="6"/>
    </row>
    <row r="105" spans="9:10" x14ac:dyDescent="0.25">
      <c r="I105" s="6"/>
      <c r="J105" s="6"/>
    </row>
    <row r="106" spans="9:10" x14ac:dyDescent="0.25">
      <c r="I106" s="6"/>
      <c r="J106" s="6"/>
    </row>
    <row r="107" spans="9:10" x14ac:dyDescent="0.25">
      <c r="I107" s="6"/>
    </row>
    <row r="108" spans="9:10" x14ac:dyDescent="0.25">
      <c r="I108" s="6"/>
      <c r="J108" s="6"/>
    </row>
    <row r="109" spans="9:10" x14ac:dyDescent="0.25">
      <c r="I109" s="6"/>
    </row>
    <row r="110" spans="9:10" x14ac:dyDescent="0.25">
      <c r="I110" s="6"/>
      <c r="J110" s="6"/>
    </row>
    <row r="111" spans="9:10" x14ac:dyDescent="0.25">
      <c r="I111" s="6"/>
      <c r="J111" s="6"/>
    </row>
    <row r="112" spans="9:10" x14ac:dyDescent="0.25">
      <c r="I112" s="6"/>
      <c r="J112" s="6"/>
    </row>
    <row r="113" spans="9:10" x14ac:dyDescent="0.25">
      <c r="I113" s="6"/>
      <c r="J113" s="6"/>
    </row>
  </sheetData>
  <mergeCells count="76">
    <mergeCell ref="A52:A53"/>
    <mergeCell ref="B52:B53"/>
    <mergeCell ref="A74:A75"/>
    <mergeCell ref="B74:B75"/>
    <mergeCell ref="A62:A63"/>
    <mergeCell ref="B60:B61"/>
    <mergeCell ref="B62:B63"/>
    <mergeCell ref="A70:A71"/>
    <mergeCell ref="B70:B71"/>
    <mergeCell ref="A72:A73"/>
    <mergeCell ref="B72:B73"/>
    <mergeCell ref="A56:A57"/>
    <mergeCell ref="A58:A59"/>
    <mergeCell ref="B56:B57"/>
    <mergeCell ref="B58:B59"/>
    <mergeCell ref="A60:A61"/>
    <mergeCell ref="A76:A77"/>
    <mergeCell ref="B76:B77"/>
    <mergeCell ref="A46:A47"/>
    <mergeCell ref="B46:B47"/>
    <mergeCell ref="A48:A49"/>
    <mergeCell ref="B48:B49"/>
    <mergeCell ref="A66:A67"/>
    <mergeCell ref="B66:B67"/>
    <mergeCell ref="A68:A69"/>
    <mergeCell ref="B68:B69"/>
    <mergeCell ref="A64:A65"/>
    <mergeCell ref="B64:B65"/>
    <mergeCell ref="A54:A55"/>
    <mergeCell ref="B54:B55"/>
    <mergeCell ref="A50:A51"/>
    <mergeCell ref="B50:B51"/>
    <mergeCell ref="A42:A43"/>
    <mergeCell ref="B42:B43"/>
    <mergeCell ref="A44:A45"/>
    <mergeCell ref="B44:B45"/>
    <mergeCell ref="A30:A31"/>
    <mergeCell ref="B30:B31"/>
    <mergeCell ref="A32:A33"/>
    <mergeCell ref="B32:B33"/>
    <mergeCell ref="A34:A35"/>
    <mergeCell ref="B34:B35"/>
    <mergeCell ref="A36:A37"/>
    <mergeCell ref="B36:B37"/>
    <mergeCell ref="A40:A41"/>
    <mergeCell ref="B40:B41"/>
    <mergeCell ref="A38:A39"/>
    <mergeCell ref="B38:B39"/>
    <mergeCell ref="A22:A23"/>
    <mergeCell ref="B22:B23"/>
    <mergeCell ref="A26:A27"/>
    <mergeCell ref="B26:B27"/>
    <mergeCell ref="A28:A29"/>
    <mergeCell ref="B28:B29"/>
    <mergeCell ref="A24:A25"/>
    <mergeCell ref="B24:B25"/>
    <mergeCell ref="B12:B13"/>
    <mergeCell ref="A18:A19"/>
    <mergeCell ref="B18:B19"/>
    <mergeCell ref="A21:B21"/>
    <mergeCell ref="A14:A15"/>
    <mergeCell ref="B14:B15"/>
    <mergeCell ref="A16:A17"/>
    <mergeCell ref="B16:B17"/>
    <mergeCell ref="A12:A13"/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60" sqref="A60:XFD70"/>
    </sheetView>
  </sheetViews>
  <sheetFormatPr defaultRowHeight="15" x14ac:dyDescent="0.25"/>
  <cols>
    <col min="1" max="1" width="18.7109375" style="1" bestFit="1" customWidth="1"/>
    <col min="2" max="2" width="10.7109375" style="138" bestFit="1" customWidth="1"/>
    <col min="3" max="3" width="10.7109375" style="138" customWidth="1"/>
    <col min="4" max="5" width="12.7109375" style="1" customWidth="1"/>
    <col min="6" max="6" width="14.5703125" style="1" customWidth="1"/>
    <col min="7" max="7" width="13.7109375" style="1" customWidth="1"/>
    <col min="8" max="12" width="11.7109375" style="1" customWidth="1"/>
    <col min="13" max="14" width="11.7109375" style="291" customWidth="1"/>
    <col min="15" max="18" width="11.7109375" style="1" customWidth="1"/>
    <col min="19" max="25" width="11.7109375" style="291" customWidth="1"/>
    <col min="26" max="26" width="14.28515625" customWidth="1"/>
    <col min="27" max="27" width="12.7109375" customWidth="1"/>
    <col min="28" max="28" width="12.42578125" customWidth="1"/>
    <col min="29" max="29" width="10.85546875" customWidth="1"/>
    <col min="30" max="30" width="10.5703125" customWidth="1"/>
    <col min="31" max="31" width="13.42578125" customWidth="1"/>
    <col min="32" max="32" width="11" customWidth="1"/>
    <col min="34" max="34" width="9.140625" style="405"/>
  </cols>
  <sheetData>
    <row r="1" spans="1:35" ht="15" customHeight="1" x14ac:dyDescent="0.25">
      <c r="A1" s="506" t="s">
        <v>52</v>
      </c>
      <c r="B1" s="509" t="s">
        <v>53</v>
      </c>
      <c r="C1" s="521" t="s">
        <v>70</v>
      </c>
      <c r="D1" s="522"/>
      <c r="E1" s="522"/>
      <c r="F1" s="522"/>
      <c r="G1" s="522"/>
      <c r="H1" s="522"/>
      <c r="I1" s="522"/>
      <c r="J1" s="523"/>
      <c r="K1" s="481" t="s">
        <v>71</v>
      </c>
      <c r="L1" s="516"/>
      <c r="M1" s="517"/>
      <c r="N1" s="481" t="s">
        <v>76</v>
      </c>
      <c r="O1" s="482"/>
      <c r="P1" s="482"/>
      <c r="Q1" s="482"/>
      <c r="R1" s="482"/>
      <c r="S1" s="482"/>
      <c r="T1" s="483"/>
      <c r="U1" s="481" t="s">
        <v>81</v>
      </c>
      <c r="V1" s="482"/>
      <c r="W1" s="482"/>
      <c r="X1" s="482"/>
      <c r="Y1" s="483"/>
      <c r="Z1" s="481" t="s">
        <v>86</v>
      </c>
      <c r="AA1" s="482"/>
      <c r="AB1" s="482"/>
      <c r="AC1" s="482"/>
      <c r="AD1" s="483"/>
      <c r="AE1" s="481" t="s">
        <v>90</v>
      </c>
      <c r="AF1" s="482"/>
      <c r="AG1" s="482"/>
      <c r="AH1" s="483"/>
      <c r="AI1" s="527"/>
    </row>
    <row r="2" spans="1:35" ht="15.75" customHeight="1" thickBot="1" x14ac:dyDescent="0.3">
      <c r="A2" s="507"/>
      <c r="B2" s="510"/>
      <c r="C2" s="524"/>
      <c r="D2" s="525"/>
      <c r="E2" s="525"/>
      <c r="F2" s="525"/>
      <c r="G2" s="525"/>
      <c r="H2" s="525"/>
      <c r="I2" s="525"/>
      <c r="J2" s="526"/>
      <c r="K2" s="518"/>
      <c r="L2" s="519"/>
      <c r="M2" s="520"/>
      <c r="N2" s="484"/>
      <c r="O2" s="485"/>
      <c r="P2" s="485"/>
      <c r="Q2" s="485"/>
      <c r="R2" s="485"/>
      <c r="S2" s="485"/>
      <c r="T2" s="486"/>
      <c r="U2" s="484"/>
      <c r="V2" s="485"/>
      <c r="W2" s="485"/>
      <c r="X2" s="485"/>
      <c r="Y2" s="486"/>
      <c r="Z2" s="484"/>
      <c r="AA2" s="485"/>
      <c r="AB2" s="485"/>
      <c r="AC2" s="485"/>
      <c r="AD2" s="486"/>
      <c r="AE2" s="484"/>
      <c r="AF2" s="485"/>
      <c r="AG2" s="485"/>
      <c r="AH2" s="486"/>
      <c r="AI2" s="527"/>
    </row>
    <row r="3" spans="1:35" ht="15" customHeight="1" x14ac:dyDescent="0.25">
      <c r="A3" s="507"/>
      <c r="B3" s="510"/>
      <c r="C3" s="512" t="s">
        <v>10</v>
      </c>
      <c r="D3" s="514" t="s">
        <v>14</v>
      </c>
      <c r="E3" s="514" t="s">
        <v>63</v>
      </c>
      <c r="F3" s="514" t="s">
        <v>64</v>
      </c>
      <c r="G3" s="514" t="s">
        <v>11</v>
      </c>
      <c r="H3" s="514" t="s">
        <v>12</v>
      </c>
      <c r="I3" s="514" t="s">
        <v>104</v>
      </c>
      <c r="J3" s="497" t="s">
        <v>31</v>
      </c>
      <c r="K3" s="512" t="s">
        <v>71</v>
      </c>
      <c r="L3" s="514" t="s">
        <v>72</v>
      </c>
      <c r="M3" s="497" t="s">
        <v>10</v>
      </c>
      <c r="N3" s="487" t="s">
        <v>77</v>
      </c>
      <c r="O3" s="489" t="s">
        <v>72</v>
      </c>
      <c r="P3" s="489" t="s">
        <v>78</v>
      </c>
      <c r="Q3" s="489" t="s">
        <v>79</v>
      </c>
      <c r="R3" s="489" t="s">
        <v>105</v>
      </c>
      <c r="S3" s="489" t="s">
        <v>63</v>
      </c>
      <c r="T3" s="491" t="s">
        <v>10</v>
      </c>
      <c r="U3" s="487" t="s">
        <v>81</v>
      </c>
      <c r="V3" s="489" t="s">
        <v>82</v>
      </c>
      <c r="W3" s="489" t="s">
        <v>65</v>
      </c>
      <c r="X3" s="489" t="s">
        <v>14</v>
      </c>
      <c r="Y3" s="491" t="s">
        <v>10</v>
      </c>
      <c r="Z3" s="487" t="s">
        <v>65</v>
      </c>
      <c r="AA3" s="489" t="s">
        <v>14</v>
      </c>
      <c r="AB3" s="489" t="s">
        <v>87</v>
      </c>
      <c r="AC3" s="489" t="s">
        <v>88</v>
      </c>
      <c r="AD3" s="491" t="s">
        <v>10</v>
      </c>
      <c r="AE3" s="529" t="s">
        <v>90</v>
      </c>
      <c r="AF3" s="489" t="s">
        <v>89</v>
      </c>
      <c r="AG3" s="489" t="s">
        <v>14</v>
      </c>
      <c r="AH3" s="489" t="s">
        <v>10</v>
      </c>
      <c r="AI3" s="527"/>
    </row>
    <row r="4" spans="1:35" ht="29.25" customHeight="1" thickBot="1" x14ac:dyDescent="0.3">
      <c r="A4" s="508"/>
      <c r="B4" s="511"/>
      <c r="C4" s="513"/>
      <c r="D4" s="515"/>
      <c r="E4" s="515"/>
      <c r="F4" s="515"/>
      <c r="G4" s="515"/>
      <c r="H4" s="515"/>
      <c r="I4" s="515"/>
      <c r="J4" s="498"/>
      <c r="K4" s="513"/>
      <c r="L4" s="515"/>
      <c r="M4" s="498"/>
      <c r="N4" s="488"/>
      <c r="O4" s="490"/>
      <c r="P4" s="490"/>
      <c r="Q4" s="490"/>
      <c r="R4" s="490"/>
      <c r="S4" s="490"/>
      <c r="T4" s="492"/>
      <c r="U4" s="488"/>
      <c r="V4" s="490"/>
      <c r="W4" s="490"/>
      <c r="X4" s="490"/>
      <c r="Y4" s="492"/>
      <c r="Z4" s="488"/>
      <c r="AA4" s="490"/>
      <c r="AB4" s="490"/>
      <c r="AC4" s="490"/>
      <c r="AD4" s="492"/>
      <c r="AE4" s="530"/>
      <c r="AF4" s="490"/>
      <c r="AG4" s="490"/>
      <c r="AH4" s="490"/>
      <c r="AI4" s="528"/>
    </row>
    <row r="5" spans="1:35" ht="15.75" hidden="1" customHeight="1" thickBot="1" x14ac:dyDescent="0.3">
      <c r="A5" s="155" t="s">
        <v>3</v>
      </c>
      <c r="B5" s="201">
        <v>43521</v>
      </c>
      <c r="C5" s="374"/>
      <c r="D5" s="282"/>
      <c r="E5" s="282"/>
      <c r="F5" s="282"/>
      <c r="G5" s="282"/>
      <c r="H5" s="282"/>
      <c r="I5" s="282"/>
      <c r="J5" s="370"/>
      <c r="K5" s="374"/>
      <c r="L5" s="282"/>
      <c r="M5" s="267"/>
      <c r="N5" s="289"/>
      <c r="O5" s="237"/>
      <c r="P5" s="237"/>
      <c r="Q5" s="237"/>
      <c r="R5" s="237"/>
      <c r="S5" s="237"/>
      <c r="T5" s="267"/>
      <c r="U5" s="289"/>
      <c r="V5" s="237"/>
      <c r="W5" s="237"/>
      <c r="X5" s="237"/>
      <c r="Y5" s="267"/>
      <c r="Z5" s="308"/>
      <c r="AA5" s="237"/>
      <c r="AB5" s="237"/>
      <c r="AC5" s="237"/>
      <c r="AD5" s="267"/>
      <c r="AE5" s="308"/>
      <c r="AF5" s="237"/>
      <c r="AG5" s="237"/>
      <c r="AH5" s="237"/>
      <c r="AI5" s="204">
        <f t="shared" ref="AI5" si="0">SUM(O5:AH5)</f>
        <v>0</v>
      </c>
    </row>
    <row r="6" spans="1:35" ht="17.25" hidden="1" customHeight="1" thickBot="1" x14ac:dyDescent="0.3">
      <c r="A6" s="155" t="s">
        <v>4</v>
      </c>
      <c r="B6" s="375">
        <v>43522</v>
      </c>
      <c r="C6" s="380"/>
      <c r="D6" s="381"/>
      <c r="E6" s="381"/>
      <c r="F6" s="381"/>
      <c r="G6" s="382"/>
      <c r="H6" s="383"/>
      <c r="I6" s="381"/>
      <c r="J6" s="288"/>
      <c r="K6" s="287"/>
      <c r="L6" s="381"/>
      <c r="M6" s="288"/>
      <c r="N6" s="287"/>
      <c r="O6" s="239"/>
      <c r="P6" s="239"/>
      <c r="Q6" s="239"/>
      <c r="R6" s="239"/>
      <c r="S6" s="239"/>
      <c r="T6" s="288"/>
      <c r="U6" s="287"/>
      <c r="V6" s="239"/>
      <c r="W6" s="239"/>
      <c r="X6" s="239"/>
      <c r="Y6" s="288"/>
      <c r="Z6" s="384"/>
      <c r="AA6" s="239"/>
      <c r="AB6" s="239"/>
      <c r="AC6" s="239"/>
      <c r="AD6" s="288"/>
      <c r="AE6" s="380"/>
      <c r="AF6" s="239"/>
      <c r="AG6" s="239"/>
      <c r="AH6" s="239"/>
      <c r="AI6" s="204">
        <f t="shared" ref="AI6:AI8" si="1">SUM(C6:AH6)</f>
        <v>0</v>
      </c>
    </row>
    <row r="7" spans="1:35" ht="15.75" hidden="1" customHeight="1" thickBot="1" x14ac:dyDescent="0.3">
      <c r="A7" s="155" t="s">
        <v>5</v>
      </c>
      <c r="B7" s="375">
        <v>43523</v>
      </c>
      <c r="C7" s="385"/>
      <c r="D7" s="386"/>
      <c r="E7" s="386"/>
      <c r="F7" s="386"/>
      <c r="G7" s="387"/>
      <c r="H7" s="388"/>
      <c r="I7" s="386"/>
      <c r="J7" s="264"/>
      <c r="K7" s="276"/>
      <c r="L7" s="386"/>
      <c r="M7" s="264"/>
      <c r="N7" s="276"/>
      <c r="O7" s="236"/>
      <c r="P7" s="236"/>
      <c r="Q7" s="236"/>
      <c r="R7" s="236"/>
      <c r="S7" s="236"/>
      <c r="T7" s="264"/>
      <c r="U7" s="276"/>
      <c r="V7" s="236"/>
      <c r="W7" s="236"/>
      <c r="X7" s="236"/>
      <c r="Y7" s="264"/>
      <c r="Z7" s="276"/>
      <c r="AA7" s="236"/>
      <c r="AB7" s="236"/>
      <c r="AC7" s="236"/>
      <c r="AD7" s="264"/>
      <c r="AE7" s="385"/>
      <c r="AF7" s="236"/>
      <c r="AG7" s="236"/>
      <c r="AH7" s="236"/>
      <c r="AI7" s="204">
        <f t="shared" si="1"/>
        <v>0</v>
      </c>
    </row>
    <row r="8" spans="1:35" ht="15.75" hidden="1" customHeight="1" thickBot="1" x14ac:dyDescent="0.3">
      <c r="A8" s="155" t="s">
        <v>6</v>
      </c>
      <c r="B8" s="375">
        <v>43524</v>
      </c>
      <c r="C8" s="385"/>
      <c r="D8" s="386"/>
      <c r="E8" s="386"/>
      <c r="F8" s="386"/>
      <c r="G8" s="387"/>
      <c r="H8" s="388"/>
      <c r="I8" s="386"/>
      <c r="J8" s="264"/>
      <c r="K8" s="276"/>
      <c r="L8" s="386"/>
      <c r="M8" s="264"/>
      <c r="N8" s="276"/>
      <c r="O8" s="236"/>
      <c r="P8" s="236"/>
      <c r="Q8" s="236"/>
      <c r="R8" s="236"/>
      <c r="S8" s="236"/>
      <c r="T8" s="264"/>
      <c r="U8" s="276"/>
      <c r="V8" s="236"/>
      <c r="W8" s="236"/>
      <c r="X8" s="236"/>
      <c r="Y8" s="264"/>
      <c r="Z8" s="276"/>
      <c r="AA8" s="236"/>
      <c r="AB8" s="236"/>
      <c r="AC8" s="236"/>
      <c r="AD8" s="264"/>
      <c r="AE8" s="385"/>
      <c r="AF8" s="236"/>
      <c r="AG8" s="236"/>
      <c r="AH8" s="236"/>
      <c r="AI8" s="204">
        <f t="shared" si="1"/>
        <v>0</v>
      </c>
    </row>
    <row r="9" spans="1:35" ht="15.75" thickBot="1" x14ac:dyDescent="0.3">
      <c r="A9" s="155" t="s">
        <v>0</v>
      </c>
      <c r="B9" s="375">
        <v>43525</v>
      </c>
      <c r="C9" s="385">
        <v>640</v>
      </c>
      <c r="D9" s="386">
        <v>666</v>
      </c>
      <c r="E9" s="386">
        <v>441</v>
      </c>
      <c r="F9" s="386">
        <v>340</v>
      </c>
      <c r="G9" s="387">
        <v>807</v>
      </c>
      <c r="H9" s="388">
        <v>638</v>
      </c>
      <c r="I9" s="386">
        <v>225</v>
      </c>
      <c r="J9" s="264"/>
      <c r="K9" s="276">
        <v>364</v>
      </c>
      <c r="L9" s="386">
        <v>101</v>
      </c>
      <c r="M9" s="264">
        <v>506</v>
      </c>
      <c r="N9" s="276">
        <v>85</v>
      </c>
      <c r="O9" s="236">
        <v>46</v>
      </c>
      <c r="P9" s="236">
        <v>136</v>
      </c>
      <c r="Q9" s="236"/>
      <c r="R9" s="236">
        <v>80</v>
      </c>
      <c r="S9" s="236">
        <v>150</v>
      </c>
      <c r="T9" s="264">
        <v>329</v>
      </c>
      <c r="U9" s="276">
        <v>342</v>
      </c>
      <c r="V9" s="236">
        <v>286</v>
      </c>
      <c r="W9" s="236">
        <v>307</v>
      </c>
      <c r="X9" s="236">
        <v>401</v>
      </c>
      <c r="Y9" s="264">
        <v>436</v>
      </c>
      <c r="Z9" s="276">
        <v>278</v>
      </c>
      <c r="AA9" s="236">
        <v>136</v>
      </c>
      <c r="AB9" s="236">
        <v>126</v>
      </c>
      <c r="AC9" s="236">
        <v>36</v>
      </c>
      <c r="AD9" s="264">
        <v>125</v>
      </c>
      <c r="AE9" s="385">
        <v>406</v>
      </c>
      <c r="AF9" s="236">
        <v>204</v>
      </c>
      <c r="AG9" s="236">
        <v>265</v>
      </c>
      <c r="AH9" s="236">
        <v>296</v>
      </c>
      <c r="AI9" s="204">
        <f>SUM(C9:AH9)</f>
        <v>9198</v>
      </c>
    </row>
    <row r="10" spans="1:35" ht="15.75" thickBot="1" x14ac:dyDescent="0.3">
      <c r="A10" s="155" t="s">
        <v>1</v>
      </c>
      <c r="B10" s="375">
        <v>43526</v>
      </c>
      <c r="C10" s="385">
        <v>310</v>
      </c>
      <c r="D10" s="386">
        <v>446</v>
      </c>
      <c r="E10" s="386">
        <v>445</v>
      </c>
      <c r="F10" s="386">
        <v>109</v>
      </c>
      <c r="G10" s="387">
        <v>623</v>
      </c>
      <c r="H10" s="388">
        <v>218</v>
      </c>
      <c r="I10" s="386">
        <v>146</v>
      </c>
      <c r="J10" s="264"/>
      <c r="K10" s="276">
        <v>213</v>
      </c>
      <c r="L10" s="386">
        <v>37</v>
      </c>
      <c r="M10" s="264">
        <v>207</v>
      </c>
      <c r="N10" s="276">
        <v>49</v>
      </c>
      <c r="O10" s="236">
        <v>29</v>
      </c>
      <c r="P10" s="236">
        <v>48</v>
      </c>
      <c r="Q10" s="236"/>
      <c r="R10" s="236">
        <v>24</v>
      </c>
      <c r="S10" s="236">
        <v>107</v>
      </c>
      <c r="T10" s="264">
        <v>111</v>
      </c>
      <c r="U10" s="276">
        <v>113</v>
      </c>
      <c r="V10" s="236">
        <v>114</v>
      </c>
      <c r="W10" s="236">
        <v>116</v>
      </c>
      <c r="X10" s="236">
        <v>148</v>
      </c>
      <c r="Y10" s="264">
        <v>51</v>
      </c>
      <c r="Z10" s="276">
        <v>110</v>
      </c>
      <c r="AA10" s="236">
        <v>19</v>
      </c>
      <c r="AB10" s="236">
        <v>68</v>
      </c>
      <c r="AC10" s="236">
        <v>19</v>
      </c>
      <c r="AD10" s="264">
        <v>44</v>
      </c>
      <c r="AE10" s="385">
        <v>134</v>
      </c>
      <c r="AF10" s="236">
        <v>64</v>
      </c>
      <c r="AG10" s="236">
        <v>55</v>
      </c>
      <c r="AH10" s="236">
        <v>92</v>
      </c>
      <c r="AI10" s="204">
        <f>SUM(C10:AH10)</f>
        <v>4269</v>
      </c>
    </row>
    <row r="11" spans="1:35" ht="15.75" thickBot="1" x14ac:dyDescent="0.3">
      <c r="A11" s="155" t="s">
        <v>2</v>
      </c>
      <c r="B11" s="375">
        <v>43527</v>
      </c>
      <c r="C11" s="385">
        <v>305</v>
      </c>
      <c r="D11" s="386">
        <v>448</v>
      </c>
      <c r="E11" s="386">
        <v>581</v>
      </c>
      <c r="F11" s="386">
        <v>169</v>
      </c>
      <c r="G11" s="387">
        <v>633</v>
      </c>
      <c r="H11" s="388">
        <v>228</v>
      </c>
      <c r="I11" s="386">
        <v>169</v>
      </c>
      <c r="J11" s="264"/>
      <c r="K11" s="276">
        <v>204</v>
      </c>
      <c r="L11" s="386">
        <v>25</v>
      </c>
      <c r="M11" s="264">
        <v>170</v>
      </c>
      <c r="N11" s="276">
        <v>93</v>
      </c>
      <c r="O11" s="236">
        <v>33</v>
      </c>
      <c r="P11" s="236">
        <v>49</v>
      </c>
      <c r="Q11" s="236"/>
      <c r="R11" s="236">
        <v>18</v>
      </c>
      <c r="S11" s="236">
        <v>97</v>
      </c>
      <c r="T11" s="264">
        <v>154</v>
      </c>
      <c r="U11" s="276">
        <v>147</v>
      </c>
      <c r="V11" s="236">
        <v>111</v>
      </c>
      <c r="W11" s="236">
        <v>134</v>
      </c>
      <c r="X11" s="236">
        <v>117</v>
      </c>
      <c r="Y11" s="264">
        <v>115</v>
      </c>
      <c r="Z11" s="276">
        <v>138</v>
      </c>
      <c r="AA11" s="236">
        <v>28</v>
      </c>
      <c r="AB11" s="236">
        <v>39</v>
      </c>
      <c r="AC11" s="236">
        <v>8</v>
      </c>
      <c r="AD11" s="264">
        <v>30</v>
      </c>
      <c r="AE11" s="385">
        <v>102</v>
      </c>
      <c r="AF11" s="236">
        <v>73</v>
      </c>
      <c r="AG11" s="236">
        <v>65</v>
      </c>
      <c r="AH11" s="236">
        <v>87</v>
      </c>
      <c r="AI11" s="204">
        <f>SUM(C11:AH11)</f>
        <v>4570</v>
      </c>
    </row>
    <row r="12" spans="1:35" ht="15.75" thickBot="1" x14ac:dyDescent="0.3">
      <c r="A12" s="164" t="s">
        <v>21</v>
      </c>
      <c r="B12" s="493" t="s">
        <v>24</v>
      </c>
      <c r="C12" s="277">
        <f t="shared" ref="C12:I12" si="2">SUM(C5:C11)</f>
        <v>1255</v>
      </c>
      <c r="D12" s="256">
        <f t="shared" si="2"/>
        <v>1560</v>
      </c>
      <c r="E12" s="256">
        <f t="shared" si="2"/>
        <v>1467</v>
      </c>
      <c r="F12" s="256">
        <f t="shared" si="2"/>
        <v>618</v>
      </c>
      <c r="G12" s="278">
        <f t="shared" si="2"/>
        <v>2063</v>
      </c>
      <c r="H12" s="371">
        <f t="shared" si="2"/>
        <v>1084</v>
      </c>
      <c r="I12" s="256">
        <f t="shared" si="2"/>
        <v>540</v>
      </c>
      <c r="J12" s="334">
        <f t="shared" ref="J12" si="3">SUM(J5:J11)</f>
        <v>0</v>
      </c>
      <c r="K12" s="277">
        <f t="shared" ref="K12:P12" si="4">SUM(K5:K11)</f>
        <v>781</v>
      </c>
      <c r="L12" s="256">
        <f t="shared" si="4"/>
        <v>163</v>
      </c>
      <c r="M12" s="334">
        <f t="shared" si="4"/>
        <v>883</v>
      </c>
      <c r="N12" s="277">
        <f t="shared" si="4"/>
        <v>227</v>
      </c>
      <c r="O12" s="256">
        <f t="shared" si="4"/>
        <v>108</v>
      </c>
      <c r="P12" s="256">
        <f t="shared" si="4"/>
        <v>233</v>
      </c>
      <c r="Q12" s="256">
        <f t="shared" ref="Q12" si="5">SUM(Q5:Q11)</f>
        <v>0</v>
      </c>
      <c r="R12" s="256">
        <f t="shared" ref="R12:Y12" si="6">SUM(R5:R11)</f>
        <v>122</v>
      </c>
      <c r="S12" s="256">
        <f t="shared" si="6"/>
        <v>354</v>
      </c>
      <c r="T12" s="334">
        <f t="shared" si="6"/>
        <v>594</v>
      </c>
      <c r="U12" s="277">
        <f t="shared" si="6"/>
        <v>602</v>
      </c>
      <c r="V12" s="256">
        <f t="shared" si="6"/>
        <v>511</v>
      </c>
      <c r="W12" s="256">
        <f t="shared" si="6"/>
        <v>557</v>
      </c>
      <c r="X12" s="256">
        <f t="shared" si="6"/>
        <v>666</v>
      </c>
      <c r="Y12" s="334">
        <f t="shared" si="6"/>
        <v>602</v>
      </c>
      <c r="Z12" s="277">
        <f t="shared" ref="Z12:AI12" si="7">SUM(Z5:Z11)</f>
        <v>526</v>
      </c>
      <c r="AA12" s="256">
        <f t="shared" si="7"/>
        <v>183</v>
      </c>
      <c r="AB12" s="256">
        <f t="shared" si="7"/>
        <v>233</v>
      </c>
      <c r="AC12" s="256">
        <f t="shared" si="7"/>
        <v>63</v>
      </c>
      <c r="AD12" s="334">
        <f t="shared" si="7"/>
        <v>199</v>
      </c>
      <c r="AE12" s="277">
        <f t="shared" si="7"/>
        <v>642</v>
      </c>
      <c r="AF12" s="256">
        <f t="shared" si="7"/>
        <v>341</v>
      </c>
      <c r="AG12" s="256">
        <f t="shared" si="7"/>
        <v>385</v>
      </c>
      <c r="AH12" s="256">
        <f t="shared" si="7"/>
        <v>475</v>
      </c>
      <c r="AI12" s="165">
        <f>SUM(AI5:AI11)</f>
        <v>18037</v>
      </c>
    </row>
    <row r="13" spans="1:35" ht="15.75" thickBot="1" x14ac:dyDescent="0.3">
      <c r="A13" s="114" t="s">
        <v>23</v>
      </c>
      <c r="B13" s="494"/>
      <c r="C13" s="277">
        <f>AVERAGE(C5:C11)</f>
        <v>418.33333333333331</v>
      </c>
      <c r="D13" s="256">
        <f t="shared" ref="D13:M13" si="8">AVERAGE(D5:D11)</f>
        <v>520</v>
      </c>
      <c r="E13" s="256">
        <f t="shared" si="8"/>
        <v>489</v>
      </c>
      <c r="F13" s="256">
        <f t="shared" si="8"/>
        <v>206</v>
      </c>
      <c r="G13" s="278">
        <f t="shared" si="8"/>
        <v>687.66666666666663</v>
      </c>
      <c r="H13" s="371">
        <f t="shared" si="8"/>
        <v>361.33333333333331</v>
      </c>
      <c r="I13" s="256">
        <f t="shared" si="8"/>
        <v>180</v>
      </c>
      <c r="J13" s="334" t="e">
        <f t="shared" si="8"/>
        <v>#DIV/0!</v>
      </c>
      <c r="K13" s="277">
        <f t="shared" si="8"/>
        <v>260.33333333333331</v>
      </c>
      <c r="L13" s="256">
        <f t="shared" si="8"/>
        <v>54.333333333333336</v>
      </c>
      <c r="M13" s="334">
        <f t="shared" si="8"/>
        <v>294.33333333333331</v>
      </c>
      <c r="N13" s="277">
        <f t="shared" ref="N13:T13" si="9">AVERAGE(N5:N11)</f>
        <v>75.666666666666671</v>
      </c>
      <c r="O13" s="256">
        <f t="shared" si="9"/>
        <v>36</v>
      </c>
      <c r="P13" s="256">
        <f t="shared" si="9"/>
        <v>77.666666666666671</v>
      </c>
      <c r="Q13" s="256" t="e">
        <f t="shared" si="9"/>
        <v>#DIV/0!</v>
      </c>
      <c r="R13" s="256">
        <f t="shared" si="9"/>
        <v>40.666666666666664</v>
      </c>
      <c r="S13" s="256">
        <f t="shared" si="9"/>
        <v>118</v>
      </c>
      <c r="T13" s="334">
        <f t="shared" si="9"/>
        <v>198</v>
      </c>
      <c r="U13" s="277">
        <f t="shared" ref="U13:AG13" si="10">AVERAGE(U5:U11)</f>
        <v>200.66666666666666</v>
      </c>
      <c r="V13" s="256">
        <f t="shared" si="10"/>
        <v>170.33333333333334</v>
      </c>
      <c r="W13" s="256">
        <f t="shared" si="10"/>
        <v>185.66666666666666</v>
      </c>
      <c r="X13" s="256">
        <f t="shared" si="10"/>
        <v>222</v>
      </c>
      <c r="Y13" s="334">
        <f t="shared" si="10"/>
        <v>200.66666666666666</v>
      </c>
      <c r="Z13" s="277">
        <f t="shared" si="10"/>
        <v>175.33333333333334</v>
      </c>
      <c r="AA13" s="256">
        <f t="shared" si="10"/>
        <v>61</v>
      </c>
      <c r="AB13" s="256">
        <f t="shared" si="10"/>
        <v>77.666666666666671</v>
      </c>
      <c r="AC13" s="256">
        <f t="shared" si="10"/>
        <v>21</v>
      </c>
      <c r="AD13" s="334">
        <f t="shared" si="10"/>
        <v>66.333333333333329</v>
      </c>
      <c r="AE13" s="277">
        <f t="shared" si="10"/>
        <v>214</v>
      </c>
      <c r="AF13" s="256">
        <f t="shared" si="10"/>
        <v>113.66666666666667</v>
      </c>
      <c r="AG13" s="256">
        <f t="shared" si="10"/>
        <v>128.33333333333334</v>
      </c>
      <c r="AH13" s="256">
        <f t="shared" ref="AH13" si="11">AVERAGE(AH5:AH11)</f>
        <v>158.33333333333334</v>
      </c>
      <c r="AI13" s="166">
        <f>AVERAGE(AI5:AI11)</f>
        <v>2576.7142857142858</v>
      </c>
    </row>
    <row r="14" spans="1:35" ht="15.75" thickBot="1" x14ac:dyDescent="0.3">
      <c r="A14" s="30" t="s">
        <v>20</v>
      </c>
      <c r="B14" s="494"/>
      <c r="C14" s="279">
        <f>SUM(C6:C9)</f>
        <v>640</v>
      </c>
      <c r="D14" s="257">
        <f t="shared" ref="D14:AG14" si="12">SUM(D5:D9)</f>
        <v>666</v>
      </c>
      <c r="E14" s="257">
        <f t="shared" si="12"/>
        <v>441</v>
      </c>
      <c r="F14" s="257">
        <f t="shared" si="12"/>
        <v>340</v>
      </c>
      <c r="G14" s="280">
        <f t="shared" si="12"/>
        <v>807</v>
      </c>
      <c r="H14" s="372">
        <f t="shared" si="12"/>
        <v>638</v>
      </c>
      <c r="I14" s="257">
        <f t="shared" si="12"/>
        <v>225</v>
      </c>
      <c r="J14" s="335">
        <f t="shared" si="12"/>
        <v>0</v>
      </c>
      <c r="K14" s="279">
        <f t="shared" si="12"/>
        <v>364</v>
      </c>
      <c r="L14" s="257">
        <f t="shared" si="12"/>
        <v>101</v>
      </c>
      <c r="M14" s="335">
        <f t="shared" si="12"/>
        <v>506</v>
      </c>
      <c r="N14" s="279">
        <f t="shared" si="12"/>
        <v>85</v>
      </c>
      <c r="O14" s="257">
        <f t="shared" si="12"/>
        <v>46</v>
      </c>
      <c r="P14" s="257">
        <f t="shared" si="12"/>
        <v>136</v>
      </c>
      <c r="Q14" s="257">
        <f t="shared" si="12"/>
        <v>0</v>
      </c>
      <c r="R14" s="257">
        <f t="shared" si="12"/>
        <v>80</v>
      </c>
      <c r="S14" s="257">
        <f t="shared" si="12"/>
        <v>150</v>
      </c>
      <c r="T14" s="335">
        <f t="shared" si="12"/>
        <v>329</v>
      </c>
      <c r="U14" s="279">
        <f t="shared" si="12"/>
        <v>342</v>
      </c>
      <c r="V14" s="257">
        <f t="shared" si="12"/>
        <v>286</v>
      </c>
      <c r="W14" s="257">
        <f t="shared" si="12"/>
        <v>307</v>
      </c>
      <c r="X14" s="257">
        <f t="shared" si="12"/>
        <v>401</v>
      </c>
      <c r="Y14" s="335">
        <f t="shared" si="12"/>
        <v>436</v>
      </c>
      <c r="Z14" s="279">
        <f t="shared" si="12"/>
        <v>278</v>
      </c>
      <c r="AA14" s="257">
        <f t="shared" si="12"/>
        <v>136</v>
      </c>
      <c r="AB14" s="257">
        <f t="shared" si="12"/>
        <v>126</v>
      </c>
      <c r="AC14" s="257">
        <f t="shared" si="12"/>
        <v>36</v>
      </c>
      <c r="AD14" s="335">
        <f t="shared" si="12"/>
        <v>125</v>
      </c>
      <c r="AE14" s="279">
        <f t="shared" si="12"/>
        <v>406</v>
      </c>
      <c r="AF14" s="257">
        <f t="shared" si="12"/>
        <v>204</v>
      </c>
      <c r="AG14" s="257">
        <f t="shared" si="12"/>
        <v>265</v>
      </c>
      <c r="AH14" s="257">
        <f t="shared" ref="AH14" si="13">SUM(AH5:AH9)</f>
        <v>296</v>
      </c>
      <c r="AI14" s="167">
        <f>SUM(AI5:AI9)</f>
        <v>9198</v>
      </c>
    </row>
    <row r="15" spans="1:35" ht="15.75" thickBot="1" x14ac:dyDescent="0.3">
      <c r="A15" s="30" t="s">
        <v>22</v>
      </c>
      <c r="B15" s="494"/>
      <c r="C15" s="279">
        <f>AVERAGE(C5:C9)</f>
        <v>640</v>
      </c>
      <c r="D15" s="257">
        <f t="shared" ref="D15:M15" si="14">AVERAGE(D5:D9)</f>
        <v>666</v>
      </c>
      <c r="E15" s="257">
        <f t="shared" si="14"/>
        <v>441</v>
      </c>
      <c r="F15" s="257">
        <f t="shared" si="14"/>
        <v>340</v>
      </c>
      <c r="G15" s="280">
        <f t="shared" si="14"/>
        <v>807</v>
      </c>
      <c r="H15" s="372">
        <f t="shared" si="14"/>
        <v>638</v>
      </c>
      <c r="I15" s="257">
        <f t="shared" si="14"/>
        <v>225</v>
      </c>
      <c r="J15" s="335" t="e">
        <f t="shared" si="14"/>
        <v>#DIV/0!</v>
      </c>
      <c r="K15" s="279">
        <f t="shared" si="14"/>
        <v>364</v>
      </c>
      <c r="L15" s="257">
        <f t="shared" si="14"/>
        <v>101</v>
      </c>
      <c r="M15" s="335">
        <f t="shared" si="14"/>
        <v>506</v>
      </c>
      <c r="N15" s="279">
        <f t="shared" ref="N15:T15" si="15">AVERAGE(N5:N9)</f>
        <v>85</v>
      </c>
      <c r="O15" s="257">
        <f t="shared" si="15"/>
        <v>46</v>
      </c>
      <c r="P15" s="257">
        <f t="shared" si="15"/>
        <v>136</v>
      </c>
      <c r="Q15" s="257" t="e">
        <f t="shared" si="15"/>
        <v>#DIV/0!</v>
      </c>
      <c r="R15" s="257">
        <f t="shared" si="15"/>
        <v>80</v>
      </c>
      <c r="S15" s="257">
        <f t="shared" si="15"/>
        <v>150</v>
      </c>
      <c r="T15" s="335">
        <f t="shared" si="15"/>
        <v>329</v>
      </c>
      <c r="U15" s="279">
        <f t="shared" ref="U15:AG15" si="16">AVERAGE(U5:U9)</f>
        <v>342</v>
      </c>
      <c r="V15" s="257">
        <f t="shared" si="16"/>
        <v>286</v>
      </c>
      <c r="W15" s="257">
        <f t="shared" si="16"/>
        <v>307</v>
      </c>
      <c r="X15" s="257">
        <f t="shared" si="16"/>
        <v>401</v>
      </c>
      <c r="Y15" s="335">
        <f t="shared" si="16"/>
        <v>436</v>
      </c>
      <c r="Z15" s="279">
        <f t="shared" si="16"/>
        <v>278</v>
      </c>
      <c r="AA15" s="257">
        <f t="shared" si="16"/>
        <v>136</v>
      </c>
      <c r="AB15" s="257">
        <f t="shared" si="16"/>
        <v>126</v>
      </c>
      <c r="AC15" s="257">
        <f t="shared" si="16"/>
        <v>36</v>
      </c>
      <c r="AD15" s="335">
        <f t="shared" si="16"/>
        <v>125</v>
      </c>
      <c r="AE15" s="279">
        <f t="shared" si="16"/>
        <v>406</v>
      </c>
      <c r="AF15" s="257">
        <f t="shared" si="16"/>
        <v>204</v>
      </c>
      <c r="AG15" s="257">
        <f t="shared" si="16"/>
        <v>265</v>
      </c>
      <c r="AH15" s="257">
        <f t="shared" ref="AH15" si="17">AVERAGE(AH5:AH9)</f>
        <v>296</v>
      </c>
      <c r="AI15" s="168">
        <f>AVERAGE(AI5:AI9)</f>
        <v>1839.6</v>
      </c>
    </row>
    <row r="16" spans="1:35" ht="15.75" thickBot="1" x14ac:dyDescent="0.3">
      <c r="A16" s="155" t="s">
        <v>3</v>
      </c>
      <c r="B16" s="375">
        <f>B11+1</f>
        <v>43528</v>
      </c>
      <c r="C16" s="385">
        <v>640</v>
      </c>
      <c r="D16" s="386">
        <v>629</v>
      </c>
      <c r="E16" s="236">
        <v>493</v>
      </c>
      <c r="F16" s="236">
        <v>313</v>
      </c>
      <c r="G16" s="266">
        <v>830</v>
      </c>
      <c r="H16" s="300">
        <v>541</v>
      </c>
      <c r="I16" s="236">
        <v>119</v>
      </c>
      <c r="J16" s="264"/>
      <c r="K16" s="276">
        <v>315</v>
      </c>
      <c r="L16" s="236">
        <v>99</v>
      </c>
      <c r="M16" s="264">
        <v>353</v>
      </c>
      <c r="N16" s="276">
        <v>55</v>
      </c>
      <c r="O16" s="236">
        <v>30</v>
      </c>
      <c r="P16" s="236">
        <v>102</v>
      </c>
      <c r="Q16" s="236"/>
      <c r="R16" s="236">
        <v>72</v>
      </c>
      <c r="S16" s="236">
        <v>125</v>
      </c>
      <c r="T16" s="264">
        <v>270</v>
      </c>
      <c r="U16" s="276">
        <v>320</v>
      </c>
      <c r="V16" s="236">
        <v>231</v>
      </c>
      <c r="W16" s="236">
        <v>256</v>
      </c>
      <c r="X16" s="236">
        <v>340</v>
      </c>
      <c r="Y16" s="264">
        <v>440</v>
      </c>
      <c r="Z16" s="276">
        <v>203</v>
      </c>
      <c r="AA16" s="236">
        <v>134</v>
      </c>
      <c r="AB16" s="236">
        <v>94</v>
      </c>
      <c r="AC16" s="236">
        <v>43</v>
      </c>
      <c r="AD16" s="264">
        <v>113</v>
      </c>
      <c r="AE16" s="276">
        <v>316</v>
      </c>
      <c r="AF16" s="236">
        <v>179</v>
      </c>
      <c r="AG16" s="236">
        <v>196</v>
      </c>
      <c r="AH16" s="236">
        <v>278</v>
      </c>
      <c r="AI16" s="204">
        <f>SUM(C16:AH16)</f>
        <v>8129</v>
      </c>
    </row>
    <row r="17" spans="1:35" ht="15.75" thickBot="1" x14ac:dyDescent="0.3">
      <c r="A17" s="155" t="s">
        <v>4</v>
      </c>
      <c r="B17" s="376">
        <f t="shared" ref="B17:B22" si="18">B16+1</f>
        <v>43529</v>
      </c>
      <c r="C17" s="385">
        <v>675</v>
      </c>
      <c r="D17" s="386">
        <v>744</v>
      </c>
      <c r="E17" s="236">
        <v>556</v>
      </c>
      <c r="F17" s="236">
        <v>496</v>
      </c>
      <c r="G17" s="266">
        <v>1065</v>
      </c>
      <c r="H17" s="300">
        <v>674</v>
      </c>
      <c r="I17" s="236">
        <v>212</v>
      </c>
      <c r="J17" s="264"/>
      <c r="K17" s="276">
        <v>446</v>
      </c>
      <c r="L17" s="236">
        <v>121</v>
      </c>
      <c r="M17" s="264">
        <v>516</v>
      </c>
      <c r="N17" s="276">
        <v>84</v>
      </c>
      <c r="O17" s="236">
        <v>54</v>
      </c>
      <c r="P17" s="236">
        <v>119</v>
      </c>
      <c r="Q17" s="236"/>
      <c r="R17" s="236">
        <v>85</v>
      </c>
      <c r="S17" s="236">
        <v>166</v>
      </c>
      <c r="T17" s="264">
        <v>314</v>
      </c>
      <c r="U17" s="281">
        <v>366</v>
      </c>
      <c r="V17" s="236">
        <v>301</v>
      </c>
      <c r="W17" s="236">
        <v>325</v>
      </c>
      <c r="X17" s="236">
        <v>404</v>
      </c>
      <c r="Y17" s="264">
        <v>488</v>
      </c>
      <c r="Z17" s="281">
        <v>283</v>
      </c>
      <c r="AA17" s="236">
        <v>176</v>
      </c>
      <c r="AB17" s="236">
        <v>145</v>
      </c>
      <c r="AC17" s="236">
        <v>40</v>
      </c>
      <c r="AD17" s="264">
        <v>119</v>
      </c>
      <c r="AE17" s="281">
        <v>441</v>
      </c>
      <c r="AF17" s="236">
        <v>233</v>
      </c>
      <c r="AG17" s="236">
        <v>288</v>
      </c>
      <c r="AH17" s="236">
        <v>377</v>
      </c>
      <c r="AI17" s="204">
        <f>SUM(C17:AH17)</f>
        <v>10313</v>
      </c>
    </row>
    <row r="18" spans="1:35" ht="15.75" thickBot="1" x14ac:dyDescent="0.3">
      <c r="A18" s="155" t="s">
        <v>5</v>
      </c>
      <c r="B18" s="376">
        <f t="shared" si="18"/>
        <v>43530</v>
      </c>
      <c r="C18" s="385">
        <v>628</v>
      </c>
      <c r="D18" s="386">
        <v>675</v>
      </c>
      <c r="E18" s="236">
        <v>426</v>
      </c>
      <c r="F18" s="236">
        <v>379</v>
      </c>
      <c r="G18" s="266">
        <v>975</v>
      </c>
      <c r="H18" s="300">
        <v>669</v>
      </c>
      <c r="I18" s="236">
        <v>158</v>
      </c>
      <c r="J18" s="264"/>
      <c r="K18" s="276">
        <v>429</v>
      </c>
      <c r="L18" s="236">
        <v>138</v>
      </c>
      <c r="M18" s="264">
        <v>473</v>
      </c>
      <c r="N18" s="276">
        <v>94</v>
      </c>
      <c r="O18" s="236">
        <v>37</v>
      </c>
      <c r="P18" s="236">
        <v>124</v>
      </c>
      <c r="Q18" s="236"/>
      <c r="R18" s="236">
        <v>71</v>
      </c>
      <c r="S18" s="236">
        <v>141</v>
      </c>
      <c r="T18" s="264">
        <v>289</v>
      </c>
      <c r="U18" s="276">
        <v>361</v>
      </c>
      <c r="V18" s="236">
        <v>305</v>
      </c>
      <c r="W18" s="236">
        <v>334</v>
      </c>
      <c r="X18" s="236">
        <v>389</v>
      </c>
      <c r="Y18" s="264">
        <v>475</v>
      </c>
      <c r="Z18" s="276">
        <v>273</v>
      </c>
      <c r="AA18" s="236">
        <v>135</v>
      </c>
      <c r="AB18" s="236">
        <v>134</v>
      </c>
      <c r="AC18" s="236">
        <v>41</v>
      </c>
      <c r="AD18" s="264">
        <v>108</v>
      </c>
      <c r="AE18" s="276">
        <v>437</v>
      </c>
      <c r="AF18" s="236">
        <v>190</v>
      </c>
      <c r="AG18" s="236">
        <v>286</v>
      </c>
      <c r="AH18" s="236">
        <v>338</v>
      </c>
      <c r="AI18" s="204">
        <f>SUM(C18:AH18)</f>
        <v>9512</v>
      </c>
    </row>
    <row r="19" spans="1:35" ht="15.75" thickBot="1" x14ac:dyDescent="0.3">
      <c r="A19" s="155" t="s">
        <v>6</v>
      </c>
      <c r="B19" s="377">
        <f t="shared" si="18"/>
        <v>43531</v>
      </c>
      <c r="C19" s="385">
        <v>641</v>
      </c>
      <c r="D19" s="386">
        <v>674</v>
      </c>
      <c r="E19" s="236">
        <v>433</v>
      </c>
      <c r="F19" s="236">
        <v>448</v>
      </c>
      <c r="G19" s="266">
        <v>879</v>
      </c>
      <c r="H19" s="300">
        <v>592</v>
      </c>
      <c r="I19" s="236">
        <v>179</v>
      </c>
      <c r="J19" s="264"/>
      <c r="K19" s="276">
        <v>417</v>
      </c>
      <c r="L19" s="236">
        <v>135</v>
      </c>
      <c r="M19" s="264">
        <v>498</v>
      </c>
      <c r="N19" s="276">
        <v>91</v>
      </c>
      <c r="O19" s="236">
        <v>57</v>
      </c>
      <c r="P19" s="236">
        <v>126</v>
      </c>
      <c r="Q19" s="236"/>
      <c r="R19" s="236">
        <v>76</v>
      </c>
      <c r="S19" s="236">
        <v>172</v>
      </c>
      <c r="T19" s="264">
        <v>359</v>
      </c>
      <c r="U19" s="276">
        <v>364</v>
      </c>
      <c r="V19" s="236">
        <v>306</v>
      </c>
      <c r="W19" s="236">
        <v>289</v>
      </c>
      <c r="X19" s="236">
        <v>378</v>
      </c>
      <c r="Y19" s="264">
        <v>469</v>
      </c>
      <c r="Z19" s="276">
        <v>284</v>
      </c>
      <c r="AA19" s="236">
        <v>186</v>
      </c>
      <c r="AB19" s="236">
        <v>133</v>
      </c>
      <c r="AC19" s="236">
        <v>42</v>
      </c>
      <c r="AD19" s="264">
        <v>109</v>
      </c>
      <c r="AE19" s="276">
        <v>457</v>
      </c>
      <c r="AF19" s="236">
        <v>302</v>
      </c>
      <c r="AG19" s="236">
        <v>263</v>
      </c>
      <c r="AH19" s="236">
        <v>326</v>
      </c>
      <c r="AI19" s="204">
        <f>SUM(C19:AH19)</f>
        <v>9685</v>
      </c>
    </row>
    <row r="20" spans="1:35" ht="15.75" thickBot="1" x14ac:dyDescent="0.3">
      <c r="A20" s="155" t="s">
        <v>0</v>
      </c>
      <c r="B20" s="377">
        <f t="shared" si="18"/>
        <v>43532</v>
      </c>
      <c r="C20" s="385">
        <v>687</v>
      </c>
      <c r="D20" s="386">
        <v>722</v>
      </c>
      <c r="E20" s="236">
        <v>569</v>
      </c>
      <c r="F20" s="236">
        <v>374</v>
      </c>
      <c r="G20" s="266">
        <v>943</v>
      </c>
      <c r="H20" s="300">
        <v>703</v>
      </c>
      <c r="I20" s="236">
        <v>252</v>
      </c>
      <c r="J20" s="264"/>
      <c r="K20" s="276">
        <v>473</v>
      </c>
      <c r="L20" s="236">
        <v>153</v>
      </c>
      <c r="M20" s="264">
        <v>545</v>
      </c>
      <c r="N20" s="276">
        <v>96</v>
      </c>
      <c r="O20" s="236">
        <v>42</v>
      </c>
      <c r="P20" s="236">
        <v>116</v>
      </c>
      <c r="Q20" s="236"/>
      <c r="R20" s="236">
        <v>81</v>
      </c>
      <c r="S20" s="236">
        <v>190</v>
      </c>
      <c r="T20" s="264">
        <v>343</v>
      </c>
      <c r="U20" s="276">
        <v>381</v>
      </c>
      <c r="V20" s="236">
        <v>301</v>
      </c>
      <c r="W20" s="236">
        <v>334</v>
      </c>
      <c r="X20" s="236">
        <v>362</v>
      </c>
      <c r="Y20" s="264">
        <v>459</v>
      </c>
      <c r="Z20" s="276">
        <v>304</v>
      </c>
      <c r="AA20" s="236">
        <v>133</v>
      </c>
      <c r="AB20" s="236">
        <v>157</v>
      </c>
      <c r="AC20" s="236">
        <v>58</v>
      </c>
      <c r="AD20" s="264">
        <v>130</v>
      </c>
      <c r="AE20" s="276">
        <v>446</v>
      </c>
      <c r="AF20" s="236">
        <v>216</v>
      </c>
      <c r="AG20" s="236">
        <v>243</v>
      </c>
      <c r="AH20" s="236">
        <v>301</v>
      </c>
      <c r="AI20" s="204">
        <f>SUM(C20:AH20)</f>
        <v>10114</v>
      </c>
    </row>
    <row r="21" spans="1:35" ht="15.75" thickBot="1" x14ac:dyDescent="0.3">
      <c r="A21" s="155" t="s">
        <v>1</v>
      </c>
      <c r="B21" s="378">
        <f t="shared" si="18"/>
        <v>43533</v>
      </c>
      <c r="C21" s="385">
        <v>633</v>
      </c>
      <c r="D21" s="386">
        <v>1040</v>
      </c>
      <c r="E21" s="236">
        <v>1106</v>
      </c>
      <c r="F21" s="236">
        <v>149</v>
      </c>
      <c r="G21" s="266">
        <v>1186</v>
      </c>
      <c r="H21" s="300">
        <v>590</v>
      </c>
      <c r="I21" s="236">
        <v>417</v>
      </c>
      <c r="J21" s="264"/>
      <c r="K21" s="276">
        <v>426</v>
      </c>
      <c r="L21" s="236">
        <v>65</v>
      </c>
      <c r="M21" s="264">
        <v>395</v>
      </c>
      <c r="N21" s="276">
        <v>177</v>
      </c>
      <c r="O21" s="236">
        <v>57</v>
      </c>
      <c r="P21" s="236">
        <v>94</v>
      </c>
      <c r="Q21" s="236"/>
      <c r="R21" s="236">
        <v>108</v>
      </c>
      <c r="S21" s="236">
        <v>263</v>
      </c>
      <c r="T21" s="264">
        <v>311</v>
      </c>
      <c r="U21" s="276">
        <v>279</v>
      </c>
      <c r="V21" s="236">
        <v>288</v>
      </c>
      <c r="W21" s="236">
        <v>229</v>
      </c>
      <c r="X21" s="236">
        <v>240</v>
      </c>
      <c r="Y21" s="264">
        <v>202</v>
      </c>
      <c r="Z21" s="276">
        <v>279</v>
      </c>
      <c r="AA21" s="236">
        <v>73</v>
      </c>
      <c r="AB21" s="236">
        <v>114</v>
      </c>
      <c r="AC21" s="236">
        <v>42</v>
      </c>
      <c r="AD21" s="264">
        <v>90</v>
      </c>
      <c r="AE21" s="276">
        <v>215</v>
      </c>
      <c r="AF21" s="236">
        <v>198</v>
      </c>
      <c r="AG21" s="236">
        <v>129</v>
      </c>
      <c r="AH21" s="236">
        <v>139</v>
      </c>
      <c r="AI21" s="204">
        <f>SUM(C21:AH21)</f>
        <v>9534</v>
      </c>
    </row>
    <row r="22" spans="1:35" ht="15.75" thickBot="1" x14ac:dyDescent="0.3">
      <c r="A22" s="155" t="s">
        <v>2</v>
      </c>
      <c r="B22" s="376">
        <f t="shared" si="18"/>
        <v>43534</v>
      </c>
      <c r="C22" s="385">
        <v>158</v>
      </c>
      <c r="D22" s="386">
        <v>314</v>
      </c>
      <c r="E22" s="236">
        <v>210</v>
      </c>
      <c r="F22" s="236">
        <v>51</v>
      </c>
      <c r="G22" s="266">
        <v>352</v>
      </c>
      <c r="H22" s="300">
        <v>131</v>
      </c>
      <c r="I22" s="236">
        <v>97</v>
      </c>
      <c r="J22" s="264"/>
      <c r="K22" s="276">
        <v>131</v>
      </c>
      <c r="L22" s="236">
        <v>41</v>
      </c>
      <c r="M22" s="264">
        <v>156</v>
      </c>
      <c r="N22" s="276">
        <v>50</v>
      </c>
      <c r="O22" s="236">
        <v>22</v>
      </c>
      <c r="P22" s="236">
        <v>35</v>
      </c>
      <c r="Q22" s="236"/>
      <c r="R22" s="236">
        <v>25</v>
      </c>
      <c r="S22" s="236">
        <v>47</v>
      </c>
      <c r="T22" s="264">
        <v>130</v>
      </c>
      <c r="U22" s="276">
        <v>104</v>
      </c>
      <c r="V22" s="236">
        <v>58</v>
      </c>
      <c r="W22" s="236">
        <v>81</v>
      </c>
      <c r="X22" s="236">
        <v>80</v>
      </c>
      <c r="Y22" s="264">
        <v>66</v>
      </c>
      <c r="Z22" s="276">
        <v>64</v>
      </c>
      <c r="AA22" s="236">
        <v>30</v>
      </c>
      <c r="AB22" s="236">
        <v>27</v>
      </c>
      <c r="AC22" s="236">
        <v>5</v>
      </c>
      <c r="AD22" s="264">
        <v>17</v>
      </c>
      <c r="AE22" s="276">
        <v>74</v>
      </c>
      <c r="AF22" s="236">
        <v>47</v>
      </c>
      <c r="AG22" s="236">
        <v>49</v>
      </c>
      <c r="AH22" s="236">
        <v>55</v>
      </c>
      <c r="AI22" s="204">
        <f>SUM(C22:AH22)</f>
        <v>2707</v>
      </c>
    </row>
    <row r="23" spans="1:35" ht="15.75" thickBot="1" x14ac:dyDescent="0.3">
      <c r="A23" s="164" t="s">
        <v>21</v>
      </c>
      <c r="B23" s="493" t="s">
        <v>25</v>
      </c>
      <c r="C23" s="277">
        <f t="shared" ref="C23:P23" si="19">SUM(C16:C22)</f>
        <v>4062</v>
      </c>
      <c r="D23" s="256">
        <f t="shared" si="19"/>
        <v>4798</v>
      </c>
      <c r="E23" s="256">
        <f t="shared" si="19"/>
        <v>3793</v>
      </c>
      <c r="F23" s="256">
        <f t="shared" si="19"/>
        <v>2210</v>
      </c>
      <c r="G23" s="278">
        <f t="shared" si="19"/>
        <v>6230</v>
      </c>
      <c r="H23" s="371">
        <f t="shared" si="19"/>
        <v>3900</v>
      </c>
      <c r="I23" s="256">
        <f t="shared" si="19"/>
        <v>1434</v>
      </c>
      <c r="J23" s="334">
        <f t="shared" si="19"/>
        <v>0</v>
      </c>
      <c r="K23" s="277">
        <f t="shared" si="19"/>
        <v>2637</v>
      </c>
      <c r="L23" s="256">
        <f t="shared" si="19"/>
        <v>752</v>
      </c>
      <c r="M23" s="334">
        <f t="shared" si="19"/>
        <v>2936</v>
      </c>
      <c r="N23" s="277">
        <f t="shared" si="19"/>
        <v>647</v>
      </c>
      <c r="O23" s="256">
        <f t="shared" si="19"/>
        <v>299</v>
      </c>
      <c r="P23" s="256">
        <f t="shared" si="19"/>
        <v>716</v>
      </c>
      <c r="Q23" s="256">
        <f t="shared" ref="Q23" si="20">SUM(Q16:Q22)</f>
        <v>0</v>
      </c>
      <c r="R23" s="256">
        <f t="shared" ref="R23:AA23" si="21">SUM(R16:R22)</f>
        <v>518</v>
      </c>
      <c r="S23" s="256">
        <f t="shared" si="21"/>
        <v>1104</v>
      </c>
      <c r="T23" s="334">
        <f t="shared" si="21"/>
        <v>2016</v>
      </c>
      <c r="U23" s="277">
        <f t="shared" si="21"/>
        <v>2175</v>
      </c>
      <c r="V23" s="256">
        <f t="shared" si="21"/>
        <v>1790</v>
      </c>
      <c r="W23" s="256">
        <f t="shared" si="21"/>
        <v>1848</v>
      </c>
      <c r="X23" s="256">
        <f t="shared" si="21"/>
        <v>2193</v>
      </c>
      <c r="Y23" s="334">
        <f t="shared" si="21"/>
        <v>2599</v>
      </c>
      <c r="Z23" s="277">
        <f t="shared" si="21"/>
        <v>1690</v>
      </c>
      <c r="AA23" s="256">
        <f t="shared" si="21"/>
        <v>867</v>
      </c>
      <c r="AB23" s="256">
        <f t="shared" ref="AB23:AG23" si="22">SUM(AB16:AB22)</f>
        <v>804</v>
      </c>
      <c r="AC23" s="256">
        <f t="shared" si="22"/>
        <v>271</v>
      </c>
      <c r="AD23" s="334">
        <f t="shared" si="22"/>
        <v>686</v>
      </c>
      <c r="AE23" s="277">
        <f t="shared" si="22"/>
        <v>2386</v>
      </c>
      <c r="AF23" s="256">
        <f t="shared" si="22"/>
        <v>1365</v>
      </c>
      <c r="AG23" s="256">
        <f t="shared" si="22"/>
        <v>1454</v>
      </c>
      <c r="AH23" s="256">
        <f t="shared" ref="AH23" si="23">SUM(AH16:AH22)</f>
        <v>1814</v>
      </c>
      <c r="AI23" s="165">
        <f>SUM(AI16:AI22)</f>
        <v>59994</v>
      </c>
    </row>
    <row r="24" spans="1:35" ht="15.75" thickBot="1" x14ac:dyDescent="0.3">
      <c r="A24" s="114" t="s">
        <v>23</v>
      </c>
      <c r="B24" s="494"/>
      <c r="C24" s="277">
        <f>AVERAGE(C16:C22)</f>
        <v>580.28571428571433</v>
      </c>
      <c r="D24" s="256">
        <f>AVERAGE(D16:D22)</f>
        <v>685.42857142857144</v>
      </c>
      <c r="E24" s="256">
        <f t="shared" ref="E24:M24" si="24">AVERAGE(E16:E22)</f>
        <v>541.85714285714289</v>
      </c>
      <c r="F24" s="256">
        <f t="shared" si="24"/>
        <v>315.71428571428572</v>
      </c>
      <c r="G24" s="278">
        <f t="shared" si="24"/>
        <v>890</v>
      </c>
      <c r="H24" s="371">
        <f t="shared" si="24"/>
        <v>557.14285714285711</v>
      </c>
      <c r="I24" s="256">
        <f t="shared" si="24"/>
        <v>204.85714285714286</v>
      </c>
      <c r="J24" s="334" t="e">
        <f t="shared" si="24"/>
        <v>#DIV/0!</v>
      </c>
      <c r="K24" s="277">
        <f t="shared" si="24"/>
        <v>376.71428571428572</v>
      </c>
      <c r="L24" s="256">
        <f t="shared" si="24"/>
        <v>107.42857142857143</v>
      </c>
      <c r="M24" s="334">
        <f t="shared" si="24"/>
        <v>419.42857142857144</v>
      </c>
      <c r="N24" s="277">
        <f t="shared" ref="N24:T24" si="25">AVERAGE(N16:N22)</f>
        <v>92.428571428571431</v>
      </c>
      <c r="O24" s="256">
        <f t="shared" si="25"/>
        <v>42.714285714285715</v>
      </c>
      <c r="P24" s="256">
        <f t="shared" si="25"/>
        <v>102.28571428571429</v>
      </c>
      <c r="Q24" s="256" t="e">
        <f t="shared" si="25"/>
        <v>#DIV/0!</v>
      </c>
      <c r="R24" s="256">
        <f t="shared" si="25"/>
        <v>74</v>
      </c>
      <c r="S24" s="256">
        <f t="shared" si="25"/>
        <v>157.71428571428572</v>
      </c>
      <c r="T24" s="334">
        <f t="shared" si="25"/>
        <v>288</v>
      </c>
      <c r="U24" s="277">
        <f t="shared" ref="U24:AG24" si="26">AVERAGE(U16:U22)</f>
        <v>310.71428571428572</v>
      </c>
      <c r="V24" s="256">
        <f t="shared" si="26"/>
        <v>255.71428571428572</v>
      </c>
      <c r="W24" s="256">
        <f t="shared" si="26"/>
        <v>264</v>
      </c>
      <c r="X24" s="256">
        <f t="shared" si="26"/>
        <v>313.28571428571428</v>
      </c>
      <c r="Y24" s="334">
        <f t="shared" si="26"/>
        <v>371.28571428571428</v>
      </c>
      <c r="Z24" s="277">
        <f t="shared" si="26"/>
        <v>241.42857142857142</v>
      </c>
      <c r="AA24" s="256">
        <f t="shared" si="26"/>
        <v>123.85714285714286</v>
      </c>
      <c r="AB24" s="256">
        <f t="shared" si="26"/>
        <v>114.85714285714286</v>
      </c>
      <c r="AC24" s="256">
        <f t="shared" si="26"/>
        <v>38.714285714285715</v>
      </c>
      <c r="AD24" s="334">
        <f t="shared" si="26"/>
        <v>98</v>
      </c>
      <c r="AE24" s="277">
        <f t="shared" si="26"/>
        <v>340.85714285714283</v>
      </c>
      <c r="AF24" s="256">
        <f t="shared" si="26"/>
        <v>195</v>
      </c>
      <c r="AG24" s="256">
        <f t="shared" si="26"/>
        <v>207.71428571428572</v>
      </c>
      <c r="AH24" s="256">
        <f t="shared" ref="AH24" si="27">AVERAGE(AH16:AH22)</f>
        <v>259.14285714285717</v>
      </c>
      <c r="AI24" s="166">
        <f>AVERAGE(AI16:AI22)</f>
        <v>8570.5714285714294</v>
      </c>
    </row>
    <row r="25" spans="1:35" ht="15.75" thickBot="1" x14ac:dyDescent="0.3">
      <c r="A25" s="30" t="s">
        <v>20</v>
      </c>
      <c r="B25" s="494"/>
      <c r="C25" s="279">
        <f t="shared" ref="C25:AG25" si="28">SUM(C16:C20)</f>
        <v>3271</v>
      </c>
      <c r="D25" s="257">
        <f t="shared" si="28"/>
        <v>3444</v>
      </c>
      <c r="E25" s="257">
        <f t="shared" si="28"/>
        <v>2477</v>
      </c>
      <c r="F25" s="257">
        <f t="shared" si="28"/>
        <v>2010</v>
      </c>
      <c r="G25" s="280">
        <f t="shared" si="28"/>
        <v>4692</v>
      </c>
      <c r="H25" s="372">
        <f t="shared" si="28"/>
        <v>3179</v>
      </c>
      <c r="I25" s="257">
        <f t="shared" si="28"/>
        <v>920</v>
      </c>
      <c r="J25" s="335">
        <f t="shared" si="28"/>
        <v>0</v>
      </c>
      <c r="K25" s="279">
        <f t="shared" si="28"/>
        <v>2080</v>
      </c>
      <c r="L25" s="257">
        <f t="shared" si="28"/>
        <v>646</v>
      </c>
      <c r="M25" s="335">
        <f t="shared" si="28"/>
        <v>2385</v>
      </c>
      <c r="N25" s="279">
        <f t="shared" si="28"/>
        <v>420</v>
      </c>
      <c r="O25" s="257">
        <f t="shared" si="28"/>
        <v>220</v>
      </c>
      <c r="P25" s="257">
        <f t="shared" si="28"/>
        <v>587</v>
      </c>
      <c r="Q25" s="257">
        <f t="shared" si="28"/>
        <v>0</v>
      </c>
      <c r="R25" s="257">
        <f t="shared" si="28"/>
        <v>385</v>
      </c>
      <c r="S25" s="257">
        <f t="shared" si="28"/>
        <v>794</v>
      </c>
      <c r="T25" s="335">
        <f t="shared" si="28"/>
        <v>1575</v>
      </c>
      <c r="U25" s="279">
        <f t="shared" si="28"/>
        <v>1792</v>
      </c>
      <c r="V25" s="257">
        <f t="shared" si="28"/>
        <v>1444</v>
      </c>
      <c r="W25" s="257">
        <f t="shared" si="28"/>
        <v>1538</v>
      </c>
      <c r="X25" s="257">
        <f t="shared" si="28"/>
        <v>1873</v>
      </c>
      <c r="Y25" s="335">
        <f t="shared" si="28"/>
        <v>2331</v>
      </c>
      <c r="Z25" s="279">
        <f t="shared" si="28"/>
        <v>1347</v>
      </c>
      <c r="AA25" s="257">
        <f t="shared" si="28"/>
        <v>764</v>
      </c>
      <c r="AB25" s="257">
        <f t="shared" si="28"/>
        <v>663</v>
      </c>
      <c r="AC25" s="257">
        <f t="shared" si="28"/>
        <v>224</v>
      </c>
      <c r="AD25" s="335">
        <f t="shared" si="28"/>
        <v>579</v>
      </c>
      <c r="AE25" s="279">
        <f t="shared" si="28"/>
        <v>2097</v>
      </c>
      <c r="AF25" s="257">
        <f t="shared" si="28"/>
        <v>1120</v>
      </c>
      <c r="AG25" s="257">
        <f t="shared" si="28"/>
        <v>1276</v>
      </c>
      <c r="AH25" s="257">
        <f t="shared" ref="AH25" si="29">SUM(AH16:AH20)</f>
        <v>1620</v>
      </c>
      <c r="AI25" s="167">
        <f>SUM(AI16:AI20)</f>
        <v>47753</v>
      </c>
    </row>
    <row r="26" spans="1:35" ht="15.75" thickBot="1" x14ac:dyDescent="0.3">
      <c r="A26" s="30" t="s">
        <v>22</v>
      </c>
      <c r="B26" s="502"/>
      <c r="C26" s="279">
        <f>AVERAGE(C16:C20)</f>
        <v>654.20000000000005</v>
      </c>
      <c r="D26" s="257">
        <f>AVERAGE(D16:D20)</f>
        <v>688.8</v>
      </c>
      <c r="E26" s="257">
        <f t="shared" ref="E26:M26" si="30">AVERAGE(E16:E20)</f>
        <v>495.4</v>
      </c>
      <c r="F26" s="257">
        <f t="shared" si="30"/>
        <v>402</v>
      </c>
      <c r="G26" s="280">
        <f t="shared" si="30"/>
        <v>938.4</v>
      </c>
      <c r="H26" s="372">
        <f t="shared" si="30"/>
        <v>635.79999999999995</v>
      </c>
      <c r="I26" s="257">
        <f t="shared" si="30"/>
        <v>184</v>
      </c>
      <c r="J26" s="335" t="e">
        <f t="shared" si="30"/>
        <v>#DIV/0!</v>
      </c>
      <c r="K26" s="279">
        <f t="shared" si="30"/>
        <v>416</v>
      </c>
      <c r="L26" s="257">
        <f t="shared" si="30"/>
        <v>129.19999999999999</v>
      </c>
      <c r="M26" s="335">
        <f t="shared" si="30"/>
        <v>477</v>
      </c>
      <c r="N26" s="279">
        <f t="shared" ref="N26:T26" si="31">AVERAGE(N16:N20)</f>
        <v>84</v>
      </c>
      <c r="O26" s="257">
        <f t="shared" si="31"/>
        <v>44</v>
      </c>
      <c r="P26" s="257">
        <f t="shared" si="31"/>
        <v>117.4</v>
      </c>
      <c r="Q26" s="257" t="e">
        <f t="shared" si="31"/>
        <v>#DIV/0!</v>
      </c>
      <c r="R26" s="257">
        <f t="shared" si="31"/>
        <v>77</v>
      </c>
      <c r="S26" s="257">
        <f t="shared" si="31"/>
        <v>158.80000000000001</v>
      </c>
      <c r="T26" s="335">
        <f t="shared" si="31"/>
        <v>315</v>
      </c>
      <c r="U26" s="279">
        <f t="shared" ref="U26:AG26" si="32">AVERAGE(U16:U20)</f>
        <v>358.4</v>
      </c>
      <c r="V26" s="257">
        <f t="shared" si="32"/>
        <v>288.8</v>
      </c>
      <c r="W26" s="257">
        <f t="shared" si="32"/>
        <v>307.60000000000002</v>
      </c>
      <c r="X26" s="257">
        <f t="shared" si="32"/>
        <v>374.6</v>
      </c>
      <c r="Y26" s="335">
        <f t="shared" si="32"/>
        <v>466.2</v>
      </c>
      <c r="Z26" s="279">
        <f t="shared" si="32"/>
        <v>269.39999999999998</v>
      </c>
      <c r="AA26" s="257">
        <f t="shared" si="32"/>
        <v>152.80000000000001</v>
      </c>
      <c r="AB26" s="257">
        <f t="shared" si="32"/>
        <v>132.6</v>
      </c>
      <c r="AC26" s="257">
        <f t="shared" si="32"/>
        <v>44.8</v>
      </c>
      <c r="AD26" s="335">
        <f t="shared" si="32"/>
        <v>115.8</v>
      </c>
      <c r="AE26" s="279">
        <f t="shared" si="32"/>
        <v>419.4</v>
      </c>
      <c r="AF26" s="257">
        <f t="shared" si="32"/>
        <v>224</v>
      </c>
      <c r="AG26" s="257">
        <f t="shared" si="32"/>
        <v>255.2</v>
      </c>
      <c r="AH26" s="257">
        <f t="shared" ref="AH26" si="33">AVERAGE(AH16:AH20)</f>
        <v>324</v>
      </c>
      <c r="AI26" s="168">
        <f>AVERAGE(AI16:AI20)</f>
        <v>9550.6</v>
      </c>
    </row>
    <row r="27" spans="1:35" ht="15.75" thickBot="1" x14ac:dyDescent="0.3">
      <c r="A27" s="155" t="s">
        <v>3</v>
      </c>
      <c r="B27" s="312">
        <f>B22+1</f>
        <v>43535</v>
      </c>
      <c r="C27" s="385">
        <v>958</v>
      </c>
      <c r="D27" s="386">
        <v>962</v>
      </c>
      <c r="E27" s="386">
        <v>840</v>
      </c>
      <c r="F27" s="195">
        <v>458</v>
      </c>
      <c r="G27" s="271">
        <v>1223</v>
      </c>
      <c r="H27" s="373">
        <v>747</v>
      </c>
      <c r="I27" s="195">
        <v>293</v>
      </c>
      <c r="J27" s="198"/>
      <c r="K27" s="281">
        <v>514</v>
      </c>
      <c r="L27" s="195">
        <v>123</v>
      </c>
      <c r="M27" s="198">
        <v>550</v>
      </c>
      <c r="N27" s="281">
        <v>149</v>
      </c>
      <c r="O27" s="195">
        <v>68</v>
      </c>
      <c r="P27" s="195">
        <v>166</v>
      </c>
      <c r="Q27" s="195"/>
      <c r="R27" s="195">
        <v>115</v>
      </c>
      <c r="S27" s="195">
        <v>228</v>
      </c>
      <c r="T27" s="198">
        <v>413</v>
      </c>
      <c r="U27" s="276">
        <v>428</v>
      </c>
      <c r="V27" s="236">
        <v>372</v>
      </c>
      <c r="W27" s="236">
        <v>344</v>
      </c>
      <c r="X27" s="236">
        <v>601</v>
      </c>
      <c r="Y27" s="264">
        <v>584</v>
      </c>
      <c r="Z27" s="276">
        <v>326</v>
      </c>
      <c r="AA27" s="236">
        <v>203</v>
      </c>
      <c r="AB27" s="236">
        <v>204</v>
      </c>
      <c r="AC27" s="236">
        <v>51</v>
      </c>
      <c r="AD27" s="264">
        <v>144</v>
      </c>
      <c r="AE27" s="276">
        <v>513</v>
      </c>
      <c r="AF27" s="236">
        <v>255</v>
      </c>
      <c r="AG27" s="236">
        <v>295</v>
      </c>
      <c r="AH27" s="236">
        <v>440</v>
      </c>
      <c r="AI27" s="204">
        <f>SUM(C27:AH27)</f>
        <v>12567</v>
      </c>
    </row>
    <row r="28" spans="1:35" ht="15.75" thickBot="1" x14ac:dyDescent="0.3">
      <c r="A28" s="155" t="s">
        <v>4</v>
      </c>
      <c r="B28" s="299">
        <f t="shared" ref="B28:B33" si="34">B27+1</f>
        <v>43536</v>
      </c>
      <c r="C28" s="385">
        <v>742</v>
      </c>
      <c r="D28" s="386">
        <v>812</v>
      </c>
      <c r="E28" s="386">
        <v>598</v>
      </c>
      <c r="F28" s="195">
        <v>428</v>
      </c>
      <c r="G28" s="271">
        <v>1061</v>
      </c>
      <c r="H28" s="373">
        <v>770</v>
      </c>
      <c r="I28" s="195">
        <v>247</v>
      </c>
      <c r="J28" s="198"/>
      <c r="K28" s="281">
        <v>472</v>
      </c>
      <c r="L28" s="195">
        <v>173</v>
      </c>
      <c r="M28" s="198">
        <v>533</v>
      </c>
      <c r="N28" s="281">
        <v>131</v>
      </c>
      <c r="O28" s="195">
        <v>45</v>
      </c>
      <c r="P28" s="195">
        <v>142</v>
      </c>
      <c r="Q28" s="195"/>
      <c r="R28" s="195">
        <v>91</v>
      </c>
      <c r="S28" s="195">
        <v>195</v>
      </c>
      <c r="T28" s="198">
        <v>355</v>
      </c>
      <c r="U28" s="276">
        <v>381</v>
      </c>
      <c r="V28" s="236">
        <v>335</v>
      </c>
      <c r="W28" s="236">
        <v>315</v>
      </c>
      <c r="X28" s="236">
        <v>407</v>
      </c>
      <c r="Y28" s="264">
        <v>500</v>
      </c>
      <c r="Z28" s="276">
        <v>285</v>
      </c>
      <c r="AA28" s="236">
        <v>174</v>
      </c>
      <c r="AB28" s="236">
        <v>173</v>
      </c>
      <c r="AC28" s="236">
        <v>46</v>
      </c>
      <c r="AD28" s="264">
        <v>164</v>
      </c>
      <c r="AE28" s="276">
        <v>482</v>
      </c>
      <c r="AF28" s="236">
        <v>243</v>
      </c>
      <c r="AG28" s="236">
        <v>297</v>
      </c>
      <c r="AH28" s="236">
        <v>396</v>
      </c>
      <c r="AI28" s="204">
        <f>SUM(C28:AH28)</f>
        <v>10993</v>
      </c>
    </row>
    <row r="29" spans="1:35" ht="15.75" thickBot="1" x14ac:dyDescent="0.3">
      <c r="A29" s="155" t="s">
        <v>5</v>
      </c>
      <c r="B29" s="299">
        <f t="shared" si="34"/>
        <v>43537</v>
      </c>
      <c r="C29" s="385">
        <v>810</v>
      </c>
      <c r="D29" s="386">
        <v>792</v>
      </c>
      <c r="E29" s="386">
        <v>712</v>
      </c>
      <c r="F29" s="195">
        <v>379</v>
      </c>
      <c r="G29" s="271">
        <v>1101</v>
      </c>
      <c r="H29" s="373">
        <v>753</v>
      </c>
      <c r="I29" s="195">
        <v>269</v>
      </c>
      <c r="J29" s="198"/>
      <c r="K29" s="281">
        <v>552</v>
      </c>
      <c r="L29" s="195">
        <v>152</v>
      </c>
      <c r="M29" s="198">
        <v>583</v>
      </c>
      <c r="N29" s="281">
        <v>127</v>
      </c>
      <c r="O29" s="195">
        <v>51</v>
      </c>
      <c r="P29" s="195">
        <v>143</v>
      </c>
      <c r="Q29" s="195"/>
      <c r="R29" s="195">
        <v>102</v>
      </c>
      <c r="S29" s="195">
        <v>222</v>
      </c>
      <c r="T29" s="198">
        <v>365</v>
      </c>
      <c r="U29" s="276">
        <v>424</v>
      </c>
      <c r="V29" s="236">
        <v>389</v>
      </c>
      <c r="W29" s="236">
        <v>393</v>
      </c>
      <c r="X29" s="236">
        <v>486</v>
      </c>
      <c r="Y29" s="264">
        <v>582</v>
      </c>
      <c r="Z29" s="276">
        <v>276</v>
      </c>
      <c r="AA29" s="236">
        <v>149</v>
      </c>
      <c r="AB29" s="236">
        <v>129</v>
      </c>
      <c r="AC29" s="236">
        <v>47</v>
      </c>
      <c r="AD29" s="264">
        <v>153</v>
      </c>
      <c r="AE29" s="276">
        <v>517</v>
      </c>
      <c r="AF29" s="236">
        <v>254</v>
      </c>
      <c r="AG29" s="236">
        <v>328</v>
      </c>
      <c r="AH29" s="236">
        <v>391</v>
      </c>
      <c r="AI29" s="204">
        <f>SUM(C29:AH29)</f>
        <v>11631</v>
      </c>
    </row>
    <row r="30" spans="1:35" ht="15.75" thickBot="1" x14ac:dyDescent="0.3">
      <c r="A30" s="155" t="s">
        <v>6</v>
      </c>
      <c r="B30" s="299">
        <f t="shared" si="34"/>
        <v>43538</v>
      </c>
      <c r="C30" s="385">
        <v>858</v>
      </c>
      <c r="D30" s="386">
        <v>858</v>
      </c>
      <c r="E30" s="386">
        <v>773</v>
      </c>
      <c r="F30" s="236">
        <v>440</v>
      </c>
      <c r="G30" s="266">
        <v>1392</v>
      </c>
      <c r="H30" s="300">
        <v>749</v>
      </c>
      <c r="I30" s="236">
        <v>325</v>
      </c>
      <c r="J30" s="264"/>
      <c r="K30" s="276">
        <v>535</v>
      </c>
      <c r="L30" s="236">
        <v>155</v>
      </c>
      <c r="M30" s="264">
        <v>583</v>
      </c>
      <c r="N30" s="276">
        <v>141</v>
      </c>
      <c r="O30" s="236">
        <v>59</v>
      </c>
      <c r="P30" s="236">
        <v>179</v>
      </c>
      <c r="Q30" s="236"/>
      <c r="R30" s="236">
        <v>129</v>
      </c>
      <c r="S30" s="236">
        <v>219</v>
      </c>
      <c r="T30" s="264">
        <v>433</v>
      </c>
      <c r="U30" s="276">
        <v>408</v>
      </c>
      <c r="V30" s="236">
        <v>426</v>
      </c>
      <c r="W30" s="236">
        <v>315</v>
      </c>
      <c r="X30" s="236">
        <v>425</v>
      </c>
      <c r="Y30" s="264">
        <v>514</v>
      </c>
      <c r="Z30" s="276">
        <v>334</v>
      </c>
      <c r="AA30" s="236">
        <v>216</v>
      </c>
      <c r="AB30" s="236">
        <v>161</v>
      </c>
      <c r="AC30" s="236">
        <v>51</v>
      </c>
      <c r="AD30" s="264">
        <v>151</v>
      </c>
      <c r="AE30" s="276">
        <v>545</v>
      </c>
      <c r="AF30" s="236">
        <v>252</v>
      </c>
      <c r="AG30" s="236">
        <v>334</v>
      </c>
      <c r="AH30" s="236">
        <v>426</v>
      </c>
      <c r="AI30" s="204">
        <f>SUM(C30:AH30)</f>
        <v>12386</v>
      </c>
    </row>
    <row r="31" spans="1:35" ht="15.75" thickBot="1" x14ac:dyDescent="0.3">
      <c r="A31" s="155" t="s">
        <v>0</v>
      </c>
      <c r="B31" s="299">
        <f t="shared" si="34"/>
        <v>43539</v>
      </c>
      <c r="C31" s="385">
        <v>956</v>
      </c>
      <c r="D31" s="386">
        <v>1070</v>
      </c>
      <c r="E31" s="386">
        <v>809</v>
      </c>
      <c r="F31" s="195">
        <v>403</v>
      </c>
      <c r="G31" s="271">
        <v>1114</v>
      </c>
      <c r="H31" s="373">
        <v>815</v>
      </c>
      <c r="I31" s="195">
        <v>341</v>
      </c>
      <c r="J31" s="198"/>
      <c r="K31" s="281">
        <v>492</v>
      </c>
      <c r="L31" s="195">
        <v>139</v>
      </c>
      <c r="M31" s="198">
        <v>570</v>
      </c>
      <c r="N31" s="281">
        <v>151</v>
      </c>
      <c r="O31" s="195">
        <v>75</v>
      </c>
      <c r="P31" s="195">
        <v>145</v>
      </c>
      <c r="Q31" s="195"/>
      <c r="R31" s="195">
        <v>151</v>
      </c>
      <c r="S31" s="195">
        <v>323</v>
      </c>
      <c r="T31" s="198">
        <v>488</v>
      </c>
      <c r="U31" s="276">
        <v>429</v>
      </c>
      <c r="V31" s="236">
        <v>347</v>
      </c>
      <c r="W31" s="236">
        <v>397</v>
      </c>
      <c r="X31" s="236">
        <v>493</v>
      </c>
      <c r="Y31" s="264">
        <v>638</v>
      </c>
      <c r="Z31" s="276">
        <v>335</v>
      </c>
      <c r="AA31" s="236">
        <v>193</v>
      </c>
      <c r="AB31" s="236">
        <v>186</v>
      </c>
      <c r="AC31" s="236">
        <v>54</v>
      </c>
      <c r="AD31" s="264">
        <v>145</v>
      </c>
      <c r="AE31" s="276">
        <v>560</v>
      </c>
      <c r="AF31" s="236">
        <v>270</v>
      </c>
      <c r="AG31" s="236">
        <v>347</v>
      </c>
      <c r="AH31" s="236">
        <v>456</v>
      </c>
      <c r="AI31" s="204">
        <f>SUM(C31:AH31)</f>
        <v>12892</v>
      </c>
    </row>
    <row r="32" spans="1:35" ht="15.75" thickBot="1" x14ac:dyDescent="0.3">
      <c r="A32" s="155" t="s">
        <v>1</v>
      </c>
      <c r="B32" s="299">
        <f t="shared" si="34"/>
        <v>43540</v>
      </c>
      <c r="C32" s="385">
        <v>524</v>
      </c>
      <c r="D32" s="386">
        <v>832</v>
      </c>
      <c r="E32" s="386">
        <v>1084</v>
      </c>
      <c r="F32" s="195">
        <v>308</v>
      </c>
      <c r="G32" s="271">
        <v>653</v>
      </c>
      <c r="H32" s="373">
        <v>551</v>
      </c>
      <c r="I32" s="195">
        <v>393</v>
      </c>
      <c r="J32" s="198"/>
      <c r="K32" s="281">
        <v>758</v>
      </c>
      <c r="L32" s="195">
        <v>41</v>
      </c>
      <c r="M32" s="198">
        <v>691</v>
      </c>
      <c r="N32" s="281">
        <v>152</v>
      </c>
      <c r="O32" s="195">
        <v>47</v>
      </c>
      <c r="P32" s="195">
        <v>106</v>
      </c>
      <c r="Q32" s="195"/>
      <c r="R32" s="195">
        <v>86</v>
      </c>
      <c r="S32" s="195">
        <v>134</v>
      </c>
      <c r="T32" s="198">
        <v>306</v>
      </c>
      <c r="U32" s="276">
        <v>447</v>
      </c>
      <c r="V32" s="236">
        <v>271</v>
      </c>
      <c r="W32" s="236">
        <v>234</v>
      </c>
      <c r="X32" s="236">
        <v>238</v>
      </c>
      <c r="Y32" s="264">
        <v>207</v>
      </c>
      <c r="Z32" s="276">
        <v>198</v>
      </c>
      <c r="AA32" s="236">
        <v>87</v>
      </c>
      <c r="AB32" s="236">
        <v>92</v>
      </c>
      <c r="AC32" s="236">
        <v>27</v>
      </c>
      <c r="AD32" s="264">
        <v>73</v>
      </c>
      <c r="AE32" s="276">
        <v>284</v>
      </c>
      <c r="AF32" s="236">
        <v>193</v>
      </c>
      <c r="AG32" s="236">
        <v>210</v>
      </c>
      <c r="AH32" s="236">
        <v>224</v>
      </c>
      <c r="AI32" s="204">
        <f>SUM(C32:AH32)</f>
        <v>9451</v>
      </c>
    </row>
    <row r="33" spans="1:35" ht="15.75" thickBot="1" x14ac:dyDescent="0.3">
      <c r="A33" s="155" t="s">
        <v>2</v>
      </c>
      <c r="B33" s="299">
        <f t="shared" si="34"/>
        <v>43541</v>
      </c>
      <c r="C33" s="385">
        <v>495</v>
      </c>
      <c r="D33" s="386">
        <v>671</v>
      </c>
      <c r="E33" s="386">
        <v>1021</v>
      </c>
      <c r="F33" s="195">
        <v>222</v>
      </c>
      <c r="G33" s="271">
        <v>865</v>
      </c>
      <c r="H33" s="373">
        <v>411</v>
      </c>
      <c r="I33" s="195">
        <v>339</v>
      </c>
      <c r="J33" s="198"/>
      <c r="K33" s="281">
        <v>266</v>
      </c>
      <c r="L33" s="195">
        <v>59</v>
      </c>
      <c r="M33" s="198">
        <v>257</v>
      </c>
      <c r="N33" s="281">
        <v>138</v>
      </c>
      <c r="O33" s="195">
        <v>24</v>
      </c>
      <c r="P33" s="195">
        <v>62</v>
      </c>
      <c r="Q33" s="195"/>
      <c r="R33" s="195">
        <v>87</v>
      </c>
      <c r="S33" s="195">
        <v>188</v>
      </c>
      <c r="T33" s="198">
        <v>248</v>
      </c>
      <c r="U33" s="281">
        <v>256</v>
      </c>
      <c r="V33" s="195">
        <v>190</v>
      </c>
      <c r="W33" s="195">
        <v>189</v>
      </c>
      <c r="X33" s="195">
        <v>148</v>
      </c>
      <c r="Y33" s="198">
        <v>173</v>
      </c>
      <c r="Z33" s="281">
        <v>172</v>
      </c>
      <c r="AA33" s="195">
        <v>66</v>
      </c>
      <c r="AB33" s="195">
        <v>68</v>
      </c>
      <c r="AC33" s="195">
        <v>29</v>
      </c>
      <c r="AD33" s="198">
        <v>98</v>
      </c>
      <c r="AE33" s="281">
        <v>166</v>
      </c>
      <c r="AF33" s="195">
        <v>115</v>
      </c>
      <c r="AG33" s="195">
        <v>92</v>
      </c>
      <c r="AH33" s="195">
        <v>131</v>
      </c>
      <c r="AI33" s="204">
        <f>SUM(C33:AH33)</f>
        <v>7246</v>
      </c>
    </row>
    <row r="34" spans="1:35" ht="15.75" thickBot="1" x14ac:dyDescent="0.3">
      <c r="A34" s="164" t="s">
        <v>21</v>
      </c>
      <c r="B34" s="493" t="s">
        <v>26</v>
      </c>
      <c r="C34" s="277">
        <f t="shared" ref="C34:I34" si="35">SUM(C27:C33)</f>
        <v>5343</v>
      </c>
      <c r="D34" s="256">
        <f t="shared" si="35"/>
        <v>5997</v>
      </c>
      <c r="E34" s="256">
        <f t="shared" si="35"/>
        <v>5837</v>
      </c>
      <c r="F34" s="256">
        <f t="shared" si="35"/>
        <v>2638</v>
      </c>
      <c r="G34" s="278">
        <f t="shared" si="35"/>
        <v>7409</v>
      </c>
      <c r="H34" s="371">
        <f t="shared" si="35"/>
        <v>4796</v>
      </c>
      <c r="I34" s="256">
        <f t="shared" si="35"/>
        <v>2207</v>
      </c>
      <c r="J34" s="334">
        <f t="shared" ref="J34" si="36">SUM(J27:J33)</f>
        <v>0</v>
      </c>
      <c r="K34" s="277">
        <f t="shared" ref="K34:P34" si="37">SUM(K27:K33)</f>
        <v>3589</v>
      </c>
      <c r="L34" s="256">
        <f t="shared" si="37"/>
        <v>842</v>
      </c>
      <c r="M34" s="334">
        <f t="shared" si="37"/>
        <v>3767</v>
      </c>
      <c r="N34" s="277">
        <f t="shared" si="37"/>
        <v>989</v>
      </c>
      <c r="O34" s="256">
        <f t="shared" si="37"/>
        <v>369</v>
      </c>
      <c r="P34" s="256">
        <f t="shared" si="37"/>
        <v>943</v>
      </c>
      <c r="Q34" s="256">
        <f t="shared" ref="Q34" si="38">SUM(Q27:Q33)</f>
        <v>0</v>
      </c>
      <c r="R34" s="256">
        <f t="shared" ref="R34:X34" si="39">SUM(R27:R33)</f>
        <v>761</v>
      </c>
      <c r="S34" s="256">
        <f t="shared" si="39"/>
        <v>1509</v>
      </c>
      <c r="T34" s="334">
        <f t="shared" si="39"/>
        <v>2608</v>
      </c>
      <c r="U34" s="277">
        <f t="shared" si="39"/>
        <v>2773</v>
      </c>
      <c r="V34" s="256">
        <f t="shared" si="39"/>
        <v>2330</v>
      </c>
      <c r="W34" s="256">
        <f t="shared" si="39"/>
        <v>2187</v>
      </c>
      <c r="X34" s="256">
        <f t="shared" si="39"/>
        <v>2798</v>
      </c>
      <c r="Y34" s="334">
        <f t="shared" ref="Y34:AG34" si="40">SUM(Y27:Y33)</f>
        <v>3198</v>
      </c>
      <c r="Z34" s="277">
        <f t="shared" si="40"/>
        <v>1926</v>
      </c>
      <c r="AA34" s="256">
        <f t="shared" si="40"/>
        <v>1088</v>
      </c>
      <c r="AB34" s="256">
        <f t="shared" si="40"/>
        <v>1013</v>
      </c>
      <c r="AC34" s="256">
        <f t="shared" si="40"/>
        <v>305</v>
      </c>
      <c r="AD34" s="334">
        <f t="shared" si="40"/>
        <v>928</v>
      </c>
      <c r="AE34" s="277">
        <f t="shared" si="40"/>
        <v>3067</v>
      </c>
      <c r="AF34" s="256">
        <f t="shared" si="40"/>
        <v>1582</v>
      </c>
      <c r="AG34" s="256">
        <f t="shared" si="40"/>
        <v>1903</v>
      </c>
      <c r="AH34" s="256">
        <f t="shared" ref="AH34" si="41">SUM(AH27:AH33)</f>
        <v>2464</v>
      </c>
      <c r="AI34" s="258">
        <f>SUM(AI27:AI33)</f>
        <v>77166</v>
      </c>
    </row>
    <row r="35" spans="1:35" ht="15.75" thickBot="1" x14ac:dyDescent="0.3">
      <c r="A35" s="114" t="s">
        <v>23</v>
      </c>
      <c r="B35" s="494"/>
      <c r="C35" s="277">
        <f>AVERAGE(C27:C33)</f>
        <v>763.28571428571433</v>
      </c>
      <c r="D35" s="256">
        <f>AVERAGE(D27:D33)</f>
        <v>856.71428571428567</v>
      </c>
      <c r="E35" s="256">
        <f t="shared" ref="E35:M35" si="42">AVERAGE(E27:E33)</f>
        <v>833.85714285714289</v>
      </c>
      <c r="F35" s="256">
        <f t="shared" si="42"/>
        <v>376.85714285714283</v>
      </c>
      <c r="G35" s="278">
        <f t="shared" si="42"/>
        <v>1058.4285714285713</v>
      </c>
      <c r="H35" s="371">
        <f t="shared" si="42"/>
        <v>685.14285714285711</v>
      </c>
      <c r="I35" s="256">
        <f t="shared" si="42"/>
        <v>315.28571428571428</v>
      </c>
      <c r="J35" s="334" t="e">
        <f t="shared" si="42"/>
        <v>#DIV/0!</v>
      </c>
      <c r="K35" s="277">
        <f t="shared" si="42"/>
        <v>512.71428571428567</v>
      </c>
      <c r="L35" s="256">
        <f t="shared" si="42"/>
        <v>120.28571428571429</v>
      </c>
      <c r="M35" s="334">
        <f t="shared" si="42"/>
        <v>538.14285714285711</v>
      </c>
      <c r="N35" s="277">
        <f t="shared" ref="N35:T35" si="43">AVERAGE(N27:N33)</f>
        <v>141.28571428571428</v>
      </c>
      <c r="O35" s="256">
        <f t="shared" si="43"/>
        <v>52.714285714285715</v>
      </c>
      <c r="P35" s="256">
        <f t="shared" si="43"/>
        <v>134.71428571428572</v>
      </c>
      <c r="Q35" s="256" t="e">
        <f t="shared" si="43"/>
        <v>#DIV/0!</v>
      </c>
      <c r="R35" s="256">
        <f t="shared" si="43"/>
        <v>108.71428571428571</v>
      </c>
      <c r="S35" s="256">
        <f t="shared" si="43"/>
        <v>215.57142857142858</v>
      </c>
      <c r="T35" s="334">
        <f t="shared" si="43"/>
        <v>372.57142857142856</v>
      </c>
      <c r="U35" s="277">
        <f t="shared" ref="U35:AI35" si="44">AVERAGE(U27:U33)</f>
        <v>396.14285714285717</v>
      </c>
      <c r="V35" s="256">
        <f t="shared" si="44"/>
        <v>332.85714285714283</v>
      </c>
      <c r="W35" s="256">
        <f t="shared" si="44"/>
        <v>312.42857142857144</v>
      </c>
      <c r="X35" s="256">
        <f t="shared" si="44"/>
        <v>399.71428571428572</v>
      </c>
      <c r="Y35" s="334">
        <f t="shared" si="44"/>
        <v>456.85714285714283</v>
      </c>
      <c r="Z35" s="277">
        <f t="shared" si="44"/>
        <v>275.14285714285717</v>
      </c>
      <c r="AA35" s="256">
        <f t="shared" si="44"/>
        <v>155.42857142857142</v>
      </c>
      <c r="AB35" s="256">
        <f t="shared" si="44"/>
        <v>144.71428571428572</v>
      </c>
      <c r="AC35" s="256">
        <f t="shared" si="44"/>
        <v>43.571428571428569</v>
      </c>
      <c r="AD35" s="334">
        <f t="shared" si="44"/>
        <v>132.57142857142858</v>
      </c>
      <c r="AE35" s="277">
        <f t="shared" si="44"/>
        <v>438.14285714285717</v>
      </c>
      <c r="AF35" s="256">
        <f t="shared" si="44"/>
        <v>226</v>
      </c>
      <c r="AG35" s="256">
        <f t="shared" si="44"/>
        <v>271.85714285714283</v>
      </c>
      <c r="AH35" s="256">
        <f t="shared" ref="AH35" si="45">AVERAGE(AH27:AH33)</f>
        <v>352</v>
      </c>
      <c r="AI35" s="259">
        <f t="shared" si="44"/>
        <v>11023.714285714286</v>
      </c>
    </row>
    <row r="36" spans="1:35" ht="15.75" thickBot="1" x14ac:dyDescent="0.3">
      <c r="A36" s="30" t="s">
        <v>20</v>
      </c>
      <c r="B36" s="494"/>
      <c r="C36" s="279">
        <f t="shared" ref="C36:I36" si="46">SUM(C27:C31)</f>
        <v>4324</v>
      </c>
      <c r="D36" s="257">
        <f t="shared" si="46"/>
        <v>4494</v>
      </c>
      <c r="E36" s="257">
        <f t="shared" si="46"/>
        <v>3732</v>
      </c>
      <c r="F36" s="257">
        <f t="shared" si="46"/>
        <v>2108</v>
      </c>
      <c r="G36" s="280">
        <f t="shared" si="46"/>
        <v>5891</v>
      </c>
      <c r="H36" s="372">
        <f t="shared" si="46"/>
        <v>3834</v>
      </c>
      <c r="I36" s="257">
        <f t="shared" si="46"/>
        <v>1475</v>
      </c>
      <c r="J36" s="335">
        <f t="shared" ref="J36" si="47">SUM(J27:J31)</f>
        <v>0</v>
      </c>
      <c r="K36" s="279">
        <f t="shared" ref="K36:P36" si="48">SUM(K27:K31)</f>
        <v>2565</v>
      </c>
      <c r="L36" s="257">
        <f t="shared" si="48"/>
        <v>742</v>
      </c>
      <c r="M36" s="335">
        <f t="shared" si="48"/>
        <v>2819</v>
      </c>
      <c r="N36" s="279">
        <f t="shared" si="48"/>
        <v>699</v>
      </c>
      <c r="O36" s="257">
        <f t="shared" si="48"/>
        <v>298</v>
      </c>
      <c r="P36" s="257">
        <f t="shared" si="48"/>
        <v>775</v>
      </c>
      <c r="Q36" s="257">
        <f t="shared" ref="Q36" si="49">SUM(Q27:Q31)</f>
        <v>0</v>
      </c>
      <c r="R36" s="257">
        <f t="shared" ref="R36:W36" si="50">SUM(R27:R31)</f>
        <v>588</v>
      </c>
      <c r="S36" s="257">
        <f t="shared" si="50"/>
        <v>1187</v>
      </c>
      <c r="T36" s="335">
        <f t="shared" si="50"/>
        <v>2054</v>
      </c>
      <c r="U36" s="279">
        <f t="shared" si="50"/>
        <v>2070</v>
      </c>
      <c r="V36" s="257">
        <f t="shared" si="50"/>
        <v>1869</v>
      </c>
      <c r="W36" s="257">
        <f t="shared" si="50"/>
        <v>1764</v>
      </c>
      <c r="X36" s="257">
        <f t="shared" ref="X36:AI36" si="51">SUM(X27:X31)</f>
        <v>2412</v>
      </c>
      <c r="Y36" s="335">
        <f t="shared" si="51"/>
        <v>2818</v>
      </c>
      <c r="Z36" s="279">
        <f t="shared" si="51"/>
        <v>1556</v>
      </c>
      <c r="AA36" s="257">
        <f t="shared" si="51"/>
        <v>935</v>
      </c>
      <c r="AB36" s="257">
        <f t="shared" si="51"/>
        <v>853</v>
      </c>
      <c r="AC36" s="257">
        <f t="shared" si="51"/>
        <v>249</v>
      </c>
      <c r="AD36" s="335">
        <f t="shared" si="51"/>
        <v>757</v>
      </c>
      <c r="AE36" s="279">
        <f t="shared" si="51"/>
        <v>2617</v>
      </c>
      <c r="AF36" s="257">
        <f t="shared" si="51"/>
        <v>1274</v>
      </c>
      <c r="AG36" s="257">
        <f t="shared" si="51"/>
        <v>1601</v>
      </c>
      <c r="AH36" s="257">
        <f t="shared" ref="AH36" si="52">SUM(AH27:AH31)</f>
        <v>2109</v>
      </c>
      <c r="AI36" s="260">
        <f t="shared" si="51"/>
        <v>60469</v>
      </c>
    </row>
    <row r="37" spans="1:35" ht="15.75" thickBot="1" x14ac:dyDescent="0.3">
      <c r="A37" s="30" t="s">
        <v>22</v>
      </c>
      <c r="B37" s="502"/>
      <c r="C37" s="279">
        <f>AVERAGE(C27:C31)</f>
        <v>864.8</v>
      </c>
      <c r="D37" s="257">
        <f>AVERAGE(D27:D31)</f>
        <v>898.8</v>
      </c>
      <c r="E37" s="257">
        <f t="shared" ref="E37:M37" si="53">AVERAGE(E27:E31)</f>
        <v>746.4</v>
      </c>
      <c r="F37" s="257">
        <f t="shared" si="53"/>
        <v>421.6</v>
      </c>
      <c r="G37" s="280">
        <f t="shared" si="53"/>
        <v>1178.2</v>
      </c>
      <c r="H37" s="372">
        <f t="shared" si="53"/>
        <v>766.8</v>
      </c>
      <c r="I37" s="257">
        <f t="shared" si="53"/>
        <v>295</v>
      </c>
      <c r="J37" s="335" t="e">
        <f t="shared" si="53"/>
        <v>#DIV/0!</v>
      </c>
      <c r="K37" s="279">
        <f t="shared" si="53"/>
        <v>513</v>
      </c>
      <c r="L37" s="257">
        <f t="shared" si="53"/>
        <v>148.4</v>
      </c>
      <c r="M37" s="335">
        <f t="shared" si="53"/>
        <v>563.79999999999995</v>
      </c>
      <c r="N37" s="279">
        <f t="shared" ref="N37:T37" si="54">AVERAGE(N27:N31)</f>
        <v>139.80000000000001</v>
      </c>
      <c r="O37" s="257">
        <f t="shared" si="54"/>
        <v>59.6</v>
      </c>
      <c r="P37" s="257">
        <f t="shared" si="54"/>
        <v>155</v>
      </c>
      <c r="Q37" s="257" t="e">
        <f t="shared" si="54"/>
        <v>#DIV/0!</v>
      </c>
      <c r="R37" s="257">
        <f t="shared" si="54"/>
        <v>117.6</v>
      </c>
      <c r="S37" s="257">
        <f t="shared" si="54"/>
        <v>237.4</v>
      </c>
      <c r="T37" s="335">
        <f t="shared" si="54"/>
        <v>410.8</v>
      </c>
      <c r="U37" s="279">
        <f t="shared" ref="U37:AI37" si="55">AVERAGE(U27:U31)</f>
        <v>414</v>
      </c>
      <c r="V37" s="257">
        <f t="shared" si="55"/>
        <v>373.8</v>
      </c>
      <c r="W37" s="257">
        <f t="shared" si="55"/>
        <v>352.8</v>
      </c>
      <c r="X37" s="257">
        <f t="shared" si="55"/>
        <v>482.4</v>
      </c>
      <c r="Y37" s="335">
        <f t="shared" si="55"/>
        <v>563.6</v>
      </c>
      <c r="Z37" s="279">
        <f t="shared" si="55"/>
        <v>311.2</v>
      </c>
      <c r="AA37" s="257">
        <f t="shared" si="55"/>
        <v>187</v>
      </c>
      <c r="AB37" s="257">
        <f t="shared" si="55"/>
        <v>170.6</v>
      </c>
      <c r="AC37" s="257">
        <f t="shared" si="55"/>
        <v>49.8</v>
      </c>
      <c r="AD37" s="335">
        <f t="shared" si="55"/>
        <v>151.4</v>
      </c>
      <c r="AE37" s="279">
        <f t="shared" si="55"/>
        <v>523.4</v>
      </c>
      <c r="AF37" s="257">
        <f t="shared" si="55"/>
        <v>254.8</v>
      </c>
      <c r="AG37" s="257">
        <f t="shared" si="55"/>
        <v>320.2</v>
      </c>
      <c r="AH37" s="257">
        <f t="shared" ref="AH37" si="56">AVERAGE(AH27:AH31)</f>
        <v>421.8</v>
      </c>
      <c r="AI37" s="261">
        <f t="shared" si="55"/>
        <v>12093.8</v>
      </c>
    </row>
    <row r="38" spans="1:35" ht="15.75" thickBot="1" x14ac:dyDescent="0.3">
      <c r="A38" s="155" t="s">
        <v>3</v>
      </c>
      <c r="B38" s="312">
        <f>B33+1</f>
        <v>43542</v>
      </c>
      <c r="C38" s="385">
        <v>842</v>
      </c>
      <c r="D38" s="386">
        <v>842</v>
      </c>
      <c r="E38" s="236">
        <v>771</v>
      </c>
      <c r="F38" s="236">
        <v>398</v>
      </c>
      <c r="G38" s="266">
        <v>1139</v>
      </c>
      <c r="H38" s="388">
        <v>765</v>
      </c>
      <c r="I38" s="236">
        <v>249</v>
      </c>
      <c r="J38" s="264"/>
      <c r="K38" s="276">
        <v>461</v>
      </c>
      <c r="L38" s="236">
        <v>179</v>
      </c>
      <c r="M38" s="264">
        <v>558</v>
      </c>
      <c r="N38" s="276">
        <v>126</v>
      </c>
      <c r="O38" s="236">
        <v>50</v>
      </c>
      <c r="P38" s="236">
        <v>137</v>
      </c>
      <c r="Q38" s="236"/>
      <c r="R38" s="236">
        <v>91</v>
      </c>
      <c r="S38" s="236">
        <v>257</v>
      </c>
      <c r="T38" s="264">
        <v>383</v>
      </c>
      <c r="U38" s="276">
        <v>379</v>
      </c>
      <c r="V38" s="236">
        <v>253</v>
      </c>
      <c r="W38" s="236">
        <v>361</v>
      </c>
      <c r="X38" s="236">
        <v>393</v>
      </c>
      <c r="Y38" s="264">
        <v>485</v>
      </c>
      <c r="Z38" s="276">
        <v>239</v>
      </c>
      <c r="AA38" s="236">
        <v>143</v>
      </c>
      <c r="AB38" s="236">
        <v>126</v>
      </c>
      <c r="AC38" s="236">
        <v>44</v>
      </c>
      <c r="AD38" s="264">
        <v>129</v>
      </c>
      <c r="AE38" s="276">
        <v>472</v>
      </c>
      <c r="AF38" s="236">
        <v>220</v>
      </c>
      <c r="AG38" s="236">
        <v>309</v>
      </c>
      <c r="AH38" s="236">
        <v>401</v>
      </c>
      <c r="AI38" s="204">
        <f>SUM(C38:AH38)</f>
        <v>11202</v>
      </c>
    </row>
    <row r="39" spans="1:35" ht="15.75" thickBot="1" x14ac:dyDescent="0.3">
      <c r="A39" s="155" t="s">
        <v>4</v>
      </c>
      <c r="B39" s="299">
        <f t="shared" ref="B39:B44" si="57">B38+1</f>
        <v>43543</v>
      </c>
      <c r="C39" s="385">
        <v>860</v>
      </c>
      <c r="D39" s="386">
        <v>876</v>
      </c>
      <c r="E39" s="236">
        <v>851</v>
      </c>
      <c r="F39" s="236">
        <v>435</v>
      </c>
      <c r="G39" s="266">
        <v>1150</v>
      </c>
      <c r="H39" s="388">
        <v>787</v>
      </c>
      <c r="I39" s="236">
        <v>295</v>
      </c>
      <c r="J39" s="264"/>
      <c r="K39" s="276">
        <v>506</v>
      </c>
      <c r="L39" s="236">
        <v>160</v>
      </c>
      <c r="M39" s="264">
        <v>606</v>
      </c>
      <c r="N39" s="276">
        <v>135</v>
      </c>
      <c r="O39" s="236">
        <v>71</v>
      </c>
      <c r="P39" s="236">
        <v>141</v>
      </c>
      <c r="Q39" s="236"/>
      <c r="R39" s="236">
        <v>120</v>
      </c>
      <c r="S39" s="236">
        <v>234</v>
      </c>
      <c r="T39" s="264">
        <v>406</v>
      </c>
      <c r="U39" s="276">
        <v>405</v>
      </c>
      <c r="V39" s="236">
        <v>291</v>
      </c>
      <c r="W39" s="236">
        <v>352</v>
      </c>
      <c r="X39" s="236">
        <v>429</v>
      </c>
      <c r="Y39" s="264">
        <v>572</v>
      </c>
      <c r="Z39" s="276">
        <v>266</v>
      </c>
      <c r="AA39" s="236">
        <v>196</v>
      </c>
      <c r="AB39" s="236">
        <v>170</v>
      </c>
      <c r="AC39" s="236">
        <v>51</v>
      </c>
      <c r="AD39" s="264">
        <v>143</v>
      </c>
      <c r="AE39" s="276">
        <v>507</v>
      </c>
      <c r="AF39" s="236">
        <v>244</v>
      </c>
      <c r="AG39" s="236">
        <v>363</v>
      </c>
      <c r="AH39" s="236">
        <v>403</v>
      </c>
      <c r="AI39" s="204">
        <f>SUM(C39:AH39)</f>
        <v>12025</v>
      </c>
    </row>
    <row r="40" spans="1:35" ht="15.75" thickBot="1" x14ac:dyDescent="0.3">
      <c r="A40" s="155" t="s">
        <v>5</v>
      </c>
      <c r="B40" s="299">
        <f t="shared" si="57"/>
        <v>43544</v>
      </c>
      <c r="C40" s="385">
        <v>850</v>
      </c>
      <c r="D40" s="386">
        <v>896</v>
      </c>
      <c r="E40" s="236">
        <v>799</v>
      </c>
      <c r="F40" s="236">
        <v>467</v>
      </c>
      <c r="G40" s="266">
        <v>1162</v>
      </c>
      <c r="H40" s="388">
        <v>737</v>
      </c>
      <c r="I40" s="236">
        <v>312</v>
      </c>
      <c r="J40" s="264"/>
      <c r="K40" s="276">
        <v>554</v>
      </c>
      <c r="L40" s="236">
        <v>160</v>
      </c>
      <c r="M40" s="264">
        <v>638</v>
      </c>
      <c r="N40" s="276">
        <v>133</v>
      </c>
      <c r="O40" s="236">
        <v>51</v>
      </c>
      <c r="P40" s="236">
        <v>157</v>
      </c>
      <c r="Q40" s="236"/>
      <c r="R40" s="236">
        <v>107</v>
      </c>
      <c r="S40" s="236">
        <v>239</v>
      </c>
      <c r="T40" s="264">
        <v>446</v>
      </c>
      <c r="U40" s="276">
        <v>291</v>
      </c>
      <c r="V40" s="236">
        <v>219</v>
      </c>
      <c r="W40" s="236">
        <v>294</v>
      </c>
      <c r="X40" s="236">
        <v>327</v>
      </c>
      <c r="Y40" s="264">
        <v>545</v>
      </c>
      <c r="Z40" s="276">
        <v>284</v>
      </c>
      <c r="AA40" s="236">
        <v>209</v>
      </c>
      <c r="AB40" s="236">
        <v>131</v>
      </c>
      <c r="AC40" s="236">
        <v>53</v>
      </c>
      <c r="AD40" s="264">
        <v>176</v>
      </c>
      <c r="AE40" s="276">
        <v>540</v>
      </c>
      <c r="AF40" s="236">
        <v>364</v>
      </c>
      <c r="AG40" s="236">
        <v>306</v>
      </c>
      <c r="AH40" s="236">
        <v>431</v>
      </c>
      <c r="AI40" s="204">
        <f>SUM(C40:AH40)</f>
        <v>11878</v>
      </c>
    </row>
    <row r="41" spans="1:35" ht="15.75" thickBot="1" x14ac:dyDescent="0.3">
      <c r="A41" s="155" t="s">
        <v>6</v>
      </c>
      <c r="B41" s="299">
        <f t="shared" si="57"/>
        <v>43545</v>
      </c>
      <c r="C41" s="385">
        <v>616</v>
      </c>
      <c r="D41" s="386">
        <v>519</v>
      </c>
      <c r="E41" s="236">
        <v>296</v>
      </c>
      <c r="F41" s="236">
        <v>352</v>
      </c>
      <c r="G41" s="266">
        <v>883</v>
      </c>
      <c r="H41" s="388">
        <v>664</v>
      </c>
      <c r="I41" s="236">
        <v>151</v>
      </c>
      <c r="J41" s="264"/>
      <c r="K41" s="276">
        <v>397</v>
      </c>
      <c r="L41" s="236">
        <v>128</v>
      </c>
      <c r="M41" s="264">
        <v>451</v>
      </c>
      <c r="N41" s="276">
        <v>132</v>
      </c>
      <c r="O41" s="236">
        <v>57</v>
      </c>
      <c r="P41" s="236">
        <v>120</v>
      </c>
      <c r="Q41" s="236"/>
      <c r="R41" s="236">
        <v>58</v>
      </c>
      <c r="S41" s="236">
        <v>130</v>
      </c>
      <c r="T41" s="264">
        <v>293</v>
      </c>
      <c r="U41" s="276">
        <v>359</v>
      </c>
      <c r="V41" s="236">
        <v>213</v>
      </c>
      <c r="W41" s="236">
        <v>312</v>
      </c>
      <c r="X41" s="236">
        <v>326</v>
      </c>
      <c r="Y41" s="264">
        <v>477</v>
      </c>
      <c r="Z41" s="276">
        <v>208</v>
      </c>
      <c r="AA41" s="236">
        <v>152</v>
      </c>
      <c r="AB41" s="236">
        <v>133</v>
      </c>
      <c r="AC41" s="236">
        <v>36</v>
      </c>
      <c r="AD41" s="264">
        <v>116</v>
      </c>
      <c r="AE41" s="276">
        <v>433</v>
      </c>
      <c r="AF41" s="236">
        <v>190</v>
      </c>
      <c r="AG41" s="236">
        <v>258</v>
      </c>
      <c r="AH41" s="236">
        <v>326</v>
      </c>
      <c r="AI41" s="204">
        <f t="shared" ref="AI39:AI44" si="58">SUM(C41:AH41)</f>
        <v>8786</v>
      </c>
    </row>
    <row r="42" spans="1:35" ht="15.75" thickBot="1" x14ac:dyDescent="0.3">
      <c r="A42" s="155" t="s">
        <v>0</v>
      </c>
      <c r="B42" s="299">
        <f t="shared" si="57"/>
        <v>43546</v>
      </c>
      <c r="C42" s="385">
        <v>609</v>
      </c>
      <c r="D42" s="386">
        <v>800</v>
      </c>
      <c r="E42" s="236">
        <v>634</v>
      </c>
      <c r="F42" s="236">
        <v>309</v>
      </c>
      <c r="G42" s="266">
        <v>858</v>
      </c>
      <c r="H42" s="388">
        <v>588</v>
      </c>
      <c r="I42" s="236">
        <v>268</v>
      </c>
      <c r="J42" s="264"/>
      <c r="K42" s="276">
        <v>401</v>
      </c>
      <c r="L42" s="236">
        <v>124</v>
      </c>
      <c r="M42" s="264">
        <v>464</v>
      </c>
      <c r="N42" s="276">
        <v>96</v>
      </c>
      <c r="O42" s="236">
        <v>53</v>
      </c>
      <c r="P42" s="236">
        <v>129</v>
      </c>
      <c r="Q42" s="236"/>
      <c r="R42" s="236">
        <v>68</v>
      </c>
      <c r="S42" s="236">
        <v>186</v>
      </c>
      <c r="T42" s="264">
        <v>311</v>
      </c>
      <c r="U42" s="276">
        <v>347</v>
      </c>
      <c r="V42" s="236">
        <v>249</v>
      </c>
      <c r="W42" s="236">
        <v>317</v>
      </c>
      <c r="X42" s="236">
        <v>387</v>
      </c>
      <c r="Y42" s="264">
        <v>421</v>
      </c>
      <c r="Z42" s="276">
        <v>269</v>
      </c>
      <c r="AA42" s="236">
        <v>113</v>
      </c>
      <c r="AB42" s="236">
        <v>116</v>
      </c>
      <c r="AC42" s="236">
        <v>46</v>
      </c>
      <c r="AD42" s="264">
        <v>121</v>
      </c>
      <c r="AE42" s="276">
        <v>440</v>
      </c>
      <c r="AF42" s="236">
        <v>193</v>
      </c>
      <c r="AG42" s="236">
        <v>332</v>
      </c>
      <c r="AH42" s="236">
        <v>350</v>
      </c>
      <c r="AI42" s="204">
        <f>SUM(C42:AH42)</f>
        <v>9599</v>
      </c>
    </row>
    <row r="43" spans="1:35" ht="15.75" thickBot="1" x14ac:dyDescent="0.3">
      <c r="A43" s="155" t="s">
        <v>1</v>
      </c>
      <c r="B43" s="299">
        <f t="shared" si="57"/>
        <v>43547</v>
      </c>
      <c r="C43" s="385">
        <v>550</v>
      </c>
      <c r="D43" s="386">
        <v>713</v>
      </c>
      <c r="E43" s="236">
        <v>1054</v>
      </c>
      <c r="F43" s="236">
        <v>169</v>
      </c>
      <c r="G43" s="266">
        <v>691</v>
      </c>
      <c r="H43" s="388">
        <v>559</v>
      </c>
      <c r="I43" s="236">
        <v>372</v>
      </c>
      <c r="J43" s="264"/>
      <c r="K43" s="276">
        <v>346</v>
      </c>
      <c r="L43" s="236">
        <v>35</v>
      </c>
      <c r="M43" s="264">
        <v>259</v>
      </c>
      <c r="N43" s="276">
        <v>1</v>
      </c>
      <c r="O43" s="236">
        <v>96</v>
      </c>
      <c r="P43" s="236">
        <v>98</v>
      </c>
      <c r="Q43" s="236"/>
      <c r="R43" s="236">
        <v>32</v>
      </c>
      <c r="S43" s="236">
        <v>167</v>
      </c>
      <c r="T43" s="264">
        <v>269</v>
      </c>
      <c r="U43" s="276">
        <v>237</v>
      </c>
      <c r="V43" s="236">
        <v>195</v>
      </c>
      <c r="W43" s="236">
        <v>172</v>
      </c>
      <c r="X43" s="236">
        <v>220</v>
      </c>
      <c r="Y43" s="264">
        <v>162</v>
      </c>
      <c r="Z43" s="276">
        <v>244</v>
      </c>
      <c r="AA43" s="236">
        <v>40</v>
      </c>
      <c r="AB43" s="236">
        <v>63</v>
      </c>
      <c r="AC43" s="236">
        <v>31</v>
      </c>
      <c r="AD43" s="264">
        <v>52</v>
      </c>
      <c r="AE43" s="276">
        <v>261</v>
      </c>
      <c r="AF43" s="236">
        <v>125</v>
      </c>
      <c r="AG43" s="236">
        <v>115</v>
      </c>
      <c r="AH43" s="236">
        <v>133</v>
      </c>
      <c r="AI43" s="204">
        <f>SUM(C43:AH43)</f>
        <v>7461</v>
      </c>
    </row>
    <row r="44" spans="1:35" ht="15.75" thickBot="1" x14ac:dyDescent="0.3">
      <c r="A44" s="155" t="s">
        <v>2</v>
      </c>
      <c r="B44" s="299">
        <f t="shared" si="57"/>
        <v>43548</v>
      </c>
      <c r="C44" s="385">
        <v>675</v>
      </c>
      <c r="D44" s="386">
        <v>893</v>
      </c>
      <c r="E44" s="236">
        <v>1253</v>
      </c>
      <c r="F44" s="236">
        <v>273</v>
      </c>
      <c r="G44" s="266">
        <v>726</v>
      </c>
      <c r="H44" s="388">
        <v>561</v>
      </c>
      <c r="I44" s="236">
        <v>437</v>
      </c>
      <c r="J44" s="264"/>
      <c r="K44" s="276">
        <v>547</v>
      </c>
      <c r="L44" s="236">
        <v>80</v>
      </c>
      <c r="M44" s="264">
        <v>534</v>
      </c>
      <c r="N44" s="276">
        <v>261</v>
      </c>
      <c r="O44" s="236">
        <v>78</v>
      </c>
      <c r="P44" s="236">
        <v>116</v>
      </c>
      <c r="Q44" s="236"/>
      <c r="R44" s="236">
        <v>120</v>
      </c>
      <c r="S44" s="236">
        <v>266</v>
      </c>
      <c r="T44" s="264">
        <v>377</v>
      </c>
      <c r="U44" s="276">
        <v>426</v>
      </c>
      <c r="V44" s="236">
        <v>315</v>
      </c>
      <c r="W44" s="236">
        <v>273</v>
      </c>
      <c r="X44" s="236">
        <v>316</v>
      </c>
      <c r="Y44" s="264">
        <v>274</v>
      </c>
      <c r="Z44" s="276">
        <v>242</v>
      </c>
      <c r="AA44" s="236">
        <v>75</v>
      </c>
      <c r="AB44" s="236">
        <v>88</v>
      </c>
      <c r="AC44" s="236">
        <v>43</v>
      </c>
      <c r="AD44" s="264">
        <v>103</v>
      </c>
      <c r="AE44" s="276">
        <v>295</v>
      </c>
      <c r="AF44" s="236">
        <v>276</v>
      </c>
      <c r="AG44" s="236">
        <v>168</v>
      </c>
      <c r="AH44" s="236">
        <v>208</v>
      </c>
      <c r="AI44" s="204">
        <f t="shared" si="58"/>
        <v>10299</v>
      </c>
    </row>
    <row r="45" spans="1:35" ht="15.75" thickBot="1" x14ac:dyDescent="0.3">
      <c r="A45" s="164" t="s">
        <v>21</v>
      </c>
      <c r="B45" s="493" t="s">
        <v>27</v>
      </c>
      <c r="C45" s="277">
        <f t="shared" ref="C45:AI45" si="59">SUM(C38:C44)</f>
        <v>5002</v>
      </c>
      <c r="D45" s="256">
        <f t="shared" si="59"/>
        <v>5539</v>
      </c>
      <c r="E45" s="256">
        <f t="shared" si="59"/>
        <v>5658</v>
      </c>
      <c r="F45" s="256">
        <f t="shared" si="59"/>
        <v>2403</v>
      </c>
      <c r="G45" s="278">
        <f t="shared" si="59"/>
        <v>6609</v>
      </c>
      <c r="H45" s="371">
        <f t="shared" si="59"/>
        <v>4661</v>
      </c>
      <c r="I45" s="256">
        <f t="shared" si="59"/>
        <v>2084</v>
      </c>
      <c r="J45" s="334">
        <f t="shared" si="59"/>
        <v>0</v>
      </c>
      <c r="K45" s="277">
        <f t="shared" si="59"/>
        <v>3212</v>
      </c>
      <c r="L45" s="256">
        <f t="shared" si="59"/>
        <v>866</v>
      </c>
      <c r="M45" s="334">
        <f t="shared" si="59"/>
        <v>3510</v>
      </c>
      <c r="N45" s="277">
        <f t="shared" si="59"/>
        <v>884</v>
      </c>
      <c r="O45" s="256">
        <f t="shared" si="59"/>
        <v>456</v>
      </c>
      <c r="P45" s="256">
        <f t="shared" si="59"/>
        <v>898</v>
      </c>
      <c r="Q45" s="256">
        <f t="shared" si="59"/>
        <v>0</v>
      </c>
      <c r="R45" s="256">
        <f t="shared" si="59"/>
        <v>596</v>
      </c>
      <c r="S45" s="256">
        <f t="shared" si="59"/>
        <v>1479</v>
      </c>
      <c r="T45" s="334">
        <f t="shared" si="59"/>
        <v>2485</v>
      </c>
      <c r="U45" s="277">
        <f t="shared" si="59"/>
        <v>2444</v>
      </c>
      <c r="V45" s="256">
        <f t="shared" si="59"/>
        <v>1735</v>
      </c>
      <c r="W45" s="256">
        <f t="shared" si="59"/>
        <v>2081</v>
      </c>
      <c r="X45" s="256">
        <f t="shared" si="59"/>
        <v>2398</v>
      </c>
      <c r="Y45" s="334">
        <f t="shared" si="59"/>
        <v>2936</v>
      </c>
      <c r="Z45" s="277">
        <f t="shared" si="59"/>
        <v>1752</v>
      </c>
      <c r="AA45" s="256">
        <f t="shared" si="59"/>
        <v>928</v>
      </c>
      <c r="AB45" s="256">
        <f t="shared" si="59"/>
        <v>827</v>
      </c>
      <c r="AC45" s="256">
        <f t="shared" si="59"/>
        <v>304</v>
      </c>
      <c r="AD45" s="334">
        <f t="shared" si="59"/>
        <v>840</v>
      </c>
      <c r="AE45" s="277">
        <f t="shared" si="59"/>
        <v>2948</v>
      </c>
      <c r="AF45" s="256">
        <f t="shared" si="59"/>
        <v>1612</v>
      </c>
      <c r="AG45" s="256">
        <f t="shared" si="59"/>
        <v>1851</v>
      </c>
      <c r="AH45" s="256">
        <f t="shared" ref="AH45" si="60">SUM(AH38:AH44)</f>
        <v>2252</v>
      </c>
      <c r="AI45" s="258">
        <f>SUM(AI38:AI44)</f>
        <v>71250</v>
      </c>
    </row>
    <row r="46" spans="1:35" ht="15.75" thickBot="1" x14ac:dyDescent="0.3">
      <c r="A46" s="114" t="s">
        <v>23</v>
      </c>
      <c r="B46" s="494"/>
      <c r="C46" s="277">
        <f>AVERAGE(C38:C44)</f>
        <v>714.57142857142856</v>
      </c>
      <c r="D46" s="256">
        <f>AVERAGE(D38:D44)</f>
        <v>791.28571428571433</v>
      </c>
      <c r="E46" s="256">
        <f t="shared" ref="E46:AD46" si="61">AVERAGE(E38:E44)</f>
        <v>808.28571428571433</v>
      </c>
      <c r="F46" s="256">
        <f t="shared" si="61"/>
        <v>343.28571428571428</v>
      </c>
      <c r="G46" s="278">
        <f t="shared" si="61"/>
        <v>944.14285714285711</v>
      </c>
      <c r="H46" s="371">
        <f t="shared" si="61"/>
        <v>665.85714285714289</v>
      </c>
      <c r="I46" s="256">
        <f t="shared" si="61"/>
        <v>297.71428571428572</v>
      </c>
      <c r="J46" s="334" t="e">
        <f t="shared" si="61"/>
        <v>#DIV/0!</v>
      </c>
      <c r="K46" s="277">
        <f t="shared" si="61"/>
        <v>458.85714285714283</v>
      </c>
      <c r="L46" s="256">
        <f>AVERAGE(L38:L44)</f>
        <v>123.71428571428571</v>
      </c>
      <c r="M46" s="334">
        <f>AVERAGE(M38:M44)</f>
        <v>501.42857142857144</v>
      </c>
      <c r="N46" s="277">
        <f t="shared" ref="N46:T46" si="62">AVERAGE(N38:N44)</f>
        <v>126.28571428571429</v>
      </c>
      <c r="O46" s="256">
        <f t="shared" si="62"/>
        <v>65.142857142857139</v>
      </c>
      <c r="P46" s="256">
        <f t="shared" si="62"/>
        <v>128.28571428571428</v>
      </c>
      <c r="Q46" s="256" t="e">
        <f t="shared" si="62"/>
        <v>#DIV/0!</v>
      </c>
      <c r="R46" s="256">
        <f t="shared" si="62"/>
        <v>85.142857142857139</v>
      </c>
      <c r="S46" s="256">
        <f t="shared" si="62"/>
        <v>211.28571428571428</v>
      </c>
      <c r="T46" s="334">
        <f t="shared" si="62"/>
        <v>355</v>
      </c>
      <c r="U46" s="277">
        <f>AVERAGE(U38:U44)</f>
        <v>349.14285714285717</v>
      </c>
      <c r="V46" s="256">
        <f>AVERAGE(V38:V44)</f>
        <v>247.85714285714286</v>
      </c>
      <c r="W46" s="256">
        <f>AVERAGE(W38:W44)</f>
        <v>297.28571428571428</v>
      </c>
      <c r="X46" s="256">
        <f>AVERAGE(X38:X44)</f>
        <v>342.57142857142856</v>
      </c>
      <c r="Y46" s="334">
        <f>AVERAGE(Y38:Y44)</f>
        <v>419.42857142857144</v>
      </c>
      <c r="Z46" s="277">
        <f t="shared" si="61"/>
        <v>250.28571428571428</v>
      </c>
      <c r="AA46" s="256">
        <f t="shared" si="61"/>
        <v>132.57142857142858</v>
      </c>
      <c r="AB46" s="256">
        <f t="shared" si="61"/>
        <v>118.14285714285714</v>
      </c>
      <c r="AC46" s="256">
        <f t="shared" si="61"/>
        <v>43.428571428571431</v>
      </c>
      <c r="AD46" s="334">
        <f t="shared" si="61"/>
        <v>120</v>
      </c>
      <c r="AE46" s="277">
        <f>AVERAGE(AE38:AE44)</f>
        <v>421.14285714285717</v>
      </c>
      <c r="AF46" s="256">
        <f>AVERAGE(AF38:AF44)</f>
        <v>230.28571428571428</v>
      </c>
      <c r="AG46" s="256">
        <f>AVERAGE(AG38:AG44)</f>
        <v>264.42857142857144</v>
      </c>
      <c r="AH46" s="256">
        <f t="shared" ref="AH46" si="63">AVERAGE(AH38:AH44)</f>
        <v>321.71428571428572</v>
      </c>
      <c r="AI46" s="259">
        <f>AVERAGE(AI38:AI44)</f>
        <v>10178.571428571429</v>
      </c>
    </row>
    <row r="47" spans="1:35" ht="15.75" thickBot="1" x14ac:dyDescent="0.3">
      <c r="A47" s="30" t="s">
        <v>20</v>
      </c>
      <c r="B47" s="494"/>
      <c r="C47" s="279">
        <f t="shared" ref="C47:I47" si="64">SUM(C38:C42)</f>
        <v>3777</v>
      </c>
      <c r="D47" s="257">
        <f t="shared" si="64"/>
        <v>3933</v>
      </c>
      <c r="E47" s="257">
        <f t="shared" si="64"/>
        <v>3351</v>
      </c>
      <c r="F47" s="257">
        <f t="shared" si="64"/>
        <v>1961</v>
      </c>
      <c r="G47" s="280">
        <f t="shared" si="64"/>
        <v>5192</v>
      </c>
      <c r="H47" s="372">
        <f t="shared" si="64"/>
        <v>3541</v>
      </c>
      <c r="I47" s="257">
        <f t="shared" si="64"/>
        <v>1275</v>
      </c>
      <c r="J47" s="335">
        <f t="shared" ref="J47" si="65">SUM(J38:J42)</f>
        <v>0</v>
      </c>
      <c r="K47" s="279">
        <f t="shared" ref="K47:P47" si="66">SUM(K38:K42)</f>
        <v>2319</v>
      </c>
      <c r="L47" s="257">
        <f t="shared" si="66"/>
        <v>751</v>
      </c>
      <c r="M47" s="335">
        <f t="shared" si="66"/>
        <v>2717</v>
      </c>
      <c r="N47" s="279">
        <f t="shared" si="66"/>
        <v>622</v>
      </c>
      <c r="O47" s="257">
        <f t="shared" si="66"/>
        <v>282</v>
      </c>
      <c r="P47" s="257">
        <f t="shared" si="66"/>
        <v>684</v>
      </c>
      <c r="Q47" s="257">
        <f t="shared" ref="Q47" si="67">SUM(Q38:Q42)</f>
        <v>0</v>
      </c>
      <c r="R47" s="257">
        <f t="shared" ref="R47:AI47" si="68">SUM(R38:R42)</f>
        <v>444</v>
      </c>
      <c r="S47" s="257">
        <f t="shared" si="68"/>
        <v>1046</v>
      </c>
      <c r="T47" s="335">
        <f t="shared" si="68"/>
        <v>1839</v>
      </c>
      <c r="U47" s="279">
        <f t="shared" si="68"/>
        <v>1781</v>
      </c>
      <c r="V47" s="257">
        <f t="shared" si="68"/>
        <v>1225</v>
      </c>
      <c r="W47" s="257">
        <f t="shared" si="68"/>
        <v>1636</v>
      </c>
      <c r="X47" s="257">
        <f t="shared" si="68"/>
        <v>1862</v>
      </c>
      <c r="Y47" s="335">
        <f t="shared" si="68"/>
        <v>2500</v>
      </c>
      <c r="Z47" s="279">
        <f t="shared" si="68"/>
        <v>1266</v>
      </c>
      <c r="AA47" s="257">
        <f t="shared" si="68"/>
        <v>813</v>
      </c>
      <c r="AB47" s="257">
        <f t="shared" si="68"/>
        <v>676</v>
      </c>
      <c r="AC47" s="257">
        <f t="shared" si="68"/>
        <v>230</v>
      </c>
      <c r="AD47" s="335">
        <f t="shared" si="68"/>
        <v>685</v>
      </c>
      <c r="AE47" s="279">
        <f t="shared" si="68"/>
        <v>2392</v>
      </c>
      <c r="AF47" s="257">
        <f t="shared" si="68"/>
        <v>1211</v>
      </c>
      <c r="AG47" s="257">
        <f t="shared" si="68"/>
        <v>1568</v>
      </c>
      <c r="AH47" s="257">
        <f t="shared" si="68"/>
        <v>1911</v>
      </c>
      <c r="AI47" s="260">
        <f t="shared" si="68"/>
        <v>53490</v>
      </c>
    </row>
    <row r="48" spans="1:35" ht="15.75" thickBot="1" x14ac:dyDescent="0.3">
      <c r="A48" s="30" t="s">
        <v>22</v>
      </c>
      <c r="B48" s="502"/>
      <c r="C48" s="279">
        <f>AVERAGE(C38:C42)</f>
        <v>755.4</v>
      </c>
      <c r="D48" s="257">
        <f>AVERAGE(D38:D42)</f>
        <v>786.6</v>
      </c>
      <c r="E48" s="257">
        <f t="shared" ref="E48:M48" si="69">AVERAGE(E38:E42)</f>
        <v>670.2</v>
      </c>
      <c r="F48" s="257">
        <f t="shared" si="69"/>
        <v>392.2</v>
      </c>
      <c r="G48" s="280">
        <f t="shared" si="69"/>
        <v>1038.4000000000001</v>
      </c>
      <c r="H48" s="372">
        <f t="shared" si="69"/>
        <v>708.2</v>
      </c>
      <c r="I48" s="257">
        <f t="shared" si="69"/>
        <v>255</v>
      </c>
      <c r="J48" s="335" t="e">
        <f t="shared" si="69"/>
        <v>#DIV/0!</v>
      </c>
      <c r="K48" s="279">
        <f t="shared" si="69"/>
        <v>463.8</v>
      </c>
      <c r="L48" s="257">
        <f t="shared" si="69"/>
        <v>150.19999999999999</v>
      </c>
      <c r="M48" s="335">
        <f t="shared" si="69"/>
        <v>543.4</v>
      </c>
      <c r="N48" s="279">
        <f t="shared" ref="N48:T48" si="70">AVERAGE(N38:N42)</f>
        <v>124.4</v>
      </c>
      <c r="O48" s="257">
        <f t="shared" si="70"/>
        <v>56.4</v>
      </c>
      <c r="P48" s="257">
        <f t="shared" si="70"/>
        <v>136.80000000000001</v>
      </c>
      <c r="Q48" s="257" t="e">
        <f t="shared" si="70"/>
        <v>#DIV/0!</v>
      </c>
      <c r="R48" s="257">
        <f t="shared" si="70"/>
        <v>88.8</v>
      </c>
      <c r="S48" s="257">
        <f t="shared" si="70"/>
        <v>209.2</v>
      </c>
      <c r="T48" s="335">
        <f t="shared" si="70"/>
        <v>367.8</v>
      </c>
      <c r="U48" s="279">
        <f t="shared" ref="U48:AI48" si="71">AVERAGE(U38:U42)</f>
        <v>356.2</v>
      </c>
      <c r="V48" s="257">
        <f t="shared" si="71"/>
        <v>245</v>
      </c>
      <c r="W48" s="257">
        <f t="shared" si="71"/>
        <v>327.2</v>
      </c>
      <c r="X48" s="257">
        <f t="shared" si="71"/>
        <v>372.4</v>
      </c>
      <c r="Y48" s="335">
        <f t="shared" si="71"/>
        <v>500</v>
      </c>
      <c r="Z48" s="279">
        <f t="shared" si="71"/>
        <v>253.2</v>
      </c>
      <c r="AA48" s="257">
        <f t="shared" si="71"/>
        <v>162.6</v>
      </c>
      <c r="AB48" s="257">
        <f t="shared" si="71"/>
        <v>135.19999999999999</v>
      </c>
      <c r="AC48" s="257">
        <f t="shared" si="71"/>
        <v>46</v>
      </c>
      <c r="AD48" s="335">
        <f t="shared" si="71"/>
        <v>137</v>
      </c>
      <c r="AE48" s="279">
        <f t="shared" si="71"/>
        <v>478.4</v>
      </c>
      <c r="AF48" s="257">
        <f t="shared" si="71"/>
        <v>242.2</v>
      </c>
      <c r="AG48" s="257">
        <f t="shared" si="71"/>
        <v>313.60000000000002</v>
      </c>
      <c r="AH48" s="257">
        <f t="shared" ref="AH48" si="72">AVERAGE(AH38:AH42)</f>
        <v>382.2</v>
      </c>
      <c r="AI48" s="261">
        <f t="shared" si="71"/>
        <v>10698</v>
      </c>
    </row>
    <row r="49" spans="1:35" ht="15.75" thickBot="1" x14ac:dyDescent="0.3">
      <c r="A49" s="155" t="s">
        <v>3</v>
      </c>
      <c r="B49" s="312">
        <f>B44+1</f>
        <v>43549</v>
      </c>
      <c r="C49" s="385">
        <v>774</v>
      </c>
      <c r="D49" s="386">
        <v>826</v>
      </c>
      <c r="E49" s="236">
        <v>639</v>
      </c>
      <c r="F49" s="236">
        <v>395</v>
      </c>
      <c r="G49" s="266">
        <v>1077</v>
      </c>
      <c r="H49" s="388">
        <v>812</v>
      </c>
      <c r="I49" s="236">
        <v>191</v>
      </c>
      <c r="J49" s="264"/>
      <c r="K49" s="276">
        <v>439</v>
      </c>
      <c r="L49" s="236">
        <v>134</v>
      </c>
      <c r="M49" s="264">
        <v>495</v>
      </c>
      <c r="N49" s="276">
        <v>91</v>
      </c>
      <c r="O49" s="236">
        <v>59</v>
      </c>
      <c r="P49" s="236">
        <v>123</v>
      </c>
      <c r="Q49" s="236"/>
      <c r="R49" s="236">
        <v>120</v>
      </c>
      <c r="S49" s="236">
        <v>183</v>
      </c>
      <c r="T49" s="264">
        <v>323</v>
      </c>
      <c r="U49" s="276">
        <v>394</v>
      </c>
      <c r="V49" s="236">
        <v>281</v>
      </c>
      <c r="W49" s="236">
        <v>412</v>
      </c>
      <c r="X49" s="236">
        <v>430</v>
      </c>
      <c r="Y49" s="264">
        <v>535</v>
      </c>
      <c r="Z49" s="276">
        <v>254</v>
      </c>
      <c r="AA49" s="236">
        <v>203</v>
      </c>
      <c r="AB49" s="236">
        <v>137</v>
      </c>
      <c r="AC49" s="236">
        <v>38</v>
      </c>
      <c r="AD49" s="264">
        <v>130</v>
      </c>
      <c r="AE49" s="276">
        <v>472</v>
      </c>
      <c r="AF49" s="236">
        <v>241</v>
      </c>
      <c r="AG49" s="236">
        <v>284</v>
      </c>
      <c r="AH49" s="236">
        <v>395</v>
      </c>
      <c r="AI49" s="204">
        <f>SUM(C49:AH49)</f>
        <v>10887</v>
      </c>
    </row>
    <row r="50" spans="1:35" ht="15.75" thickBot="1" x14ac:dyDescent="0.3">
      <c r="A50" s="155" t="s">
        <v>4</v>
      </c>
      <c r="B50" s="299">
        <f t="shared" ref="B50:B55" si="73">B49+1</f>
        <v>43550</v>
      </c>
      <c r="C50" s="385">
        <v>778</v>
      </c>
      <c r="D50" s="386">
        <v>889</v>
      </c>
      <c r="E50" s="236">
        <v>717</v>
      </c>
      <c r="F50" s="236">
        <v>488</v>
      </c>
      <c r="G50" s="266">
        <v>1163</v>
      </c>
      <c r="H50" s="388">
        <v>772</v>
      </c>
      <c r="I50" s="236">
        <v>267</v>
      </c>
      <c r="J50" s="264"/>
      <c r="K50" s="276">
        <v>262</v>
      </c>
      <c r="L50" s="236">
        <v>73</v>
      </c>
      <c r="M50" s="264">
        <v>302</v>
      </c>
      <c r="N50" s="276">
        <v>107</v>
      </c>
      <c r="O50" s="236">
        <v>73</v>
      </c>
      <c r="P50" s="236">
        <v>149</v>
      </c>
      <c r="Q50" s="236"/>
      <c r="R50" s="236">
        <v>115</v>
      </c>
      <c r="S50" s="236">
        <v>216</v>
      </c>
      <c r="T50" s="264">
        <v>395</v>
      </c>
      <c r="U50" s="276">
        <v>394</v>
      </c>
      <c r="V50" s="236">
        <v>316</v>
      </c>
      <c r="W50" s="236">
        <v>364</v>
      </c>
      <c r="X50" s="236">
        <v>371</v>
      </c>
      <c r="Y50" s="264">
        <v>517</v>
      </c>
      <c r="Z50" s="276">
        <v>280</v>
      </c>
      <c r="AA50" s="236">
        <v>217</v>
      </c>
      <c r="AB50" s="236">
        <v>133</v>
      </c>
      <c r="AC50" s="236">
        <v>42</v>
      </c>
      <c r="AD50" s="264">
        <v>147</v>
      </c>
      <c r="AE50" s="276">
        <v>492</v>
      </c>
      <c r="AF50" s="236">
        <v>245</v>
      </c>
      <c r="AG50" s="236">
        <v>306</v>
      </c>
      <c r="AH50" s="236">
        <v>394</v>
      </c>
      <c r="AI50" s="204">
        <f t="shared" ref="AI50:AI51" si="74">SUM(C50:AH50)</f>
        <v>10984</v>
      </c>
    </row>
    <row r="51" spans="1:35" ht="15.75" thickBot="1" x14ac:dyDescent="0.3">
      <c r="A51" s="155" t="s">
        <v>5</v>
      </c>
      <c r="B51" s="299">
        <f t="shared" si="73"/>
        <v>43551</v>
      </c>
      <c r="C51" s="385">
        <v>846</v>
      </c>
      <c r="D51" s="386">
        <v>856</v>
      </c>
      <c r="E51" s="236">
        <v>681</v>
      </c>
      <c r="F51" s="236">
        <v>435</v>
      </c>
      <c r="G51" s="266">
        <v>1191</v>
      </c>
      <c r="H51" s="388">
        <v>877</v>
      </c>
      <c r="I51" s="236">
        <v>246</v>
      </c>
      <c r="J51" s="264"/>
      <c r="K51" s="276">
        <v>497</v>
      </c>
      <c r="L51" s="236">
        <v>148</v>
      </c>
      <c r="M51" s="264">
        <v>550</v>
      </c>
      <c r="N51" s="276">
        <v>194</v>
      </c>
      <c r="O51" s="236">
        <v>78</v>
      </c>
      <c r="P51" s="236">
        <v>130</v>
      </c>
      <c r="Q51" s="236"/>
      <c r="R51" s="236">
        <v>130</v>
      </c>
      <c r="S51" s="236">
        <v>207</v>
      </c>
      <c r="T51" s="264">
        <v>324</v>
      </c>
      <c r="U51" s="276">
        <v>419</v>
      </c>
      <c r="V51" s="236">
        <v>308</v>
      </c>
      <c r="W51" s="236">
        <v>385</v>
      </c>
      <c r="X51" s="236">
        <v>406</v>
      </c>
      <c r="Y51" s="264">
        <v>510</v>
      </c>
      <c r="Z51" s="276">
        <v>284</v>
      </c>
      <c r="AA51" s="236">
        <v>205</v>
      </c>
      <c r="AB51" s="236">
        <v>146</v>
      </c>
      <c r="AC51" s="236">
        <v>40</v>
      </c>
      <c r="AD51" s="264">
        <v>132</v>
      </c>
      <c r="AE51" s="276">
        <v>531</v>
      </c>
      <c r="AF51" s="236">
        <v>314</v>
      </c>
      <c r="AG51" s="236">
        <v>296</v>
      </c>
      <c r="AH51" s="236">
        <v>490</v>
      </c>
      <c r="AI51" s="204">
        <f t="shared" si="74"/>
        <v>11856</v>
      </c>
    </row>
    <row r="52" spans="1:35" ht="15.75" thickBot="1" x14ac:dyDescent="0.3">
      <c r="A52" s="155" t="s">
        <v>6</v>
      </c>
      <c r="B52" s="299">
        <f t="shared" si="73"/>
        <v>43552</v>
      </c>
      <c r="C52" s="385">
        <v>797</v>
      </c>
      <c r="D52" s="386">
        <v>855</v>
      </c>
      <c r="E52" s="236">
        <v>750</v>
      </c>
      <c r="F52" s="236">
        <v>473</v>
      </c>
      <c r="G52" s="266">
        <v>1229</v>
      </c>
      <c r="H52" s="388">
        <v>830</v>
      </c>
      <c r="I52" s="236">
        <v>291</v>
      </c>
      <c r="J52" s="264"/>
      <c r="K52" s="276">
        <v>514</v>
      </c>
      <c r="L52" s="236">
        <v>181</v>
      </c>
      <c r="M52" s="264">
        <v>609</v>
      </c>
      <c r="N52" s="276">
        <v>139</v>
      </c>
      <c r="O52" s="236">
        <v>72</v>
      </c>
      <c r="P52" s="236">
        <v>190</v>
      </c>
      <c r="Q52" s="236"/>
      <c r="R52" s="236">
        <v>118</v>
      </c>
      <c r="S52" s="236">
        <v>248</v>
      </c>
      <c r="T52" s="264">
        <v>451</v>
      </c>
      <c r="U52" s="276">
        <v>419</v>
      </c>
      <c r="V52" s="236">
        <v>338</v>
      </c>
      <c r="W52" s="236">
        <v>428</v>
      </c>
      <c r="X52" s="236">
        <v>447</v>
      </c>
      <c r="Y52" s="264">
        <v>537</v>
      </c>
      <c r="Z52" s="276">
        <v>295</v>
      </c>
      <c r="AA52" s="236">
        <v>187</v>
      </c>
      <c r="AB52" s="236">
        <v>151</v>
      </c>
      <c r="AC52" s="236">
        <v>47</v>
      </c>
      <c r="AD52" s="264">
        <v>132</v>
      </c>
      <c r="AE52" s="276">
        <v>666</v>
      </c>
      <c r="AF52" s="236">
        <v>239</v>
      </c>
      <c r="AG52" s="236">
        <v>316</v>
      </c>
      <c r="AH52" s="236">
        <v>416</v>
      </c>
      <c r="AI52" s="204">
        <f>SUM(C52:AH52)</f>
        <v>12365</v>
      </c>
    </row>
    <row r="53" spans="1:35" ht="15.75" thickBot="1" x14ac:dyDescent="0.3">
      <c r="A53" s="155" t="s">
        <v>0</v>
      </c>
      <c r="B53" s="299">
        <f t="shared" si="73"/>
        <v>43553</v>
      </c>
      <c r="C53" s="379">
        <v>809</v>
      </c>
      <c r="D53" s="236">
        <v>903</v>
      </c>
      <c r="E53" s="236">
        <v>955</v>
      </c>
      <c r="F53" s="236">
        <v>413</v>
      </c>
      <c r="G53" s="266">
        <v>1077</v>
      </c>
      <c r="H53" s="300">
        <v>722</v>
      </c>
      <c r="I53" s="236">
        <v>287</v>
      </c>
      <c r="J53" s="264"/>
      <c r="K53" s="276">
        <v>540</v>
      </c>
      <c r="L53" s="236">
        <v>146</v>
      </c>
      <c r="M53" s="264">
        <v>562</v>
      </c>
      <c r="N53" s="276">
        <v>163</v>
      </c>
      <c r="O53" s="236">
        <v>77</v>
      </c>
      <c r="P53" s="236">
        <v>135</v>
      </c>
      <c r="Q53" s="236"/>
      <c r="R53" s="236">
        <v>122</v>
      </c>
      <c r="S53" s="236">
        <v>258</v>
      </c>
      <c r="T53" s="264">
        <v>528</v>
      </c>
      <c r="U53" s="276">
        <v>454</v>
      </c>
      <c r="V53" s="236">
        <v>295</v>
      </c>
      <c r="W53" s="236">
        <v>411</v>
      </c>
      <c r="X53" s="236">
        <v>393</v>
      </c>
      <c r="Y53" s="264">
        <v>477</v>
      </c>
      <c r="Z53" s="276">
        <v>317</v>
      </c>
      <c r="AA53" s="236">
        <v>184</v>
      </c>
      <c r="AB53" s="236">
        <v>160</v>
      </c>
      <c r="AC53" s="236">
        <v>51</v>
      </c>
      <c r="AD53" s="264">
        <v>157</v>
      </c>
      <c r="AE53" s="276">
        <v>446</v>
      </c>
      <c r="AF53" s="236">
        <v>253</v>
      </c>
      <c r="AG53" s="236">
        <v>290</v>
      </c>
      <c r="AH53" s="236">
        <v>385</v>
      </c>
      <c r="AI53" s="204">
        <f>SUM(C53:AH53)</f>
        <v>11970</v>
      </c>
    </row>
    <row r="54" spans="1:35" ht="15.75" thickBot="1" x14ac:dyDescent="0.3">
      <c r="A54" s="155" t="s">
        <v>1</v>
      </c>
      <c r="B54" s="299">
        <f t="shared" si="73"/>
        <v>43554</v>
      </c>
      <c r="C54" s="276">
        <v>1092</v>
      </c>
      <c r="D54" s="236">
        <v>1385</v>
      </c>
      <c r="E54" s="236">
        <v>1169</v>
      </c>
      <c r="F54" s="236">
        <v>225</v>
      </c>
      <c r="G54" s="266">
        <v>1144</v>
      </c>
      <c r="H54" s="300">
        <v>613</v>
      </c>
      <c r="I54" s="236">
        <v>478</v>
      </c>
      <c r="J54" s="264"/>
      <c r="K54" s="276">
        <v>887</v>
      </c>
      <c r="L54" s="236">
        <v>152</v>
      </c>
      <c r="M54" s="264">
        <v>781</v>
      </c>
      <c r="N54" s="276">
        <v>473</v>
      </c>
      <c r="O54" s="236">
        <v>116</v>
      </c>
      <c r="P54" s="236">
        <v>190</v>
      </c>
      <c r="Q54" s="236"/>
      <c r="R54" s="236">
        <v>213</v>
      </c>
      <c r="S54" s="236">
        <v>445</v>
      </c>
      <c r="T54" s="264">
        <v>730</v>
      </c>
      <c r="U54" s="276">
        <v>563</v>
      </c>
      <c r="V54" s="236">
        <v>368</v>
      </c>
      <c r="W54" s="236">
        <v>423</v>
      </c>
      <c r="X54" s="236">
        <v>417</v>
      </c>
      <c r="Y54" s="264">
        <v>388</v>
      </c>
      <c r="Z54" s="276">
        <v>381</v>
      </c>
      <c r="AA54" s="236">
        <v>81</v>
      </c>
      <c r="AB54" s="236">
        <v>170</v>
      </c>
      <c r="AC54" s="236">
        <v>55</v>
      </c>
      <c r="AD54" s="264">
        <v>179</v>
      </c>
      <c r="AE54" s="276">
        <v>525</v>
      </c>
      <c r="AF54" s="236">
        <v>368</v>
      </c>
      <c r="AG54" s="236">
        <v>239</v>
      </c>
      <c r="AH54" s="236">
        <v>424</v>
      </c>
      <c r="AI54" s="204">
        <f>SUM(C54:AH54)</f>
        <v>14674</v>
      </c>
    </row>
    <row r="55" spans="1:35" ht="15.75" thickBot="1" x14ac:dyDescent="0.3">
      <c r="A55" s="155" t="s">
        <v>2</v>
      </c>
      <c r="B55" s="299">
        <f t="shared" si="73"/>
        <v>43555</v>
      </c>
      <c r="C55" s="276">
        <v>275</v>
      </c>
      <c r="D55" s="236">
        <v>414</v>
      </c>
      <c r="E55" s="236">
        <v>541</v>
      </c>
      <c r="F55" s="236">
        <v>153</v>
      </c>
      <c r="G55" s="266">
        <v>467</v>
      </c>
      <c r="H55" s="300">
        <v>343</v>
      </c>
      <c r="I55" s="236">
        <v>204</v>
      </c>
      <c r="J55" s="264"/>
      <c r="K55" s="276">
        <v>169</v>
      </c>
      <c r="L55" s="236">
        <v>30</v>
      </c>
      <c r="M55" s="264">
        <v>163</v>
      </c>
      <c r="N55" s="276">
        <v>70</v>
      </c>
      <c r="O55" s="236">
        <v>53</v>
      </c>
      <c r="P55" s="236">
        <v>54</v>
      </c>
      <c r="Q55" s="236"/>
      <c r="R55" s="236">
        <v>44</v>
      </c>
      <c r="S55" s="236">
        <v>81</v>
      </c>
      <c r="T55" s="264">
        <v>174</v>
      </c>
      <c r="U55" s="276">
        <v>126</v>
      </c>
      <c r="V55" s="236">
        <v>127</v>
      </c>
      <c r="W55" s="236">
        <v>134</v>
      </c>
      <c r="X55" s="236">
        <v>165</v>
      </c>
      <c r="Y55" s="264">
        <v>144</v>
      </c>
      <c r="Z55" s="276">
        <v>97</v>
      </c>
      <c r="AA55" s="236">
        <v>33</v>
      </c>
      <c r="AB55" s="236">
        <v>39</v>
      </c>
      <c r="AC55" s="236">
        <v>16</v>
      </c>
      <c r="AD55" s="264">
        <v>46</v>
      </c>
      <c r="AE55" s="276">
        <v>108</v>
      </c>
      <c r="AF55" s="236">
        <v>72</v>
      </c>
      <c r="AG55" s="236">
        <v>75</v>
      </c>
      <c r="AH55" s="236">
        <v>66</v>
      </c>
      <c r="AI55" s="204">
        <f>SUM(C55:AH55)</f>
        <v>4483</v>
      </c>
    </row>
    <row r="56" spans="1:35" ht="15.75" thickBot="1" x14ac:dyDescent="0.3">
      <c r="A56" s="164" t="s">
        <v>21</v>
      </c>
      <c r="B56" s="493" t="s">
        <v>28</v>
      </c>
      <c r="C56" s="277">
        <f t="shared" ref="C56:J56" si="75">SUM(C49:C55)</f>
        <v>5371</v>
      </c>
      <c r="D56" s="256">
        <f t="shared" ref="D56:I56" si="76">SUM(D49:D55)</f>
        <v>6128</v>
      </c>
      <c r="E56" s="256">
        <f t="shared" si="76"/>
        <v>5452</v>
      </c>
      <c r="F56" s="256">
        <f t="shared" si="76"/>
        <v>2582</v>
      </c>
      <c r="G56" s="278">
        <f t="shared" si="76"/>
        <v>7348</v>
      </c>
      <c r="H56" s="371">
        <f t="shared" si="76"/>
        <v>4969</v>
      </c>
      <c r="I56" s="256">
        <f t="shared" si="76"/>
        <v>1964</v>
      </c>
      <c r="J56" s="334">
        <f t="shared" si="75"/>
        <v>0</v>
      </c>
      <c r="K56" s="277">
        <f t="shared" ref="K56:P56" si="77">SUM(K49:K55)</f>
        <v>3308</v>
      </c>
      <c r="L56" s="256">
        <f t="shared" si="77"/>
        <v>864</v>
      </c>
      <c r="M56" s="334">
        <f t="shared" si="77"/>
        <v>3462</v>
      </c>
      <c r="N56" s="277">
        <f t="shared" si="77"/>
        <v>1237</v>
      </c>
      <c r="O56" s="256">
        <f t="shared" si="77"/>
        <v>528</v>
      </c>
      <c r="P56" s="256">
        <f t="shared" si="77"/>
        <v>971</v>
      </c>
      <c r="Q56" s="256">
        <f t="shared" ref="Q56" si="78">SUM(Q49:Q55)</f>
        <v>0</v>
      </c>
      <c r="R56" s="256">
        <f t="shared" ref="R56:AI56" si="79">SUM(R49:R55)</f>
        <v>862</v>
      </c>
      <c r="S56" s="256">
        <f t="shared" si="79"/>
        <v>1638</v>
      </c>
      <c r="T56" s="334">
        <f t="shared" si="79"/>
        <v>2925</v>
      </c>
      <c r="U56" s="277">
        <f t="shared" si="79"/>
        <v>2769</v>
      </c>
      <c r="V56" s="256">
        <f t="shared" si="79"/>
        <v>2033</v>
      </c>
      <c r="W56" s="256">
        <f t="shared" si="79"/>
        <v>2557</v>
      </c>
      <c r="X56" s="256">
        <f t="shared" si="79"/>
        <v>2629</v>
      </c>
      <c r="Y56" s="334">
        <f t="shared" si="79"/>
        <v>3108</v>
      </c>
      <c r="Z56" s="277">
        <f t="shared" si="79"/>
        <v>1908</v>
      </c>
      <c r="AA56" s="256">
        <f t="shared" si="79"/>
        <v>1110</v>
      </c>
      <c r="AB56" s="256">
        <f t="shared" si="79"/>
        <v>936</v>
      </c>
      <c r="AC56" s="256">
        <f t="shared" si="79"/>
        <v>289</v>
      </c>
      <c r="AD56" s="334">
        <f t="shared" si="79"/>
        <v>923</v>
      </c>
      <c r="AE56" s="277">
        <f t="shared" si="79"/>
        <v>3240</v>
      </c>
      <c r="AF56" s="256">
        <f t="shared" si="79"/>
        <v>1732</v>
      </c>
      <c r="AG56" s="256">
        <f t="shared" si="79"/>
        <v>1806</v>
      </c>
      <c r="AH56" s="256">
        <f t="shared" si="79"/>
        <v>2570</v>
      </c>
      <c r="AI56" s="258">
        <f>SUM(AI49:AI55)</f>
        <v>77219</v>
      </c>
    </row>
    <row r="57" spans="1:35" ht="15.75" thickBot="1" x14ac:dyDescent="0.3">
      <c r="A57" s="114" t="s">
        <v>23</v>
      </c>
      <c r="B57" s="494"/>
      <c r="C57" s="277">
        <f>AVERAGE(C49:C55)</f>
        <v>767.28571428571433</v>
      </c>
      <c r="D57" s="256">
        <f t="shared" ref="D57:M57" si="80">AVERAGE(D49:D55)</f>
        <v>875.42857142857144</v>
      </c>
      <c r="E57" s="256">
        <f t="shared" si="80"/>
        <v>778.85714285714289</v>
      </c>
      <c r="F57" s="256">
        <f t="shared" si="80"/>
        <v>368.85714285714283</v>
      </c>
      <c r="G57" s="278">
        <f t="shared" si="80"/>
        <v>1049.7142857142858</v>
      </c>
      <c r="H57" s="371">
        <f t="shared" si="80"/>
        <v>709.85714285714289</v>
      </c>
      <c r="I57" s="256">
        <f t="shared" si="80"/>
        <v>280.57142857142856</v>
      </c>
      <c r="J57" s="334" t="e">
        <f t="shared" si="80"/>
        <v>#DIV/0!</v>
      </c>
      <c r="K57" s="277">
        <f t="shared" si="80"/>
        <v>472.57142857142856</v>
      </c>
      <c r="L57" s="256">
        <f t="shared" si="80"/>
        <v>123.42857142857143</v>
      </c>
      <c r="M57" s="334">
        <f t="shared" si="80"/>
        <v>494.57142857142856</v>
      </c>
      <c r="N57" s="277">
        <f t="shared" ref="N57:T57" si="81">AVERAGE(N49:N55)</f>
        <v>176.71428571428572</v>
      </c>
      <c r="O57" s="256">
        <f t="shared" si="81"/>
        <v>75.428571428571431</v>
      </c>
      <c r="P57" s="256">
        <f>AVERAGE(P49:P55)</f>
        <v>138.71428571428572</v>
      </c>
      <c r="Q57" s="256" t="e">
        <f t="shared" si="81"/>
        <v>#DIV/0!</v>
      </c>
      <c r="R57" s="256">
        <f t="shared" si="81"/>
        <v>123.14285714285714</v>
      </c>
      <c r="S57" s="256">
        <f t="shared" si="81"/>
        <v>234</v>
      </c>
      <c r="T57" s="334">
        <f t="shared" si="81"/>
        <v>417.85714285714283</v>
      </c>
      <c r="U57" s="277">
        <f t="shared" ref="U57:AI57" si="82">AVERAGE(U49:U55)</f>
        <v>395.57142857142856</v>
      </c>
      <c r="V57" s="256">
        <f t="shared" si="82"/>
        <v>290.42857142857144</v>
      </c>
      <c r="W57" s="256">
        <f t="shared" si="82"/>
        <v>365.28571428571428</v>
      </c>
      <c r="X57" s="256">
        <f t="shared" si="82"/>
        <v>375.57142857142856</v>
      </c>
      <c r="Y57" s="334">
        <f t="shared" si="82"/>
        <v>444</v>
      </c>
      <c r="Z57" s="277">
        <f t="shared" si="82"/>
        <v>272.57142857142856</v>
      </c>
      <c r="AA57" s="256">
        <f t="shared" si="82"/>
        <v>158.57142857142858</v>
      </c>
      <c r="AB57" s="256">
        <f t="shared" si="82"/>
        <v>133.71428571428572</v>
      </c>
      <c r="AC57" s="256">
        <f t="shared" si="82"/>
        <v>41.285714285714285</v>
      </c>
      <c r="AD57" s="334">
        <f t="shared" si="82"/>
        <v>131.85714285714286</v>
      </c>
      <c r="AE57" s="277">
        <f t="shared" si="82"/>
        <v>462.85714285714283</v>
      </c>
      <c r="AF57" s="256">
        <f t="shared" si="82"/>
        <v>247.42857142857142</v>
      </c>
      <c r="AG57" s="256">
        <f t="shared" si="82"/>
        <v>258</v>
      </c>
      <c r="AH57" s="256">
        <f t="shared" ref="AH57" si="83">AVERAGE(AH49:AH55)</f>
        <v>367.14285714285717</v>
      </c>
      <c r="AI57" s="259">
        <f t="shared" si="82"/>
        <v>11031.285714285714</v>
      </c>
    </row>
    <row r="58" spans="1:35" ht="15.75" thickBot="1" x14ac:dyDescent="0.3">
      <c r="A58" s="30" t="s">
        <v>20</v>
      </c>
      <c r="B58" s="494"/>
      <c r="C58" s="279">
        <f t="shared" ref="C58:I58" si="84">SUM(C49:C53)</f>
        <v>4004</v>
      </c>
      <c r="D58" s="257">
        <f t="shared" si="84"/>
        <v>4329</v>
      </c>
      <c r="E58" s="257">
        <f t="shared" si="84"/>
        <v>3742</v>
      </c>
      <c r="F58" s="257">
        <f t="shared" si="84"/>
        <v>2204</v>
      </c>
      <c r="G58" s="280">
        <f t="shared" si="84"/>
        <v>5737</v>
      </c>
      <c r="H58" s="372">
        <f t="shared" si="84"/>
        <v>4013</v>
      </c>
      <c r="I58" s="257">
        <f t="shared" si="84"/>
        <v>1282</v>
      </c>
      <c r="J58" s="335">
        <f t="shared" ref="J58" si="85">SUM(J49:J53)</f>
        <v>0</v>
      </c>
      <c r="K58" s="279">
        <f t="shared" ref="K58:P58" si="86">SUM(K49:K53)</f>
        <v>2252</v>
      </c>
      <c r="L58" s="257">
        <f t="shared" si="86"/>
        <v>682</v>
      </c>
      <c r="M58" s="335">
        <f t="shared" si="86"/>
        <v>2518</v>
      </c>
      <c r="N58" s="279">
        <f t="shared" si="86"/>
        <v>694</v>
      </c>
      <c r="O58" s="257">
        <f t="shared" si="86"/>
        <v>359</v>
      </c>
      <c r="P58" s="257">
        <f t="shared" si="86"/>
        <v>727</v>
      </c>
      <c r="Q58" s="257">
        <f t="shared" ref="Q58" si="87">SUM(Q49:Q53)</f>
        <v>0</v>
      </c>
      <c r="R58" s="257">
        <f t="shared" ref="R58:AI58" si="88">SUM(R49:R53)</f>
        <v>605</v>
      </c>
      <c r="S58" s="257">
        <f t="shared" si="88"/>
        <v>1112</v>
      </c>
      <c r="T58" s="335">
        <f t="shared" si="88"/>
        <v>2021</v>
      </c>
      <c r="U58" s="279">
        <f t="shared" si="88"/>
        <v>2080</v>
      </c>
      <c r="V58" s="257">
        <f t="shared" si="88"/>
        <v>1538</v>
      </c>
      <c r="W58" s="257">
        <f t="shared" si="88"/>
        <v>2000</v>
      </c>
      <c r="X58" s="257">
        <f t="shared" si="88"/>
        <v>2047</v>
      </c>
      <c r="Y58" s="335">
        <f t="shared" si="88"/>
        <v>2576</v>
      </c>
      <c r="Z58" s="279">
        <f t="shared" si="88"/>
        <v>1430</v>
      </c>
      <c r="AA58" s="257">
        <f t="shared" si="88"/>
        <v>996</v>
      </c>
      <c r="AB58" s="257">
        <f t="shared" si="88"/>
        <v>727</v>
      </c>
      <c r="AC58" s="257">
        <f t="shared" si="88"/>
        <v>218</v>
      </c>
      <c r="AD58" s="335">
        <f t="shared" si="88"/>
        <v>698</v>
      </c>
      <c r="AE58" s="279">
        <f t="shared" si="88"/>
        <v>2607</v>
      </c>
      <c r="AF58" s="257">
        <f t="shared" si="88"/>
        <v>1292</v>
      </c>
      <c r="AG58" s="257">
        <f t="shared" si="88"/>
        <v>1492</v>
      </c>
      <c r="AH58" s="257">
        <f t="shared" si="88"/>
        <v>2080</v>
      </c>
      <c r="AI58" s="260">
        <f t="shared" si="88"/>
        <v>58062</v>
      </c>
    </row>
    <row r="59" spans="1:35" ht="15.75" thickBot="1" x14ac:dyDescent="0.3">
      <c r="A59" s="30" t="s">
        <v>22</v>
      </c>
      <c r="B59" s="502"/>
      <c r="C59" s="44">
        <f>AVERAGE(C49:C53)</f>
        <v>800.8</v>
      </c>
      <c r="D59" s="238">
        <f t="shared" ref="D59:M59" si="89">AVERAGE(D49:D53)</f>
        <v>865.8</v>
      </c>
      <c r="E59" s="238">
        <f t="shared" si="89"/>
        <v>748.4</v>
      </c>
      <c r="F59" s="238">
        <f t="shared" si="89"/>
        <v>440.8</v>
      </c>
      <c r="G59" s="269">
        <f t="shared" si="89"/>
        <v>1147.4000000000001</v>
      </c>
      <c r="H59" s="168">
        <f t="shared" si="89"/>
        <v>802.6</v>
      </c>
      <c r="I59" s="238">
        <f t="shared" si="89"/>
        <v>256.39999999999998</v>
      </c>
      <c r="J59" s="337" t="e">
        <f t="shared" si="89"/>
        <v>#DIV/0!</v>
      </c>
      <c r="K59" s="44">
        <f t="shared" si="89"/>
        <v>450.4</v>
      </c>
      <c r="L59" s="238">
        <f t="shared" si="89"/>
        <v>136.4</v>
      </c>
      <c r="M59" s="337">
        <f t="shared" si="89"/>
        <v>503.6</v>
      </c>
      <c r="N59" s="44">
        <f t="shared" ref="N59:T59" si="90">AVERAGE(N49:N53)</f>
        <v>138.80000000000001</v>
      </c>
      <c r="O59" s="238">
        <f t="shared" si="90"/>
        <v>71.8</v>
      </c>
      <c r="P59" s="238">
        <f t="shared" si="90"/>
        <v>145.4</v>
      </c>
      <c r="Q59" s="238" t="e">
        <f t="shared" si="90"/>
        <v>#DIV/0!</v>
      </c>
      <c r="R59" s="238">
        <f t="shared" si="90"/>
        <v>121</v>
      </c>
      <c r="S59" s="238">
        <f t="shared" si="90"/>
        <v>222.4</v>
      </c>
      <c r="T59" s="337">
        <f t="shared" si="90"/>
        <v>404.2</v>
      </c>
      <c r="U59" s="44">
        <f t="shared" ref="U59:AI59" si="91">AVERAGE(U49:U53)</f>
        <v>416</v>
      </c>
      <c r="V59" s="238">
        <f t="shared" si="91"/>
        <v>307.60000000000002</v>
      </c>
      <c r="W59" s="238">
        <f t="shared" si="91"/>
        <v>400</v>
      </c>
      <c r="X59" s="238">
        <f t="shared" si="91"/>
        <v>409.4</v>
      </c>
      <c r="Y59" s="337">
        <f t="shared" si="91"/>
        <v>515.20000000000005</v>
      </c>
      <c r="Z59" s="44">
        <f t="shared" si="91"/>
        <v>286</v>
      </c>
      <c r="AA59" s="238">
        <f t="shared" si="91"/>
        <v>199.2</v>
      </c>
      <c r="AB59" s="238">
        <f t="shared" si="91"/>
        <v>145.4</v>
      </c>
      <c r="AC59" s="238">
        <f t="shared" si="91"/>
        <v>43.6</v>
      </c>
      <c r="AD59" s="337">
        <f t="shared" si="91"/>
        <v>139.6</v>
      </c>
      <c r="AE59" s="44">
        <f t="shared" si="91"/>
        <v>521.4</v>
      </c>
      <c r="AF59" s="238">
        <f t="shared" si="91"/>
        <v>258.39999999999998</v>
      </c>
      <c r="AG59" s="238">
        <f t="shared" si="91"/>
        <v>298.39999999999998</v>
      </c>
      <c r="AH59" s="238">
        <f t="shared" ref="AH59" si="92">AVERAGE(AH49:AH53)</f>
        <v>416</v>
      </c>
      <c r="AI59" s="261">
        <f t="shared" si="91"/>
        <v>11612.4</v>
      </c>
    </row>
    <row r="60" spans="1:35" ht="15.75" hidden="1" thickBot="1" x14ac:dyDescent="0.3">
      <c r="A60" s="155" t="s">
        <v>3</v>
      </c>
      <c r="B60" s="286">
        <f>B55+1</f>
        <v>43556</v>
      </c>
      <c r="C60" s="193"/>
      <c r="D60" s="235"/>
      <c r="E60" s="235"/>
      <c r="F60" s="235"/>
      <c r="G60" s="235"/>
      <c r="H60" s="235"/>
      <c r="I60" s="235"/>
      <c r="J60" s="369"/>
      <c r="K60" s="193"/>
      <c r="L60" s="235"/>
      <c r="M60" s="270"/>
      <c r="N60" s="283"/>
      <c r="O60" s="235"/>
      <c r="P60" s="235"/>
      <c r="Q60" s="235"/>
      <c r="R60" s="235"/>
      <c r="S60" s="235"/>
      <c r="T60" s="368"/>
      <c r="U60" s="283"/>
      <c r="V60" s="235"/>
      <c r="W60" s="235"/>
      <c r="X60" s="235"/>
      <c r="Y60" s="270"/>
      <c r="Z60" s="283"/>
      <c r="AA60" s="283"/>
      <c r="AB60" s="235"/>
      <c r="AC60" s="235"/>
      <c r="AD60" s="235"/>
      <c r="AE60" s="270"/>
      <c r="AF60" s="283"/>
      <c r="AG60" s="283"/>
      <c r="AH60" s="235"/>
      <c r="AI60" s="204">
        <f t="shared" ref="AI60:AI66" si="93">SUM(O60:AH60)</f>
        <v>0</v>
      </c>
    </row>
    <row r="61" spans="1:35" ht="15.75" hidden="1" thickBot="1" x14ac:dyDescent="0.3">
      <c r="A61" s="155" t="s">
        <v>4</v>
      </c>
      <c r="B61" s="181">
        <f t="shared" ref="B61:B66" si="94">B60+1</f>
        <v>43557</v>
      </c>
      <c r="C61" s="202"/>
      <c r="D61" s="236"/>
      <c r="E61" s="236"/>
      <c r="F61" s="236"/>
      <c r="G61" s="236"/>
      <c r="H61" s="236"/>
      <c r="I61" s="236"/>
      <c r="J61" s="234"/>
      <c r="K61" s="202"/>
      <c r="L61" s="236"/>
      <c r="M61" s="266"/>
      <c r="N61" s="276"/>
      <c r="O61" s="236"/>
      <c r="P61" s="236"/>
      <c r="Q61" s="236"/>
      <c r="R61" s="236"/>
      <c r="S61" s="236"/>
      <c r="T61" s="264"/>
      <c r="U61" s="276"/>
      <c r="V61" s="236"/>
      <c r="W61" s="236"/>
      <c r="X61" s="236"/>
      <c r="Y61" s="266"/>
      <c r="Z61" s="276"/>
      <c r="AA61" s="276"/>
      <c r="AB61" s="236"/>
      <c r="AC61" s="236"/>
      <c r="AD61" s="236"/>
      <c r="AE61" s="266"/>
      <c r="AF61" s="276"/>
      <c r="AG61" s="276"/>
      <c r="AH61" s="236"/>
      <c r="AI61" s="204">
        <f t="shared" si="93"/>
        <v>0</v>
      </c>
    </row>
    <row r="62" spans="1:35" ht="15.75" hidden="1" thickBot="1" x14ac:dyDescent="0.3">
      <c r="A62" s="155" t="s">
        <v>5</v>
      </c>
      <c r="B62" s="181">
        <f t="shared" si="94"/>
        <v>43558</v>
      </c>
      <c r="C62" s="234"/>
      <c r="D62" s="236"/>
      <c r="E62" s="236"/>
      <c r="F62" s="236"/>
      <c r="G62" s="236"/>
      <c r="H62" s="236"/>
      <c r="I62" s="236"/>
      <c r="J62" s="234"/>
      <c r="K62" s="202"/>
      <c r="L62" s="236"/>
      <c r="M62" s="266"/>
      <c r="N62" s="276"/>
      <c r="O62" s="236"/>
      <c r="P62" s="236"/>
      <c r="Q62" s="236"/>
      <c r="R62" s="236"/>
      <c r="S62" s="236"/>
      <c r="T62" s="264"/>
      <c r="U62" s="276"/>
      <c r="V62" s="236"/>
      <c r="W62" s="236"/>
      <c r="X62" s="236"/>
      <c r="Y62" s="266"/>
      <c r="Z62" s="276"/>
      <c r="AA62" s="276"/>
      <c r="AB62" s="236"/>
      <c r="AC62" s="236"/>
      <c r="AD62" s="236"/>
      <c r="AE62" s="266"/>
      <c r="AF62" s="276"/>
      <c r="AG62" s="276"/>
      <c r="AH62" s="236"/>
      <c r="AI62" s="204">
        <f t="shared" si="93"/>
        <v>0</v>
      </c>
    </row>
    <row r="63" spans="1:35" ht="15.75" hidden="1" thickBot="1" x14ac:dyDescent="0.3">
      <c r="A63" s="155" t="s">
        <v>6</v>
      </c>
      <c r="B63" s="181">
        <f t="shared" si="94"/>
        <v>43559</v>
      </c>
      <c r="C63" s="202"/>
      <c r="D63" s="236"/>
      <c r="E63" s="236"/>
      <c r="F63" s="236"/>
      <c r="G63" s="236"/>
      <c r="H63" s="236"/>
      <c r="I63" s="236"/>
      <c r="J63" s="234"/>
      <c r="K63" s="202"/>
      <c r="L63" s="236"/>
      <c r="M63" s="266"/>
      <c r="N63" s="276"/>
      <c r="O63" s="236"/>
      <c r="P63" s="236"/>
      <c r="Q63" s="236"/>
      <c r="R63" s="236"/>
      <c r="S63" s="236"/>
      <c r="T63" s="266"/>
      <c r="U63" s="276"/>
      <c r="V63" s="236"/>
      <c r="W63" s="236"/>
      <c r="X63" s="236"/>
      <c r="Y63" s="266"/>
      <c r="Z63" s="276"/>
      <c r="AA63" s="276"/>
      <c r="AB63" s="236"/>
      <c r="AC63" s="236"/>
      <c r="AD63" s="236"/>
      <c r="AE63" s="266"/>
      <c r="AF63" s="276"/>
      <c r="AG63" s="276"/>
      <c r="AH63" s="236"/>
      <c r="AI63" s="204">
        <f t="shared" si="93"/>
        <v>0</v>
      </c>
    </row>
    <row r="64" spans="1:35" ht="15.75" hidden="1" thickBot="1" x14ac:dyDescent="0.3">
      <c r="A64" s="155" t="s">
        <v>0</v>
      </c>
      <c r="B64" s="181">
        <f t="shared" si="94"/>
        <v>43560</v>
      </c>
      <c r="C64" s="202"/>
      <c r="D64" s="236"/>
      <c r="E64" s="236"/>
      <c r="F64" s="236"/>
      <c r="G64" s="236"/>
      <c r="H64" s="236"/>
      <c r="I64" s="236"/>
      <c r="J64" s="234"/>
      <c r="K64" s="202"/>
      <c r="L64" s="236"/>
      <c r="M64" s="266"/>
      <c r="N64" s="276"/>
      <c r="O64" s="236"/>
      <c r="P64" s="236"/>
      <c r="Q64" s="236"/>
      <c r="R64" s="236"/>
      <c r="S64" s="236"/>
      <c r="T64" s="264"/>
      <c r="U64" s="276"/>
      <c r="V64" s="236"/>
      <c r="W64" s="236"/>
      <c r="X64" s="236"/>
      <c r="Y64" s="266"/>
      <c r="Z64" s="276"/>
      <c r="AA64" s="276"/>
      <c r="AB64" s="236"/>
      <c r="AC64" s="236"/>
      <c r="AD64" s="236"/>
      <c r="AE64" s="266"/>
      <c r="AF64" s="276"/>
      <c r="AG64" s="276"/>
      <c r="AH64" s="236"/>
      <c r="AI64" s="204">
        <f t="shared" si="93"/>
        <v>0</v>
      </c>
    </row>
    <row r="65" spans="1:35" ht="15.75" hidden="1" thickBot="1" x14ac:dyDescent="0.3">
      <c r="A65" s="155" t="s">
        <v>1</v>
      </c>
      <c r="B65" s="181">
        <f t="shared" si="94"/>
        <v>43561</v>
      </c>
      <c r="C65" s="202"/>
      <c r="D65" s="236"/>
      <c r="E65" s="236"/>
      <c r="F65" s="236"/>
      <c r="G65" s="236"/>
      <c r="H65" s="236"/>
      <c r="I65" s="236"/>
      <c r="J65" s="234"/>
      <c r="K65" s="202"/>
      <c r="L65" s="236"/>
      <c r="M65" s="266"/>
      <c r="N65" s="276"/>
      <c r="O65" s="236"/>
      <c r="P65" s="236"/>
      <c r="Q65" s="236"/>
      <c r="R65" s="236"/>
      <c r="S65" s="236"/>
      <c r="T65" s="264"/>
      <c r="U65" s="276"/>
      <c r="V65" s="236"/>
      <c r="W65" s="236"/>
      <c r="X65" s="236"/>
      <c r="Y65" s="266"/>
      <c r="Z65" s="276"/>
      <c r="AA65" s="276"/>
      <c r="AB65" s="236"/>
      <c r="AC65" s="236"/>
      <c r="AD65" s="236"/>
      <c r="AE65" s="266"/>
      <c r="AF65" s="276"/>
      <c r="AG65" s="276"/>
      <c r="AH65" s="236"/>
      <c r="AI65" s="204">
        <f t="shared" si="93"/>
        <v>0</v>
      </c>
    </row>
    <row r="66" spans="1:35" ht="15.75" hidden="1" thickBot="1" x14ac:dyDescent="0.3">
      <c r="A66" s="155" t="s">
        <v>2</v>
      </c>
      <c r="B66" s="181">
        <f t="shared" si="94"/>
        <v>43562</v>
      </c>
      <c r="C66" s="205"/>
      <c r="D66" s="240"/>
      <c r="E66" s="240"/>
      <c r="F66" s="240"/>
      <c r="G66" s="240"/>
      <c r="H66" s="240"/>
      <c r="I66" s="240"/>
      <c r="J66" s="247"/>
      <c r="K66" s="205"/>
      <c r="L66" s="240"/>
      <c r="M66" s="268"/>
      <c r="N66" s="289"/>
      <c r="O66" s="237"/>
      <c r="P66" s="237"/>
      <c r="Q66" s="237"/>
      <c r="R66" s="237"/>
      <c r="S66" s="237"/>
      <c r="T66" s="265"/>
      <c r="U66" s="289"/>
      <c r="V66" s="237"/>
      <c r="W66" s="237"/>
      <c r="X66" s="237"/>
      <c r="Y66" s="237"/>
      <c r="Z66" s="289"/>
      <c r="AA66" s="289"/>
      <c r="AB66" s="237"/>
      <c r="AC66" s="237"/>
      <c r="AD66" s="237"/>
      <c r="AE66" s="266"/>
      <c r="AF66" s="276"/>
      <c r="AG66" s="276"/>
      <c r="AH66" s="236"/>
      <c r="AI66" s="204">
        <f t="shared" si="93"/>
        <v>0</v>
      </c>
    </row>
    <row r="67" spans="1:35" ht="15.75" hidden="1" thickBot="1" x14ac:dyDescent="0.3">
      <c r="A67" s="164" t="s">
        <v>21</v>
      </c>
      <c r="B67" s="503" t="s">
        <v>32</v>
      </c>
      <c r="C67" s="206">
        <f t="shared" ref="C67:J67" si="95">SUM(C60:C66)</f>
        <v>0</v>
      </c>
      <c r="D67" s="241">
        <f t="shared" si="95"/>
        <v>0</v>
      </c>
      <c r="E67" s="241">
        <f t="shared" si="95"/>
        <v>0</v>
      </c>
      <c r="F67" s="241">
        <f t="shared" si="95"/>
        <v>0</v>
      </c>
      <c r="G67" s="241">
        <f t="shared" si="95"/>
        <v>0</v>
      </c>
      <c r="H67" s="241">
        <f t="shared" si="95"/>
        <v>0</v>
      </c>
      <c r="I67" s="241">
        <f t="shared" si="95"/>
        <v>0</v>
      </c>
      <c r="J67" s="248">
        <f t="shared" si="95"/>
        <v>0</v>
      </c>
      <c r="K67" s="206">
        <f>SUM(K60:K66)</f>
        <v>0</v>
      </c>
      <c r="L67" s="241">
        <f>SUM(L60:L66)</f>
        <v>0</v>
      </c>
      <c r="M67" s="272">
        <f>SUM(M60:M66)</f>
        <v>0</v>
      </c>
      <c r="N67" s="284">
        <f t="shared" ref="N67:T67" si="96">SUM(N60:N66)</f>
        <v>0</v>
      </c>
      <c r="O67" s="262">
        <f t="shared" si="96"/>
        <v>0</v>
      </c>
      <c r="P67" s="262">
        <f t="shared" si="96"/>
        <v>0</v>
      </c>
      <c r="Q67" s="262">
        <f t="shared" si="96"/>
        <v>0</v>
      </c>
      <c r="R67" s="262">
        <f t="shared" si="96"/>
        <v>0</v>
      </c>
      <c r="S67" s="262">
        <f t="shared" si="96"/>
        <v>0</v>
      </c>
      <c r="T67" s="262">
        <f t="shared" si="96"/>
        <v>0</v>
      </c>
      <c r="U67" s="284">
        <f>SUM(U60:U66)</f>
        <v>0</v>
      </c>
      <c r="V67" s="262">
        <f>SUM(V60:V66)</f>
        <v>0</v>
      </c>
      <c r="W67" s="262">
        <f>SUM(W60:W66)</f>
        <v>0</v>
      </c>
      <c r="X67" s="262">
        <f>SUM(X60:X66)</f>
        <v>0</v>
      </c>
      <c r="Y67" s="262">
        <f>SUM(Y60:Y66)</f>
        <v>0</v>
      </c>
      <c r="Z67" s="284">
        <f t="shared" ref="Z67:AE67" si="97">SUM(Z60:Z66)</f>
        <v>0</v>
      </c>
      <c r="AA67" s="284">
        <f t="shared" si="97"/>
        <v>0</v>
      </c>
      <c r="AB67" s="262">
        <f t="shared" si="97"/>
        <v>0</v>
      </c>
      <c r="AC67" s="262">
        <f t="shared" si="97"/>
        <v>0</v>
      </c>
      <c r="AD67" s="262">
        <f t="shared" si="97"/>
        <v>0</v>
      </c>
      <c r="AE67" s="262">
        <f t="shared" si="97"/>
        <v>0</v>
      </c>
      <c r="AF67" s="284">
        <f>SUM(AF60:AF66)</f>
        <v>0</v>
      </c>
      <c r="AG67" s="284">
        <f>SUM(AG60:AG66)</f>
        <v>0</v>
      </c>
      <c r="AH67" s="262">
        <f>SUM(AH60:AH66)</f>
        <v>0</v>
      </c>
      <c r="AI67" s="258">
        <f>SUM(AI60:AI66)</f>
        <v>0</v>
      </c>
    </row>
    <row r="68" spans="1:35" ht="15.75" hidden="1" thickBot="1" x14ac:dyDescent="0.3">
      <c r="A68" s="114" t="s">
        <v>23</v>
      </c>
      <c r="B68" s="504"/>
      <c r="C68" s="207" t="e">
        <f t="shared" ref="C68:J68" si="98">AVERAGE(C60:C66)</f>
        <v>#DIV/0!</v>
      </c>
      <c r="D68" s="242" t="e">
        <f t="shared" si="98"/>
        <v>#DIV/0!</v>
      </c>
      <c r="E68" s="243" t="e">
        <f t="shared" si="98"/>
        <v>#DIV/0!</v>
      </c>
      <c r="F68" s="242" t="e">
        <f t="shared" si="98"/>
        <v>#DIV/0!</v>
      </c>
      <c r="G68" s="242" t="e">
        <f t="shared" si="98"/>
        <v>#DIV/0!</v>
      </c>
      <c r="H68" s="242" t="e">
        <f t="shared" si="98"/>
        <v>#DIV/0!</v>
      </c>
      <c r="I68" s="242" t="e">
        <f t="shared" si="98"/>
        <v>#DIV/0!</v>
      </c>
      <c r="J68" s="249" t="e">
        <f t="shared" si="98"/>
        <v>#DIV/0!</v>
      </c>
      <c r="K68" s="207" t="e">
        <f>AVERAGE(K60:K66)</f>
        <v>#DIV/0!</v>
      </c>
      <c r="L68" s="242" t="e">
        <f>AVERAGE(L60:L66)</f>
        <v>#DIV/0!</v>
      </c>
      <c r="M68" s="273" t="e">
        <f>AVERAGE(M60:M66)</f>
        <v>#DIV/0!</v>
      </c>
      <c r="N68" s="284" t="e">
        <f t="shared" ref="N68:T68" si="99">AVERAGE(N60:N66)</f>
        <v>#DIV/0!</v>
      </c>
      <c r="O68" s="262" t="e">
        <f t="shared" si="99"/>
        <v>#DIV/0!</v>
      </c>
      <c r="P68" s="262" t="e">
        <f t="shared" si="99"/>
        <v>#DIV/0!</v>
      </c>
      <c r="Q68" s="262" t="e">
        <f t="shared" si="99"/>
        <v>#DIV/0!</v>
      </c>
      <c r="R68" s="262" t="e">
        <f t="shared" si="99"/>
        <v>#DIV/0!</v>
      </c>
      <c r="S68" s="262" t="e">
        <f t="shared" si="99"/>
        <v>#DIV/0!</v>
      </c>
      <c r="T68" s="262" t="e">
        <f t="shared" si="99"/>
        <v>#DIV/0!</v>
      </c>
      <c r="U68" s="284" t="e">
        <f>AVERAGE(U60:U66)</f>
        <v>#DIV/0!</v>
      </c>
      <c r="V68" s="262" t="e">
        <f>AVERAGE(V60:V66)</f>
        <v>#DIV/0!</v>
      </c>
      <c r="W68" s="262" t="e">
        <f>AVERAGE(W60:W66)</f>
        <v>#DIV/0!</v>
      </c>
      <c r="X68" s="262" t="e">
        <f>AVERAGE(X60:X66)</f>
        <v>#DIV/0!</v>
      </c>
      <c r="Y68" s="262" t="e">
        <f>AVERAGE(Y60:Y66)</f>
        <v>#DIV/0!</v>
      </c>
      <c r="Z68" s="284" t="e">
        <f t="shared" ref="Z68:AE68" si="100">AVERAGE(Z60:Z66)</f>
        <v>#DIV/0!</v>
      </c>
      <c r="AA68" s="284" t="e">
        <f t="shared" si="100"/>
        <v>#DIV/0!</v>
      </c>
      <c r="AB68" s="262" t="e">
        <f t="shared" si="100"/>
        <v>#DIV/0!</v>
      </c>
      <c r="AC68" s="262" t="e">
        <f t="shared" si="100"/>
        <v>#DIV/0!</v>
      </c>
      <c r="AD68" s="262" t="e">
        <f t="shared" si="100"/>
        <v>#DIV/0!</v>
      </c>
      <c r="AE68" s="262" t="e">
        <f t="shared" si="100"/>
        <v>#DIV/0!</v>
      </c>
      <c r="AF68" s="284" t="e">
        <f>AVERAGE(AF60:AF66)</f>
        <v>#DIV/0!</v>
      </c>
      <c r="AG68" s="284" t="e">
        <f>AVERAGE(AG60:AG66)</f>
        <v>#DIV/0!</v>
      </c>
      <c r="AH68" s="262" t="e">
        <f>AVERAGE(AH60:AH66)</f>
        <v>#DIV/0!</v>
      </c>
      <c r="AI68" s="259">
        <f>AVERAGE(AI60:AI66)</f>
        <v>0</v>
      </c>
    </row>
    <row r="69" spans="1:35" ht="15.75" hidden="1" thickBot="1" x14ac:dyDescent="0.3">
      <c r="A69" s="30" t="s">
        <v>20</v>
      </c>
      <c r="B69" s="504"/>
      <c r="C69" s="208">
        <f t="shared" ref="C69:J69" si="101">SUM(C60:C64)</f>
        <v>0</v>
      </c>
      <c r="D69" s="244">
        <f t="shared" si="101"/>
        <v>0</v>
      </c>
      <c r="E69" s="244">
        <f t="shared" si="101"/>
        <v>0</v>
      </c>
      <c r="F69" s="244">
        <f t="shared" si="101"/>
        <v>0</v>
      </c>
      <c r="G69" s="244">
        <f t="shared" si="101"/>
        <v>0</v>
      </c>
      <c r="H69" s="244">
        <f t="shared" si="101"/>
        <v>0</v>
      </c>
      <c r="I69" s="244">
        <f t="shared" si="101"/>
        <v>0</v>
      </c>
      <c r="J69" s="250">
        <f t="shared" si="101"/>
        <v>0</v>
      </c>
      <c r="K69" s="208">
        <f>SUM(K60:K64)</f>
        <v>0</v>
      </c>
      <c r="L69" s="244">
        <f>SUM(L60:L64)</f>
        <v>0</v>
      </c>
      <c r="M69" s="274">
        <f>SUM(M60:M64)</f>
        <v>0</v>
      </c>
      <c r="N69" s="285">
        <f t="shared" ref="N69:T69" si="102">SUM(N60:N64)</f>
        <v>0</v>
      </c>
      <c r="O69" s="263">
        <f t="shared" si="102"/>
        <v>0</v>
      </c>
      <c r="P69" s="263">
        <f t="shared" si="102"/>
        <v>0</v>
      </c>
      <c r="Q69" s="263">
        <f t="shared" si="102"/>
        <v>0</v>
      </c>
      <c r="R69" s="263">
        <f t="shared" si="102"/>
        <v>0</v>
      </c>
      <c r="S69" s="263">
        <f t="shared" si="102"/>
        <v>0</v>
      </c>
      <c r="T69" s="263">
        <f t="shared" si="102"/>
        <v>0</v>
      </c>
      <c r="U69" s="285">
        <f>SUM(U60:U64)</f>
        <v>0</v>
      </c>
      <c r="V69" s="263">
        <f>SUM(V60:V64)</f>
        <v>0</v>
      </c>
      <c r="W69" s="263">
        <f>SUM(W60:W64)</f>
        <v>0</v>
      </c>
      <c r="X69" s="263">
        <f>SUM(X60:X64)</f>
        <v>0</v>
      </c>
      <c r="Y69" s="263">
        <f>SUM(Y60:Y64)</f>
        <v>0</v>
      </c>
      <c r="Z69" s="285">
        <f t="shared" ref="Z69:AE69" si="103">SUM(Z60:Z64)</f>
        <v>0</v>
      </c>
      <c r="AA69" s="285">
        <f t="shared" si="103"/>
        <v>0</v>
      </c>
      <c r="AB69" s="263">
        <f t="shared" si="103"/>
        <v>0</v>
      </c>
      <c r="AC69" s="263">
        <f t="shared" si="103"/>
        <v>0</v>
      </c>
      <c r="AD69" s="263">
        <f t="shared" si="103"/>
        <v>0</v>
      </c>
      <c r="AE69" s="263">
        <f t="shared" si="103"/>
        <v>0</v>
      </c>
      <c r="AF69" s="285">
        <f>SUM(AF60:AF64)</f>
        <v>0</v>
      </c>
      <c r="AG69" s="285">
        <f>SUM(AG60:AG64)</f>
        <v>0</v>
      </c>
      <c r="AH69" s="263">
        <f>SUM(AH60:AH64)</f>
        <v>0</v>
      </c>
      <c r="AI69" s="260">
        <f>SUM(AI60:AI64)</f>
        <v>0</v>
      </c>
    </row>
    <row r="70" spans="1:35" ht="15.75" hidden="1" thickBot="1" x14ac:dyDescent="0.3">
      <c r="A70" s="30" t="s">
        <v>22</v>
      </c>
      <c r="B70" s="505"/>
      <c r="C70" s="209" t="e">
        <f t="shared" ref="C70:J70" si="104">AVERAGE(C60:C64)</f>
        <v>#DIV/0!</v>
      </c>
      <c r="D70" s="245" t="e">
        <f t="shared" si="104"/>
        <v>#DIV/0!</v>
      </c>
      <c r="E70" s="245" t="e">
        <f t="shared" si="104"/>
        <v>#DIV/0!</v>
      </c>
      <c r="F70" s="245" t="e">
        <f t="shared" si="104"/>
        <v>#DIV/0!</v>
      </c>
      <c r="G70" s="245" t="e">
        <f t="shared" si="104"/>
        <v>#DIV/0!</v>
      </c>
      <c r="H70" s="245" t="e">
        <f t="shared" si="104"/>
        <v>#DIV/0!</v>
      </c>
      <c r="I70" s="245" t="e">
        <f t="shared" si="104"/>
        <v>#DIV/0!</v>
      </c>
      <c r="J70" s="251" t="e">
        <f t="shared" si="104"/>
        <v>#DIV/0!</v>
      </c>
      <c r="K70" s="209" t="e">
        <f>AVERAGE(K60:K64)</f>
        <v>#DIV/0!</v>
      </c>
      <c r="L70" s="245" t="e">
        <f>AVERAGE(L60:L64)</f>
        <v>#DIV/0!</v>
      </c>
      <c r="M70" s="275" t="e">
        <f>AVERAGE(M60:M64)</f>
        <v>#DIV/0!</v>
      </c>
      <c r="N70" s="285" t="e">
        <f t="shared" ref="N70:T70" si="105">AVERAGE(N60:N64)</f>
        <v>#DIV/0!</v>
      </c>
      <c r="O70" s="263" t="e">
        <f t="shared" si="105"/>
        <v>#DIV/0!</v>
      </c>
      <c r="P70" s="263" t="e">
        <f t="shared" si="105"/>
        <v>#DIV/0!</v>
      </c>
      <c r="Q70" s="263" t="e">
        <f t="shared" si="105"/>
        <v>#DIV/0!</v>
      </c>
      <c r="R70" s="263" t="e">
        <f t="shared" si="105"/>
        <v>#DIV/0!</v>
      </c>
      <c r="S70" s="263" t="e">
        <f t="shared" si="105"/>
        <v>#DIV/0!</v>
      </c>
      <c r="T70" s="263" t="e">
        <f t="shared" si="105"/>
        <v>#DIV/0!</v>
      </c>
      <c r="U70" s="285" t="e">
        <f>AVERAGE(U60:U64)</f>
        <v>#DIV/0!</v>
      </c>
      <c r="V70" s="263" t="e">
        <f>AVERAGE(V60:V64)</f>
        <v>#DIV/0!</v>
      </c>
      <c r="W70" s="263" t="e">
        <f>AVERAGE(W60:W64)</f>
        <v>#DIV/0!</v>
      </c>
      <c r="X70" s="263" t="e">
        <f>AVERAGE(X60:X64)</f>
        <v>#DIV/0!</v>
      </c>
      <c r="Y70" s="263" t="e">
        <f>AVERAGE(Y60:Y64)</f>
        <v>#DIV/0!</v>
      </c>
      <c r="Z70" s="285" t="e">
        <f t="shared" ref="Z70:AE70" si="106">AVERAGE(Z60:Z64)</f>
        <v>#DIV/0!</v>
      </c>
      <c r="AA70" s="285" t="e">
        <f t="shared" si="106"/>
        <v>#DIV/0!</v>
      </c>
      <c r="AB70" s="263" t="e">
        <f t="shared" si="106"/>
        <v>#DIV/0!</v>
      </c>
      <c r="AC70" s="263" t="e">
        <f t="shared" si="106"/>
        <v>#DIV/0!</v>
      </c>
      <c r="AD70" s="263" t="e">
        <f t="shared" si="106"/>
        <v>#DIV/0!</v>
      </c>
      <c r="AE70" s="263" t="e">
        <f t="shared" si="106"/>
        <v>#DIV/0!</v>
      </c>
      <c r="AF70" s="285" t="e">
        <f>AVERAGE(AF60:AF64)</f>
        <v>#DIV/0!</v>
      </c>
      <c r="AG70" s="285" t="e">
        <f>AVERAGE(AG60:AG64)</f>
        <v>#DIV/0!</v>
      </c>
      <c r="AH70" s="263" t="e">
        <f>AVERAGE(AH60:AH64)</f>
        <v>#DIV/0!</v>
      </c>
      <c r="AI70" s="261">
        <f>AVERAGE(AI60:AI64)</f>
        <v>0</v>
      </c>
    </row>
    <row r="71" spans="1:35" x14ac:dyDescent="0.25">
      <c r="A71" s="4"/>
      <c r="B71" s="137"/>
      <c r="C71" s="137"/>
      <c r="D71" s="5"/>
      <c r="E71" s="5"/>
      <c r="F71" s="5"/>
      <c r="G71" s="5"/>
      <c r="H71" s="5"/>
      <c r="I71" s="5"/>
      <c r="J71" s="5"/>
      <c r="K71" s="5"/>
      <c r="L71" s="5"/>
      <c r="M71" s="5"/>
      <c r="N71" s="255"/>
      <c r="O71" s="5"/>
      <c r="P71" s="5"/>
      <c r="Q71" s="5"/>
      <c r="R71" s="5"/>
      <c r="S71" s="5"/>
      <c r="T71" s="5"/>
      <c r="U71" s="255"/>
      <c r="V71" s="5"/>
      <c r="W71" s="5"/>
      <c r="X71" s="5"/>
      <c r="Y71" s="5"/>
    </row>
    <row r="72" spans="1:35" ht="25.5" x14ac:dyDescent="0.25">
      <c r="A72" s="4"/>
      <c r="B72" s="195"/>
      <c r="C72" s="43" t="s">
        <v>10</v>
      </c>
      <c r="D72" s="43" t="s">
        <v>14</v>
      </c>
      <c r="E72" s="43" t="s">
        <v>63</v>
      </c>
      <c r="F72" s="43" t="s">
        <v>64</v>
      </c>
      <c r="G72" s="43" t="s">
        <v>11</v>
      </c>
      <c r="H72" s="43" t="s">
        <v>12</v>
      </c>
      <c r="I72" s="43" t="s">
        <v>65</v>
      </c>
      <c r="J72" s="43" t="s">
        <v>104</v>
      </c>
      <c r="K72" s="43" t="s">
        <v>31</v>
      </c>
      <c r="L72" s="43" t="s">
        <v>71</v>
      </c>
      <c r="M72" s="43" t="s">
        <v>72</v>
      </c>
      <c r="N72" s="253" t="s">
        <v>77</v>
      </c>
      <c r="O72" s="43" t="s">
        <v>78</v>
      </c>
      <c r="P72" s="43" t="s">
        <v>80</v>
      </c>
      <c r="Q72" s="43" t="s">
        <v>81</v>
      </c>
      <c r="R72" s="43" t="s">
        <v>82</v>
      </c>
      <c r="S72" s="43" t="s">
        <v>87</v>
      </c>
      <c r="T72" s="43" t="s">
        <v>88</v>
      </c>
      <c r="U72" s="43" t="s">
        <v>90</v>
      </c>
      <c r="V72" s="43" t="s">
        <v>89</v>
      </c>
      <c r="W72" s="294"/>
      <c r="X72" s="161"/>
      <c r="Y72" s="161"/>
      <c r="Z72" s="161"/>
      <c r="AA72" s="1"/>
      <c r="AB72" s="1"/>
    </row>
    <row r="73" spans="1:35" ht="25.5" x14ac:dyDescent="0.25">
      <c r="B73" s="46" t="s">
        <v>29</v>
      </c>
      <c r="C73" s="197">
        <f>SUM(C12,C23,C34,C45,C56,C67,M12,M23,M34,M45,M56,M67,T12,T23,T34,T45,T56,T67,Y12,Y23,Y34,Y45,Y56,Y67, AD12, AD23, AD34, AD45, AD56, AD67, AH12, AH23, AH34, AH45, AH56, AH67)</f>
        <v>71813</v>
      </c>
      <c r="D73" s="197">
        <f>SUM(D12,D23,D34,D45,D56,D67,X12,X23,X34,X45,X56,X67, AA12,AA23,AA34,AA45,AA56,AA67, AG12,AG23,AG34,AG45,AG56,AG67)</f>
        <v>46281</v>
      </c>
      <c r="E73" s="197">
        <f>SUM(E12,E23,E34,E45,E56,E67,S12,S23,S34,S45,S56,S67)</f>
        <v>28291</v>
      </c>
      <c r="F73" s="197">
        <f>SUM(F12,F23,F34,F45,F56, F67)</f>
        <v>10451</v>
      </c>
      <c r="G73" s="197">
        <f>SUM(G12,G23,G34,G45,G56, G67)</f>
        <v>29659</v>
      </c>
      <c r="H73" s="197">
        <f>SUM(H12,H23,H34,H45,H56,H67)</f>
        <v>19410</v>
      </c>
      <c r="I73" s="197">
        <f>SUM(W12,W23,W34,W45,W56,W67, Z12,Z23,Z34,Z45,Z56,Z67)</f>
        <v>17032</v>
      </c>
      <c r="J73" s="197">
        <f>I12+I23+I34+I45+I56</f>
        <v>8229</v>
      </c>
      <c r="K73" s="197">
        <f>SUM(J12,J23,J34,J45,J56,J67,Q12,Q23,Q34,Q45,Q56,Q67)</f>
        <v>0</v>
      </c>
      <c r="L73" s="197">
        <f>SUM(K12,K23,K34,K45,K56,K67)</f>
        <v>13527</v>
      </c>
      <c r="M73" s="197">
        <f>SUM(L12,L23,L34,L45,L56,L67,O12,O23,O34,O45,O56,O67)</f>
        <v>5247</v>
      </c>
      <c r="N73" s="254">
        <f>SUM(N12,N23,N34,N45,N56,N67)</f>
        <v>3984</v>
      </c>
      <c r="O73" s="197">
        <f>SUM(P12,P23,P34,P45,P56,P67)</f>
        <v>3761</v>
      </c>
      <c r="P73" s="197">
        <f>SUM(R12,R23,R34,R45,R56,R67)</f>
        <v>2859</v>
      </c>
      <c r="Q73" s="197">
        <f>SUM(U12,U23,U34,U45,U56,U67)</f>
        <v>10763</v>
      </c>
      <c r="R73" s="197">
        <f>SUM(V12,V23,V34,V45,V56,V67)</f>
        <v>8399</v>
      </c>
      <c r="S73" s="197">
        <f>SUM(AB12,AB23,AB34,AB45,AB56,AB67)</f>
        <v>3813</v>
      </c>
      <c r="T73" s="197">
        <f>SUM(AC12,AC23,AC34,AC45,AC56,AC67)</f>
        <v>1232</v>
      </c>
      <c r="U73" s="197">
        <f>SUM(AE12,AE23,AE34,AE45,AE56,AE67)</f>
        <v>12283</v>
      </c>
      <c r="V73" s="197">
        <f>SUM(AF12,AF23,AF34,AF45,AF56,AF67)</f>
        <v>6632</v>
      </c>
      <c r="W73" s="294"/>
      <c r="X73" s="210"/>
      <c r="Y73" s="210"/>
      <c r="Z73" s="210"/>
      <c r="AA73" s="1"/>
      <c r="AB73" s="1"/>
    </row>
    <row r="74" spans="1:35" ht="25.5" x14ac:dyDescent="0.25">
      <c r="B74" s="46" t="s">
        <v>30</v>
      </c>
      <c r="C74" s="197">
        <f>SUM(C14,C25,C36,C47,C58,C69,M14,M25,M36,M47,M58,M69,T14,T25,T36,T47,T58,T69,Y14,Y25,Y36,Y47,Y58,Y69, AD14, AD25, AD36, AD47, AD58, AD69, AH14, AH25, AH36, AH47, AH58, AH69)</f>
        <v>56300</v>
      </c>
      <c r="D74" s="197">
        <f>SUM(D14,D25,D36,D47,D58,D69,X14,X25,X36,X47,X58,X69,AA14,AA25,AA36,AA47,AA58,AA69, AG14,AG25,AG36,AG47,AG58,AG69)</f>
        <v>35307</v>
      </c>
      <c r="E74" s="197">
        <f>SUM(E14,E25,E36,E47,E58,S14,S25,S36,S47,S58,S69)</f>
        <v>18032</v>
      </c>
      <c r="F74" s="197">
        <f>SUM(F14,F25,F36,F47,F58, F69)</f>
        <v>8623</v>
      </c>
      <c r="G74" s="197">
        <f>SUM(G14,G25,G36,G47,G58, G69)</f>
        <v>22319</v>
      </c>
      <c r="H74" s="197">
        <f>SUM(H14,H25,H36,H47,H58,H69)</f>
        <v>15205</v>
      </c>
      <c r="I74" s="197">
        <f>SUM(W14,W25,W36,W47,W58,W69, Z14,Z25,Z36,Z47,Z58,Z69)</f>
        <v>13122</v>
      </c>
      <c r="J74" s="197">
        <f>I14+I25+I36+I47+I58</f>
        <v>5177</v>
      </c>
      <c r="K74" s="197">
        <f>SUM(J14,J25,J36,J47,J58,J69,Q14,Q25,Q36,Q47,Q58,Q69)</f>
        <v>0</v>
      </c>
      <c r="L74" s="197">
        <f>SUM(K14,K25,K36,K47,K58,K69)</f>
        <v>9580</v>
      </c>
      <c r="M74" s="197">
        <f>SUM(L14,L25,L36,L47,L58,L69,O14,O25,O36,O47,O58,O69)</f>
        <v>4127</v>
      </c>
      <c r="N74" s="197">
        <f>SUM(N14,N25,N36,N47,N58,N69)</f>
        <v>2520</v>
      </c>
      <c r="O74" s="197">
        <f>SUM(P14,P25,P36,P47,P58,P69)</f>
        <v>2909</v>
      </c>
      <c r="P74" s="197">
        <f>SUM(R14,R25,R36,R47,R58,R69)</f>
        <v>2102</v>
      </c>
      <c r="Q74" s="197">
        <f>SUM(U14,U25,U36,U47,U58,U69)</f>
        <v>8065</v>
      </c>
      <c r="R74" s="197">
        <f>SUM(V14,V25,V36,V47,V58,V69)</f>
        <v>6362</v>
      </c>
      <c r="S74" s="197">
        <f>SUM(AB14,AB25,AB36,AB47,AB58,AB69)</f>
        <v>3045</v>
      </c>
      <c r="T74" s="197">
        <f>SUM(AC14,AC25,AC36,AC47,AC58,AC69)</f>
        <v>957</v>
      </c>
      <c r="U74" s="197">
        <f>SUM(AE14,AE25,AE36,AE47,AE58,AE69)</f>
        <v>10119</v>
      </c>
      <c r="V74" s="197">
        <f>SUM(AF14,AF25,AF36,AF47,AF58,AF69)</f>
        <v>5101</v>
      </c>
      <c r="X74" s="252"/>
      <c r="Y74" s="252"/>
      <c r="Z74" s="252"/>
      <c r="AA74" s="1"/>
      <c r="AB74" s="1"/>
    </row>
    <row r="75" spans="1:35" x14ac:dyDescent="0.25">
      <c r="B75" s="1"/>
      <c r="C75" s="1"/>
      <c r="F75" s="138"/>
    </row>
    <row r="76" spans="1:35" x14ac:dyDescent="0.25">
      <c r="B76" s="1"/>
      <c r="C76" s="1"/>
      <c r="F76" s="138"/>
      <c r="U76" s="292"/>
    </row>
    <row r="77" spans="1:35" x14ac:dyDescent="0.25">
      <c r="B77" s="1"/>
      <c r="C77" s="1"/>
      <c r="D77" s="499" t="s">
        <v>74</v>
      </c>
      <c r="E77" s="500"/>
      <c r="F77" s="501"/>
      <c r="Z77" s="1"/>
      <c r="AA77" s="1"/>
      <c r="AB77" s="1"/>
    </row>
    <row r="78" spans="1:35" x14ac:dyDescent="0.25">
      <c r="D78" s="495" t="s">
        <v>19</v>
      </c>
      <c r="E78" s="496"/>
      <c r="F78" s="111">
        <f>AI12+AI23+AI34+AI45+AI56+AI67</f>
        <v>303666</v>
      </c>
      <c r="R78"/>
      <c r="S78" s="293"/>
      <c r="T78" s="293"/>
      <c r="U78" s="293"/>
      <c r="V78" s="293"/>
    </row>
    <row r="79" spans="1:35" x14ac:dyDescent="0.25">
      <c r="D79" s="495" t="s">
        <v>30</v>
      </c>
      <c r="E79" s="496"/>
      <c r="F79" s="110">
        <f>SUM(AI14, AI25, AI36, AI47, AI58, AI69)</f>
        <v>228972</v>
      </c>
      <c r="N79" s="292"/>
    </row>
    <row r="80" spans="1:35" x14ac:dyDescent="0.25">
      <c r="D80" s="495" t="s">
        <v>62</v>
      </c>
      <c r="E80" s="496"/>
      <c r="F80" s="111">
        <f>AVERAGE(AI56, AI45, AI34, AI23, AI12, AI67)</f>
        <v>50611</v>
      </c>
    </row>
    <row r="81" spans="1:25" x14ac:dyDescent="0.25">
      <c r="A81"/>
      <c r="B81"/>
      <c r="C81"/>
      <c r="D81" s="495" t="s">
        <v>22</v>
      </c>
      <c r="E81" s="496"/>
      <c r="F81" s="110">
        <f>AVERAGE(AI14, AI25, AI36, AI47, AI58, AI69)</f>
        <v>38162</v>
      </c>
      <c r="G81"/>
      <c r="H81"/>
      <c r="I81"/>
      <c r="J81"/>
      <c r="K81"/>
      <c r="L81"/>
      <c r="M81" s="293"/>
      <c r="N81" s="293"/>
      <c r="O81"/>
      <c r="P81"/>
      <c r="Q81"/>
      <c r="W81" s="293"/>
      <c r="X81" s="293"/>
      <c r="Y81" s="293"/>
    </row>
  </sheetData>
  <mergeCells count="52">
    <mergeCell ref="AE1:AH2"/>
    <mergeCell ref="AH3:AH4"/>
    <mergeCell ref="AI1:AI4"/>
    <mergeCell ref="AE3:AE4"/>
    <mergeCell ref="AF3:AF4"/>
    <mergeCell ref="AG3:AG4"/>
    <mergeCell ref="Z1:AD2"/>
    <mergeCell ref="Z3:Z4"/>
    <mergeCell ref="AA3:AA4"/>
    <mergeCell ref="AB3:AB4"/>
    <mergeCell ref="AC3:AC4"/>
    <mergeCell ref="AD3:AD4"/>
    <mergeCell ref="A1:A4"/>
    <mergeCell ref="B1:B4"/>
    <mergeCell ref="K3:K4"/>
    <mergeCell ref="L3:L4"/>
    <mergeCell ref="C3:C4"/>
    <mergeCell ref="D3:D4"/>
    <mergeCell ref="E3:E4"/>
    <mergeCell ref="F3:F4"/>
    <mergeCell ref="G3:G4"/>
    <mergeCell ref="H3:H4"/>
    <mergeCell ref="I3:I4"/>
    <mergeCell ref="J3:J4"/>
    <mergeCell ref="K1:M2"/>
    <mergeCell ref="C1:J2"/>
    <mergeCell ref="D81:E81"/>
    <mergeCell ref="D77:F77"/>
    <mergeCell ref="B23:B26"/>
    <mergeCell ref="B34:B37"/>
    <mergeCell ref="B45:B48"/>
    <mergeCell ref="B56:B59"/>
    <mergeCell ref="B67:B70"/>
    <mergeCell ref="B12:B15"/>
    <mergeCell ref="D78:E78"/>
    <mergeCell ref="D79:E79"/>
    <mergeCell ref="D80:E80"/>
    <mergeCell ref="M3:M4"/>
    <mergeCell ref="N1:T2"/>
    <mergeCell ref="N3:N4"/>
    <mergeCell ref="O3:O4"/>
    <mergeCell ref="P3:P4"/>
    <mergeCell ref="Q3:Q4"/>
    <mergeCell ref="R3:R4"/>
    <mergeCell ref="S3:S4"/>
    <mergeCell ref="T3:T4"/>
    <mergeCell ref="U1:Y2"/>
    <mergeCell ref="U3:U4"/>
    <mergeCell ref="V3:V4"/>
    <mergeCell ref="W3:W4"/>
    <mergeCell ref="X3:X4"/>
    <mergeCell ref="Y3:Y4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9" activePane="bottomRight" state="frozen"/>
      <selection pane="topRight" activeCell="C1" sqref="C1"/>
      <selection pane="bottomLeft" activeCell="A5" sqref="A5"/>
      <selection pane="bottomRight" activeCell="A60" sqref="A60:XFD70"/>
    </sheetView>
  </sheetViews>
  <sheetFormatPr defaultRowHeight="15" outlineLevelRow="1" x14ac:dyDescent="0.25"/>
  <cols>
    <col min="1" max="1" width="18.7109375" style="1" bestFit="1" customWidth="1"/>
    <col min="2" max="2" width="10.7109375" style="138" bestFit="1" customWidth="1"/>
    <col min="3" max="10" width="15.7109375" style="11" customWidth="1"/>
    <col min="11" max="11" width="10.7109375" style="11" customWidth="1"/>
    <col min="12" max="12" width="16.28515625" style="11" bestFit="1" customWidth="1"/>
    <col min="13" max="16384" width="9.140625" style="11"/>
  </cols>
  <sheetData>
    <row r="1" spans="1:11" ht="15" customHeight="1" x14ac:dyDescent="0.25">
      <c r="A1" s="27"/>
      <c r="B1" s="175"/>
      <c r="C1" s="512" t="s">
        <v>8</v>
      </c>
      <c r="D1" s="534"/>
      <c r="E1" s="534"/>
      <c r="F1" s="534"/>
      <c r="G1" s="497"/>
      <c r="H1" s="512" t="s">
        <v>84</v>
      </c>
      <c r="I1" s="512" t="s">
        <v>10</v>
      </c>
      <c r="J1" s="497"/>
      <c r="K1" s="533" t="s">
        <v>19</v>
      </c>
    </row>
    <row r="2" spans="1:11" ht="15" customHeight="1" thickBot="1" x14ac:dyDescent="0.3">
      <c r="A2" s="28"/>
      <c r="B2" s="176"/>
      <c r="C2" s="513"/>
      <c r="D2" s="535"/>
      <c r="E2" s="535"/>
      <c r="F2" s="535"/>
      <c r="G2" s="498"/>
      <c r="H2" s="513"/>
      <c r="I2" s="513"/>
      <c r="J2" s="498"/>
      <c r="K2" s="527"/>
    </row>
    <row r="3" spans="1:11" ht="14.25" customHeight="1" x14ac:dyDescent="0.25">
      <c r="A3" s="481" t="s">
        <v>52</v>
      </c>
      <c r="B3" s="509" t="s">
        <v>53</v>
      </c>
      <c r="C3" s="539" t="s">
        <v>34</v>
      </c>
      <c r="D3" s="543" t="s">
        <v>35</v>
      </c>
      <c r="E3" s="545" t="s">
        <v>36</v>
      </c>
      <c r="F3" s="543" t="s">
        <v>37</v>
      </c>
      <c r="G3" s="536" t="s">
        <v>95</v>
      </c>
      <c r="H3" s="537" t="s">
        <v>38</v>
      </c>
      <c r="I3" s="538" t="s">
        <v>39</v>
      </c>
      <c r="J3" s="531" t="s">
        <v>40</v>
      </c>
      <c r="K3" s="527"/>
    </row>
    <row r="4" spans="1:11" ht="15" customHeight="1" thickBot="1" x14ac:dyDescent="0.3">
      <c r="A4" s="518"/>
      <c r="B4" s="511"/>
      <c r="C4" s="518"/>
      <c r="D4" s="544"/>
      <c r="E4" s="519"/>
      <c r="F4" s="544"/>
      <c r="G4" s="520"/>
      <c r="H4" s="508"/>
      <c r="I4" s="518"/>
      <c r="J4" s="532"/>
      <c r="K4" s="527"/>
    </row>
    <row r="5" spans="1:11" s="50" customFormat="1" ht="14.25" hidden="1" thickBot="1" x14ac:dyDescent="0.3">
      <c r="A5" s="29" t="s">
        <v>3</v>
      </c>
      <c r="B5" s="177">
        <v>43521</v>
      </c>
      <c r="C5" s="306"/>
      <c r="D5" s="338"/>
      <c r="E5" s="347"/>
      <c r="F5" s="338"/>
      <c r="G5" s="348"/>
      <c r="H5" s="347"/>
      <c r="I5" s="306"/>
      <c r="J5" s="307"/>
      <c r="K5" s="143">
        <f t="shared" ref="K5" si="0">SUM(C5:J5)</f>
        <v>0</v>
      </c>
    </row>
    <row r="6" spans="1:11" s="50" customFormat="1" ht="13.5" hidden="1" x14ac:dyDescent="0.25">
      <c r="A6" s="29" t="s">
        <v>4</v>
      </c>
      <c r="B6" s="367">
        <v>43522</v>
      </c>
      <c r="C6" s="169"/>
      <c r="D6" s="349"/>
      <c r="E6" s="57"/>
      <c r="F6" s="57"/>
      <c r="G6" s="127"/>
      <c r="H6" s="58"/>
      <c r="I6" s="55"/>
      <c r="J6" s="56"/>
      <c r="K6" s="59">
        <f t="shared" ref="K6:K11" si="1">SUM(C6:J6)</f>
        <v>0</v>
      </c>
    </row>
    <row r="7" spans="1:11" s="50" customFormat="1" ht="13.5" hidden="1" x14ac:dyDescent="0.25">
      <c r="A7" s="29" t="s">
        <v>5</v>
      </c>
      <c r="B7" s="178">
        <v>43523</v>
      </c>
      <c r="C7" s="147"/>
      <c r="D7" s="21"/>
      <c r="E7" s="21"/>
      <c r="F7" s="21"/>
      <c r="G7" s="68"/>
      <c r="H7" s="22"/>
      <c r="I7" s="19"/>
      <c r="J7" s="20"/>
      <c r="K7" s="296">
        <f t="shared" si="1"/>
        <v>0</v>
      </c>
    </row>
    <row r="8" spans="1:11" s="50" customFormat="1" ht="13.5" hidden="1" x14ac:dyDescent="0.25">
      <c r="A8" s="29" t="s">
        <v>6</v>
      </c>
      <c r="B8" s="178">
        <v>43524</v>
      </c>
      <c r="C8" s="147"/>
      <c r="D8" s="21"/>
      <c r="E8" s="21"/>
      <c r="F8" s="21"/>
      <c r="G8" s="68"/>
      <c r="H8" s="22"/>
      <c r="I8" s="19"/>
      <c r="J8" s="20"/>
      <c r="K8" s="296">
        <f t="shared" si="1"/>
        <v>0</v>
      </c>
    </row>
    <row r="9" spans="1:11" s="50" customFormat="1" ht="16.5" customHeight="1" x14ac:dyDescent="0.25">
      <c r="A9" s="29" t="s">
        <v>0</v>
      </c>
      <c r="B9" s="178">
        <v>43525</v>
      </c>
      <c r="C9" s="147">
        <v>5297</v>
      </c>
      <c r="D9" s="21">
        <v>1190</v>
      </c>
      <c r="E9" s="21">
        <v>912</v>
      </c>
      <c r="F9" s="21">
        <v>1928</v>
      </c>
      <c r="G9" s="68"/>
      <c r="H9" s="22">
        <v>1065</v>
      </c>
      <c r="I9" s="19">
        <v>990</v>
      </c>
      <c r="J9" s="20">
        <v>1896</v>
      </c>
      <c r="K9" s="296">
        <f t="shared" si="1"/>
        <v>13278</v>
      </c>
    </row>
    <row r="10" spans="1:11" s="50" customFormat="1" ht="13.5" outlineLevel="1" x14ac:dyDescent="0.25">
      <c r="A10" s="29" t="s">
        <v>1</v>
      </c>
      <c r="B10" s="178">
        <v>43526</v>
      </c>
      <c r="C10" s="147">
        <v>2449</v>
      </c>
      <c r="D10" s="21"/>
      <c r="E10" s="21"/>
      <c r="F10" s="21"/>
      <c r="G10" s="68">
        <v>995</v>
      </c>
      <c r="H10" s="22">
        <v>187</v>
      </c>
      <c r="I10" s="19"/>
      <c r="J10" s="20"/>
      <c r="K10" s="296">
        <f t="shared" si="1"/>
        <v>3631</v>
      </c>
    </row>
    <row r="11" spans="1:11" s="50" customFormat="1" ht="14.25" outlineLevel="1" thickBot="1" x14ac:dyDescent="0.3">
      <c r="A11" s="29" t="s">
        <v>2</v>
      </c>
      <c r="B11" s="178">
        <v>43527</v>
      </c>
      <c r="C11" s="147">
        <v>2121</v>
      </c>
      <c r="D11" s="317"/>
      <c r="E11" s="21"/>
      <c r="F11" s="21"/>
      <c r="G11" s="68">
        <v>804</v>
      </c>
      <c r="H11" s="22">
        <v>188</v>
      </c>
      <c r="I11" s="19"/>
      <c r="J11" s="20"/>
      <c r="K11" s="296">
        <f t="shared" si="1"/>
        <v>3113</v>
      </c>
    </row>
    <row r="12" spans="1:11" s="51" customFormat="1" ht="13.5" customHeight="1" outlineLevel="1" thickBot="1" x14ac:dyDescent="0.3">
      <c r="A12" s="164" t="s">
        <v>21</v>
      </c>
      <c r="B12" s="546" t="s">
        <v>24</v>
      </c>
      <c r="C12" s="363">
        <f t="shared" ref="C12:K12" si="2">SUM(C5:C11)</f>
        <v>9867</v>
      </c>
      <c r="D12" s="319">
        <f t="shared" si="2"/>
        <v>1190</v>
      </c>
      <c r="E12" s="319">
        <f t="shared" si="2"/>
        <v>912</v>
      </c>
      <c r="F12" s="319">
        <f t="shared" si="2"/>
        <v>1928</v>
      </c>
      <c r="G12" s="352">
        <f t="shared" si="2"/>
        <v>1799</v>
      </c>
      <c r="H12" s="357">
        <f t="shared" si="2"/>
        <v>1440</v>
      </c>
      <c r="I12" s="324">
        <f t="shared" si="2"/>
        <v>990</v>
      </c>
      <c r="J12" s="325">
        <f t="shared" si="2"/>
        <v>1896</v>
      </c>
      <c r="K12" s="361">
        <f t="shared" si="2"/>
        <v>20022</v>
      </c>
    </row>
    <row r="13" spans="1:11" s="51" customFormat="1" ht="15" customHeight="1" outlineLevel="1" thickBot="1" x14ac:dyDescent="0.3">
      <c r="A13" s="114" t="s">
        <v>23</v>
      </c>
      <c r="B13" s="546"/>
      <c r="C13" s="363">
        <f>AVERAGE(C5:C11)</f>
        <v>3289</v>
      </c>
      <c r="D13" s="319">
        <f t="shared" ref="D13:K13" si="3">AVERAGE(D5:D11)</f>
        <v>1190</v>
      </c>
      <c r="E13" s="319">
        <f t="shared" si="3"/>
        <v>912</v>
      </c>
      <c r="F13" s="319">
        <f t="shared" si="3"/>
        <v>1928</v>
      </c>
      <c r="G13" s="352">
        <f>AVERAGE(G5:G11)</f>
        <v>899.5</v>
      </c>
      <c r="H13" s="357">
        <f t="shared" si="3"/>
        <v>480</v>
      </c>
      <c r="I13" s="324">
        <f t="shared" si="3"/>
        <v>990</v>
      </c>
      <c r="J13" s="325">
        <f t="shared" si="3"/>
        <v>1896</v>
      </c>
      <c r="K13" s="361">
        <f t="shared" si="3"/>
        <v>2860.2857142857142</v>
      </c>
    </row>
    <row r="14" spans="1:11" s="51" customFormat="1" ht="15" customHeight="1" thickBot="1" x14ac:dyDescent="0.3">
      <c r="A14" s="30" t="s">
        <v>20</v>
      </c>
      <c r="B14" s="546"/>
      <c r="C14" s="364">
        <f t="shared" ref="C14:K14" si="4">SUM(C5:C9)</f>
        <v>5297</v>
      </c>
      <c r="D14" s="320">
        <f t="shared" si="4"/>
        <v>1190</v>
      </c>
      <c r="E14" s="320">
        <f t="shared" si="4"/>
        <v>912</v>
      </c>
      <c r="F14" s="320">
        <f t="shared" si="4"/>
        <v>1928</v>
      </c>
      <c r="G14" s="353">
        <f t="shared" si="4"/>
        <v>0</v>
      </c>
      <c r="H14" s="358">
        <f t="shared" si="4"/>
        <v>1065</v>
      </c>
      <c r="I14" s="326">
        <f t="shared" si="4"/>
        <v>990</v>
      </c>
      <c r="J14" s="327">
        <f t="shared" si="4"/>
        <v>1896</v>
      </c>
      <c r="K14" s="362">
        <f t="shared" si="4"/>
        <v>13278</v>
      </c>
    </row>
    <row r="15" spans="1:11" s="51" customFormat="1" ht="15" customHeight="1" thickBot="1" x14ac:dyDescent="0.3">
      <c r="A15" s="30" t="s">
        <v>22</v>
      </c>
      <c r="B15" s="546"/>
      <c r="C15" s="364">
        <f t="shared" ref="C15:J15" si="5">AVERAGE(C5:C9)</f>
        <v>5297</v>
      </c>
      <c r="D15" s="320">
        <f>AVERAGE(D5:D9)</f>
        <v>1190</v>
      </c>
      <c r="E15" s="320">
        <f t="shared" si="5"/>
        <v>912</v>
      </c>
      <c r="F15" s="320">
        <f t="shared" si="5"/>
        <v>1928</v>
      </c>
      <c r="G15" s="353" t="e">
        <f t="shared" si="5"/>
        <v>#DIV/0!</v>
      </c>
      <c r="H15" s="358">
        <f t="shared" si="5"/>
        <v>1065</v>
      </c>
      <c r="I15" s="326">
        <f t="shared" si="5"/>
        <v>990</v>
      </c>
      <c r="J15" s="327">
        <f t="shared" si="5"/>
        <v>1896</v>
      </c>
      <c r="K15" s="362">
        <f>AVERAGE(K5:K9)</f>
        <v>2655.6</v>
      </c>
    </row>
    <row r="16" spans="1:11" s="51" customFormat="1" ht="15" customHeight="1" x14ac:dyDescent="0.25">
      <c r="A16" s="29" t="s">
        <v>3</v>
      </c>
      <c r="B16" s="178">
        <f>B11+1</f>
        <v>43528</v>
      </c>
      <c r="C16" s="147">
        <v>4949</v>
      </c>
      <c r="D16" s="21">
        <v>1310</v>
      </c>
      <c r="E16" s="21">
        <v>759</v>
      </c>
      <c r="F16" s="21">
        <v>1910</v>
      </c>
      <c r="G16" s="68"/>
      <c r="H16" s="22">
        <v>910</v>
      </c>
      <c r="I16" s="19">
        <v>925</v>
      </c>
      <c r="J16" s="20">
        <v>1951</v>
      </c>
      <c r="K16" s="296">
        <f t="shared" ref="K16:K21" si="6">SUM(C16:J16)</f>
        <v>12714</v>
      </c>
    </row>
    <row r="17" spans="1:11" s="51" customFormat="1" ht="15" customHeight="1" x14ac:dyDescent="0.25">
      <c r="A17" s="29" t="s">
        <v>4</v>
      </c>
      <c r="B17" s="178">
        <f t="shared" ref="B17:B22" si="7">B16+1</f>
        <v>43529</v>
      </c>
      <c r="C17" s="147">
        <v>6639</v>
      </c>
      <c r="D17" s="21">
        <v>1564</v>
      </c>
      <c r="E17" s="21">
        <v>1097</v>
      </c>
      <c r="F17" s="21">
        <v>2084</v>
      </c>
      <c r="G17" s="68"/>
      <c r="H17" s="22">
        <v>1162</v>
      </c>
      <c r="I17" s="19">
        <v>1186</v>
      </c>
      <c r="J17" s="20">
        <v>2726</v>
      </c>
      <c r="K17" s="296">
        <f t="shared" si="6"/>
        <v>16458</v>
      </c>
    </row>
    <row r="18" spans="1:11" s="51" customFormat="1" ht="15" customHeight="1" x14ac:dyDescent="0.25">
      <c r="A18" s="29" t="s">
        <v>5</v>
      </c>
      <c r="B18" s="178">
        <f t="shared" si="7"/>
        <v>43530</v>
      </c>
      <c r="C18" s="228">
        <v>5954</v>
      </c>
      <c r="D18" s="346">
        <v>1516</v>
      </c>
      <c r="E18" s="346">
        <v>1043</v>
      </c>
      <c r="F18" s="346">
        <v>2117</v>
      </c>
      <c r="G18" s="354"/>
      <c r="H18" s="360">
        <v>1178</v>
      </c>
      <c r="I18" s="218">
        <v>1246</v>
      </c>
      <c r="J18" s="350">
        <v>2567</v>
      </c>
      <c r="K18" s="296">
        <f t="shared" si="6"/>
        <v>15621</v>
      </c>
    </row>
    <row r="19" spans="1:11" s="51" customFormat="1" ht="15" customHeight="1" x14ac:dyDescent="0.25">
      <c r="A19" s="29" t="s">
        <v>6</v>
      </c>
      <c r="B19" s="178">
        <f t="shared" si="7"/>
        <v>43531</v>
      </c>
      <c r="C19" s="147">
        <v>6008</v>
      </c>
      <c r="D19" s="21">
        <v>1597</v>
      </c>
      <c r="E19" s="21">
        <v>1004</v>
      </c>
      <c r="F19" s="21">
        <v>2238</v>
      </c>
      <c r="G19" s="68"/>
      <c r="H19" s="22">
        <v>1215</v>
      </c>
      <c r="I19" s="19">
        <v>1202</v>
      </c>
      <c r="J19" s="20">
        <v>2463</v>
      </c>
      <c r="K19" s="296">
        <f t="shared" si="6"/>
        <v>15727</v>
      </c>
    </row>
    <row r="20" spans="1:11" s="51" customFormat="1" ht="15" customHeight="1" x14ac:dyDescent="0.25">
      <c r="A20" s="29" t="s">
        <v>0</v>
      </c>
      <c r="B20" s="178">
        <f t="shared" si="7"/>
        <v>43532</v>
      </c>
      <c r="C20" s="147">
        <v>5852</v>
      </c>
      <c r="D20" s="21">
        <v>1285</v>
      </c>
      <c r="E20" s="21">
        <v>1052</v>
      </c>
      <c r="F20" s="21">
        <v>1964</v>
      </c>
      <c r="G20" s="68"/>
      <c r="H20" s="22">
        <v>1032</v>
      </c>
      <c r="I20" s="19">
        <v>1102</v>
      </c>
      <c r="J20" s="20">
        <v>1918</v>
      </c>
      <c r="K20" s="296">
        <f t="shared" si="6"/>
        <v>14205</v>
      </c>
    </row>
    <row r="21" spans="1:11" s="51" customFormat="1" ht="15" customHeight="1" outlineLevel="1" x14ac:dyDescent="0.25">
      <c r="A21" s="29" t="s">
        <v>1</v>
      </c>
      <c r="B21" s="178">
        <f t="shared" si="7"/>
        <v>43533</v>
      </c>
      <c r="C21" s="147">
        <v>3527</v>
      </c>
      <c r="D21" s="304"/>
      <c r="E21" s="21"/>
      <c r="F21" s="21"/>
      <c r="G21" s="68">
        <v>1488</v>
      </c>
      <c r="H21" s="22">
        <v>377</v>
      </c>
      <c r="I21" s="19"/>
      <c r="J21" s="20"/>
      <c r="K21" s="296">
        <f t="shared" si="6"/>
        <v>5392</v>
      </c>
    </row>
    <row r="22" spans="1:11" s="51" customFormat="1" ht="15" customHeight="1" outlineLevel="1" thickBot="1" x14ac:dyDescent="0.3">
      <c r="A22" s="29" t="s">
        <v>2</v>
      </c>
      <c r="B22" s="178">
        <f t="shared" si="7"/>
        <v>43534</v>
      </c>
      <c r="C22" s="365">
        <v>2418</v>
      </c>
      <c r="D22" s="40"/>
      <c r="E22" s="40"/>
      <c r="F22" s="40"/>
      <c r="G22" s="355">
        <v>642</v>
      </c>
      <c r="H22" s="22">
        <v>97</v>
      </c>
      <c r="I22" s="19"/>
      <c r="J22" s="20"/>
      <c r="K22" s="296">
        <f t="shared" ref="K22" si="8">SUM(C22:J22)</f>
        <v>3157</v>
      </c>
    </row>
    <row r="23" spans="1:11" s="51" customFormat="1" ht="15" customHeight="1" outlineLevel="1" thickBot="1" x14ac:dyDescent="0.3">
      <c r="A23" s="164" t="s">
        <v>21</v>
      </c>
      <c r="B23" s="546" t="s">
        <v>25</v>
      </c>
      <c r="C23" s="363">
        <f>SUM(C16:C22)</f>
        <v>35347</v>
      </c>
      <c r="D23" s="319">
        <f>SUM(D16:D22)</f>
        <v>7272</v>
      </c>
      <c r="E23" s="319">
        <f>SUM(E16:E22)</f>
        <v>4955</v>
      </c>
      <c r="F23" s="319">
        <f>SUM(F16:F22)</f>
        <v>10313</v>
      </c>
      <c r="G23" s="352">
        <f>SUM(G16:G22)</f>
        <v>2130</v>
      </c>
      <c r="H23" s="357">
        <f>SUM(H16:H22)</f>
        <v>5971</v>
      </c>
      <c r="I23" s="324">
        <f>SUM(I16:I22)</f>
        <v>5661</v>
      </c>
      <c r="J23" s="325">
        <f>SUM(J16:J22)</f>
        <v>11625</v>
      </c>
      <c r="K23" s="361">
        <f t="shared" ref="E23:K23" si="9">SUM(K16:K22)</f>
        <v>83274</v>
      </c>
    </row>
    <row r="24" spans="1:11" s="51" customFormat="1" ht="15" customHeight="1" outlineLevel="1" thickBot="1" x14ac:dyDescent="0.3">
      <c r="A24" s="114" t="s">
        <v>23</v>
      </c>
      <c r="B24" s="546"/>
      <c r="C24" s="363">
        <f>AVERAGE(C16:C22)</f>
        <v>5049.5714285714284</v>
      </c>
      <c r="D24" s="319">
        <f>AVERAGE(D16:D22)</f>
        <v>1454.4</v>
      </c>
      <c r="E24" s="319">
        <f t="shared" ref="E24:K24" si="10">AVERAGE(E16:E22)</f>
        <v>991</v>
      </c>
      <c r="F24" s="319">
        <f t="shared" si="10"/>
        <v>2062.6</v>
      </c>
      <c r="G24" s="352">
        <f t="shared" si="10"/>
        <v>1065</v>
      </c>
      <c r="H24" s="357">
        <f>AVERAGE(H16:H22)</f>
        <v>853</v>
      </c>
      <c r="I24" s="324" t="e">
        <f>AVERAGE(I21:I22)</f>
        <v>#DIV/0!</v>
      </c>
      <c r="J24" s="325">
        <f>AVERAGE(J16:J22)</f>
        <v>2325</v>
      </c>
      <c r="K24" s="361">
        <f t="shared" si="10"/>
        <v>11896.285714285714</v>
      </c>
    </row>
    <row r="25" spans="1:11" s="51" customFormat="1" ht="15" customHeight="1" thickBot="1" x14ac:dyDescent="0.3">
      <c r="A25" s="30" t="s">
        <v>20</v>
      </c>
      <c r="B25" s="546"/>
      <c r="C25" s="364">
        <f>SUM(C16:C20)</f>
        <v>29402</v>
      </c>
      <c r="D25" s="320">
        <f>SUM(D16:D20)</f>
        <v>7272</v>
      </c>
      <c r="E25" s="320">
        <f t="shared" ref="E25:G25" si="11">SUM(E16:E20)</f>
        <v>4955</v>
      </c>
      <c r="F25" s="320">
        <f t="shared" si="11"/>
        <v>10313</v>
      </c>
      <c r="G25" s="353">
        <f t="shared" si="11"/>
        <v>0</v>
      </c>
      <c r="H25" s="358">
        <f>SUM(H16:H20)</f>
        <v>5497</v>
      </c>
      <c r="I25" s="326">
        <f>SUM(I16:I20)</f>
        <v>5661</v>
      </c>
      <c r="J25" s="327">
        <f>SUM(J16:J20)</f>
        <v>11625</v>
      </c>
      <c r="K25" s="362">
        <f>SUM(K16:K20)</f>
        <v>74725</v>
      </c>
    </row>
    <row r="26" spans="1:11" s="51" customFormat="1" ht="15" customHeight="1" thickBot="1" x14ac:dyDescent="0.3">
      <c r="A26" s="30" t="s">
        <v>22</v>
      </c>
      <c r="B26" s="546"/>
      <c r="C26" s="364">
        <f>AVERAGE(C16:C20)</f>
        <v>5880.4</v>
      </c>
      <c r="D26" s="320">
        <f>AVERAGE(D16:D20)</f>
        <v>1454.4</v>
      </c>
      <c r="E26" s="320">
        <f t="shared" ref="E26:G26" si="12">AVERAGE(E16:E20)</f>
        <v>991</v>
      </c>
      <c r="F26" s="320">
        <f t="shared" si="12"/>
        <v>2062.6</v>
      </c>
      <c r="G26" s="353" t="e">
        <f t="shared" si="12"/>
        <v>#DIV/0!</v>
      </c>
      <c r="H26" s="358">
        <v>893</v>
      </c>
      <c r="I26" s="285">
        <f>AVERAGE(I16:I20)</f>
        <v>1132.2</v>
      </c>
      <c r="J26" s="327">
        <f>AVERAGE(J16:J20)</f>
        <v>2325</v>
      </c>
      <c r="K26" s="362">
        <f>AVERAGE(K16:K20)</f>
        <v>14945</v>
      </c>
    </row>
    <row r="27" spans="1:11" s="51" customFormat="1" ht="15" customHeight="1" x14ac:dyDescent="0.25">
      <c r="A27" s="29" t="s">
        <v>3</v>
      </c>
      <c r="B27" s="181">
        <f>B22+1</f>
        <v>43535</v>
      </c>
      <c r="C27" s="366">
        <v>6576</v>
      </c>
      <c r="D27" s="214">
        <v>1683</v>
      </c>
      <c r="E27" s="215">
        <v>1072</v>
      </c>
      <c r="F27" s="215">
        <v>2619</v>
      </c>
      <c r="G27" s="356"/>
      <c r="H27" s="298">
        <v>1207</v>
      </c>
      <c r="I27" s="359">
        <v>1222</v>
      </c>
      <c r="J27" s="230">
        <v>2561</v>
      </c>
      <c r="K27" s="296">
        <f t="shared" ref="K27:K32" si="13">SUM(C27:J27)</f>
        <v>16940</v>
      </c>
    </row>
    <row r="28" spans="1:11" s="51" customFormat="1" ht="15" customHeight="1" x14ac:dyDescent="0.25">
      <c r="A28" s="29" t="s">
        <v>4</v>
      </c>
      <c r="B28" s="181">
        <f t="shared" ref="B28:B33" si="14">B27+1</f>
        <v>43536</v>
      </c>
      <c r="C28" s="366">
        <v>6798</v>
      </c>
      <c r="D28" s="214">
        <v>1750</v>
      </c>
      <c r="E28" s="215">
        <v>1114</v>
      </c>
      <c r="F28" s="215">
        <v>2387</v>
      </c>
      <c r="G28" s="356"/>
      <c r="H28" s="298">
        <v>1273</v>
      </c>
      <c r="I28" s="359">
        <v>1186</v>
      </c>
      <c r="J28" s="230">
        <v>2613</v>
      </c>
      <c r="K28" s="296">
        <f t="shared" si="13"/>
        <v>17121</v>
      </c>
    </row>
    <row r="29" spans="1:11" s="51" customFormat="1" ht="15" customHeight="1" x14ac:dyDescent="0.25">
      <c r="A29" s="29" t="s">
        <v>5</v>
      </c>
      <c r="B29" s="181">
        <f t="shared" si="14"/>
        <v>43537</v>
      </c>
      <c r="C29" s="366">
        <v>6691</v>
      </c>
      <c r="D29" s="214">
        <v>1551</v>
      </c>
      <c r="E29" s="215">
        <v>1122</v>
      </c>
      <c r="F29" s="215">
        <v>2297</v>
      </c>
      <c r="G29" s="356"/>
      <c r="H29" s="298">
        <v>1299</v>
      </c>
      <c r="I29" s="359">
        <v>1124</v>
      </c>
      <c r="J29" s="230">
        <v>2523</v>
      </c>
      <c r="K29" s="296">
        <f t="shared" si="13"/>
        <v>16607</v>
      </c>
    </row>
    <row r="30" spans="1:11" s="51" customFormat="1" ht="15" customHeight="1" x14ac:dyDescent="0.25">
      <c r="A30" s="29" t="s">
        <v>6</v>
      </c>
      <c r="B30" s="181">
        <f t="shared" si="14"/>
        <v>43538</v>
      </c>
      <c r="C30" s="366">
        <v>6732</v>
      </c>
      <c r="D30" s="214">
        <v>1711</v>
      </c>
      <c r="E30" s="215">
        <v>1069</v>
      </c>
      <c r="F30" s="215">
        <v>2479</v>
      </c>
      <c r="G30" s="356"/>
      <c r="H30" s="298">
        <v>1246</v>
      </c>
      <c r="I30" s="359">
        <v>1190</v>
      </c>
      <c r="J30" s="230">
        <v>2652</v>
      </c>
      <c r="K30" s="296">
        <f t="shared" si="13"/>
        <v>17079</v>
      </c>
    </row>
    <row r="31" spans="1:11" s="51" customFormat="1" ht="15" customHeight="1" x14ac:dyDescent="0.25">
      <c r="A31" s="29" t="s">
        <v>0</v>
      </c>
      <c r="B31" s="181">
        <f t="shared" si="14"/>
        <v>43539</v>
      </c>
      <c r="C31" s="366">
        <v>6523</v>
      </c>
      <c r="D31" s="214">
        <v>1379</v>
      </c>
      <c r="E31" s="215">
        <v>958</v>
      </c>
      <c r="F31" s="215">
        <v>2268</v>
      </c>
      <c r="G31" s="356"/>
      <c r="H31" s="298">
        <v>1101</v>
      </c>
      <c r="I31" s="359">
        <v>953</v>
      </c>
      <c r="J31" s="230">
        <v>1939</v>
      </c>
      <c r="K31" s="296">
        <f t="shared" si="13"/>
        <v>15121</v>
      </c>
    </row>
    <row r="32" spans="1:11" s="51" customFormat="1" ht="15" customHeight="1" outlineLevel="1" x14ac:dyDescent="0.25">
      <c r="A32" s="29" t="s">
        <v>1</v>
      </c>
      <c r="B32" s="181">
        <f t="shared" si="14"/>
        <v>43540</v>
      </c>
      <c r="C32" s="366">
        <v>4774</v>
      </c>
      <c r="D32" s="215"/>
      <c r="E32" s="215"/>
      <c r="F32" s="215"/>
      <c r="G32" s="356">
        <v>2115</v>
      </c>
      <c r="H32" s="295">
        <v>408</v>
      </c>
      <c r="I32" s="351"/>
      <c r="J32" s="230"/>
      <c r="K32" s="296">
        <f t="shared" si="13"/>
        <v>7297</v>
      </c>
    </row>
    <row r="33" spans="1:12" s="51" customFormat="1" ht="15" customHeight="1" outlineLevel="1" thickBot="1" x14ac:dyDescent="0.3">
      <c r="A33" s="29" t="s">
        <v>2</v>
      </c>
      <c r="B33" s="181">
        <f t="shared" si="14"/>
        <v>43541</v>
      </c>
      <c r="C33" s="366">
        <v>2725</v>
      </c>
      <c r="D33" s="215"/>
      <c r="E33" s="215"/>
      <c r="F33" s="215"/>
      <c r="G33" s="356">
        <v>1289</v>
      </c>
      <c r="H33" s="295">
        <v>243</v>
      </c>
      <c r="I33" s="351"/>
      <c r="J33" s="230"/>
      <c r="K33" s="296">
        <f>SUM(C33:J33)</f>
        <v>4257</v>
      </c>
    </row>
    <row r="34" spans="1:12" s="51" customFormat="1" ht="15" customHeight="1" outlineLevel="1" thickBot="1" x14ac:dyDescent="0.3">
      <c r="A34" s="164" t="s">
        <v>21</v>
      </c>
      <c r="B34" s="546" t="s">
        <v>26</v>
      </c>
      <c r="C34" s="363">
        <f>SUM(C27:C33)</f>
        <v>40819</v>
      </c>
      <c r="D34" s="319">
        <f>SUM(D27:D33)</f>
        <v>8074</v>
      </c>
      <c r="E34" s="319">
        <f>SUM(E27:E33)</f>
        <v>5335</v>
      </c>
      <c r="F34" s="319">
        <f>SUM(F27:F33)</f>
        <v>12050</v>
      </c>
      <c r="G34" s="352">
        <f>SUM(G27:G33)</f>
        <v>3404</v>
      </c>
      <c r="H34" s="357">
        <f t="shared" ref="C34:K34" si="15">SUM(H27:H33)</f>
        <v>6777</v>
      </c>
      <c r="I34" s="324">
        <f t="shared" si="15"/>
        <v>5675</v>
      </c>
      <c r="J34" s="325">
        <f t="shared" si="15"/>
        <v>12288</v>
      </c>
      <c r="K34" s="361">
        <f t="shared" si="15"/>
        <v>94422</v>
      </c>
    </row>
    <row r="35" spans="1:12" s="51" customFormat="1" ht="15" customHeight="1" outlineLevel="1" thickBot="1" x14ac:dyDescent="0.3">
      <c r="A35" s="114" t="s">
        <v>23</v>
      </c>
      <c r="B35" s="546"/>
      <c r="C35" s="363">
        <f>AVERAGE(C27:C33)</f>
        <v>5831.2857142857147</v>
      </c>
      <c r="D35" s="319">
        <f t="shared" ref="D35:H35" si="16">AVERAGE(D27:D33)</f>
        <v>1614.8</v>
      </c>
      <c r="E35" s="319">
        <f t="shared" si="16"/>
        <v>1067</v>
      </c>
      <c r="F35" s="319">
        <f t="shared" si="16"/>
        <v>2410</v>
      </c>
      <c r="G35" s="352">
        <f t="shared" si="16"/>
        <v>1702</v>
      </c>
      <c r="H35" s="357">
        <f t="shared" si="16"/>
        <v>968.14285714285711</v>
      </c>
      <c r="I35" s="324">
        <f>AVERAGE(I27:I33)</f>
        <v>1135</v>
      </c>
      <c r="J35" s="325">
        <f>AVERAGE(J27:J33)</f>
        <v>2457.6</v>
      </c>
      <c r="K35" s="361">
        <f>AVERAGE(K27:K33)</f>
        <v>13488.857142857143</v>
      </c>
    </row>
    <row r="36" spans="1:12" s="51" customFormat="1" ht="15" customHeight="1" thickBot="1" x14ac:dyDescent="0.3">
      <c r="A36" s="30" t="s">
        <v>20</v>
      </c>
      <c r="B36" s="546"/>
      <c r="C36" s="364">
        <f t="shared" ref="C36:H36" si="17">SUM(C27:C31)</f>
        <v>33320</v>
      </c>
      <c r="D36" s="320">
        <f t="shared" si="17"/>
        <v>8074</v>
      </c>
      <c r="E36" s="320">
        <f t="shared" si="17"/>
        <v>5335</v>
      </c>
      <c r="F36" s="320">
        <f t="shared" si="17"/>
        <v>12050</v>
      </c>
      <c r="G36" s="353">
        <f t="shared" si="17"/>
        <v>0</v>
      </c>
      <c r="H36" s="358">
        <f t="shared" si="17"/>
        <v>6126</v>
      </c>
      <c r="I36" s="326">
        <f t="shared" ref="I36:J36" si="18">SUM(I27:I31)</f>
        <v>5675</v>
      </c>
      <c r="J36" s="327">
        <f t="shared" si="18"/>
        <v>12288</v>
      </c>
      <c r="K36" s="362">
        <f>SUM(K27:K31)</f>
        <v>82868</v>
      </c>
    </row>
    <row r="37" spans="1:12" s="51" customFormat="1" ht="15" customHeight="1" thickBot="1" x14ac:dyDescent="0.3">
      <c r="A37" s="30" t="s">
        <v>22</v>
      </c>
      <c r="B37" s="546"/>
      <c r="C37" s="364">
        <f t="shared" ref="C37:K37" si="19">AVERAGE(C27:C31)</f>
        <v>6664</v>
      </c>
      <c r="D37" s="320">
        <f t="shared" si="19"/>
        <v>1614.8</v>
      </c>
      <c r="E37" s="320">
        <f t="shared" si="19"/>
        <v>1067</v>
      </c>
      <c r="F37" s="320">
        <f t="shared" si="19"/>
        <v>2410</v>
      </c>
      <c r="G37" s="353" t="e">
        <f t="shared" si="19"/>
        <v>#DIV/0!</v>
      </c>
      <c r="H37" s="358">
        <f t="shared" si="19"/>
        <v>1225.2</v>
      </c>
      <c r="I37" s="326">
        <f t="shared" si="19"/>
        <v>1135</v>
      </c>
      <c r="J37" s="327">
        <f t="shared" si="19"/>
        <v>2457.6</v>
      </c>
      <c r="K37" s="362">
        <f t="shared" si="19"/>
        <v>16573.599999999999</v>
      </c>
    </row>
    <row r="38" spans="1:12" s="51" customFormat="1" ht="15" customHeight="1" x14ac:dyDescent="0.25">
      <c r="A38" s="29" t="s">
        <v>3</v>
      </c>
      <c r="B38" s="183">
        <f>B33+1</f>
        <v>43542</v>
      </c>
      <c r="C38" s="147">
        <v>6054</v>
      </c>
      <c r="D38" s="21">
        <v>1571</v>
      </c>
      <c r="E38" s="21">
        <v>1108</v>
      </c>
      <c r="F38" s="21">
        <v>2301</v>
      </c>
      <c r="G38" s="68"/>
      <c r="H38" s="22">
        <v>1154</v>
      </c>
      <c r="I38" s="19">
        <v>1204</v>
      </c>
      <c r="J38" s="20">
        <v>2458</v>
      </c>
      <c r="K38" s="296">
        <f t="shared" ref="K38:K44" si="20">SUM(C38:J38)</f>
        <v>15850</v>
      </c>
    </row>
    <row r="39" spans="1:12" s="51" customFormat="1" ht="15" customHeight="1" x14ac:dyDescent="0.25">
      <c r="A39" s="29" t="s">
        <v>4</v>
      </c>
      <c r="B39" s="183">
        <f t="shared" ref="B39:B44" si="21">B38+1</f>
        <v>43543</v>
      </c>
      <c r="C39" s="147">
        <v>6139</v>
      </c>
      <c r="D39" s="21">
        <v>1660</v>
      </c>
      <c r="E39" s="21">
        <v>1119</v>
      </c>
      <c r="F39" s="21">
        <v>2635</v>
      </c>
      <c r="G39" s="68"/>
      <c r="H39" s="22">
        <v>1260</v>
      </c>
      <c r="I39" s="19">
        <v>1144</v>
      </c>
      <c r="J39" s="20">
        <v>2578</v>
      </c>
      <c r="K39" s="296">
        <f t="shared" si="20"/>
        <v>16535</v>
      </c>
    </row>
    <row r="40" spans="1:12" s="51" customFormat="1" ht="15" customHeight="1" x14ac:dyDescent="0.25">
      <c r="A40" s="29" t="s">
        <v>5</v>
      </c>
      <c r="B40" s="183">
        <f t="shared" si="21"/>
        <v>43544</v>
      </c>
      <c r="C40" s="147">
        <v>6623</v>
      </c>
      <c r="D40" s="21">
        <v>1750</v>
      </c>
      <c r="E40" s="21">
        <v>1105</v>
      </c>
      <c r="F40" s="21">
        <v>2459</v>
      </c>
      <c r="G40" s="68"/>
      <c r="H40" s="22">
        <v>1142</v>
      </c>
      <c r="I40" s="19">
        <v>1221</v>
      </c>
      <c r="J40" s="20">
        <v>2433</v>
      </c>
      <c r="K40" s="296">
        <f t="shared" si="20"/>
        <v>16733</v>
      </c>
    </row>
    <row r="41" spans="1:12" s="51" customFormat="1" ht="15" customHeight="1" x14ac:dyDescent="0.25">
      <c r="A41" s="29" t="s">
        <v>6</v>
      </c>
      <c r="B41" s="183">
        <f t="shared" si="21"/>
        <v>43545</v>
      </c>
      <c r="C41" s="147">
        <v>6162</v>
      </c>
      <c r="D41" s="21">
        <v>1586</v>
      </c>
      <c r="E41" s="21">
        <v>981</v>
      </c>
      <c r="F41" s="21">
        <v>2229</v>
      </c>
      <c r="G41" s="68"/>
      <c r="H41" s="22">
        <v>1119</v>
      </c>
      <c r="I41" s="19">
        <v>1100</v>
      </c>
      <c r="J41" s="20">
        <v>2386</v>
      </c>
      <c r="K41" s="296">
        <f>SUM(C41:J41)</f>
        <v>15563</v>
      </c>
    </row>
    <row r="42" spans="1:12" s="51" customFormat="1" ht="15" customHeight="1" x14ac:dyDescent="0.25">
      <c r="A42" s="29" t="s">
        <v>0</v>
      </c>
      <c r="B42" s="183">
        <f t="shared" si="21"/>
        <v>43546</v>
      </c>
      <c r="C42" s="147">
        <v>6651</v>
      </c>
      <c r="D42" s="21">
        <v>1439</v>
      </c>
      <c r="E42" s="21">
        <v>981</v>
      </c>
      <c r="F42" s="21">
        <v>2019</v>
      </c>
      <c r="G42" s="68"/>
      <c r="H42" s="22">
        <v>1006</v>
      </c>
      <c r="I42" s="19">
        <v>936</v>
      </c>
      <c r="J42" s="20">
        <v>1836</v>
      </c>
      <c r="K42" s="296">
        <f t="shared" si="20"/>
        <v>14868</v>
      </c>
    </row>
    <row r="43" spans="1:12" s="51" customFormat="1" ht="15" customHeight="1" outlineLevel="1" x14ac:dyDescent="0.25">
      <c r="A43" s="29" t="s">
        <v>1</v>
      </c>
      <c r="B43" s="183">
        <f t="shared" si="21"/>
        <v>43547</v>
      </c>
      <c r="C43" s="147">
        <v>4665</v>
      </c>
      <c r="D43" s="21"/>
      <c r="E43" s="21"/>
      <c r="F43" s="21"/>
      <c r="G43" s="68">
        <v>1769</v>
      </c>
      <c r="H43" s="22">
        <v>354</v>
      </c>
      <c r="I43" s="19"/>
      <c r="J43" s="20"/>
      <c r="K43" s="296">
        <f t="shared" si="20"/>
        <v>6788</v>
      </c>
      <c r="L43" s="128"/>
    </row>
    <row r="44" spans="1:12" s="51" customFormat="1" ht="15" customHeight="1" outlineLevel="1" thickBot="1" x14ac:dyDescent="0.3">
      <c r="A44" s="29" t="s">
        <v>2</v>
      </c>
      <c r="B44" s="183">
        <f t="shared" si="21"/>
        <v>43548</v>
      </c>
      <c r="C44" s="404">
        <v>4486</v>
      </c>
      <c r="D44" s="21"/>
      <c r="E44" s="21"/>
      <c r="F44" s="21"/>
      <c r="G44" s="68">
        <v>1611</v>
      </c>
      <c r="H44" s="22">
        <v>322</v>
      </c>
      <c r="I44" s="19"/>
      <c r="J44" s="20"/>
      <c r="K44" s="296">
        <f t="shared" si="20"/>
        <v>6419</v>
      </c>
      <c r="L44" s="128"/>
    </row>
    <row r="45" spans="1:12" s="51" customFormat="1" ht="15" customHeight="1" outlineLevel="1" thickBot="1" x14ac:dyDescent="0.3">
      <c r="A45" s="164" t="s">
        <v>21</v>
      </c>
      <c r="B45" s="546" t="s">
        <v>27</v>
      </c>
      <c r="C45" s="363">
        <f>SUM(C38:C44)</f>
        <v>40780</v>
      </c>
      <c r="D45" s="319">
        <f>SUM(D38:D44)</f>
        <v>8006</v>
      </c>
      <c r="E45" s="319">
        <f>SUM(E38:E44)</f>
        <v>5294</v>
      </c>
      <c r="F45" s="319">
        <f>SUM(F38:F44)</f>
        <v>11643</v>
      </c>
      <c r="G45" s="352">
        <f>SUM(G38:G44)</f>
        <v>3380</v>
      </c>
      <c r="H45" s="357">
        <f t="shared" ref="C45:K45" si="22">SUM(H38:H44)</f>
        <v>6357</v>
      </c>
      <c r="I45" s="324">
        <f t="shared" si="22"/>
        <v>5605</v>
      </c>
      <c r="J45" s="325">
        <f t="shared" si="22"/>
        <v>11691</v>
      </c>
      <c r="K45" s="361">
        <f t="shared" si="22"/>
        <v>92756</v>
      </c>
    </row>
    <row r="46" spans="1:12" s="51" customFormat="1" ht="15" customHeight="1" outlineLevel="1" thickBot="1" x14ac:dyDescent="0.3">
      <c r="A46" s="114" t="s">
        <v>23</v>
      </c>
      <c r="B46" s="546"/>
      <c r="C46" s="363">
        <f t="shared" ref="C46:K46" si="23">AVERAGE(C38:C44)</f>
        <v>5825.7142857142853</v>
      </c>
      <c r="D46" s="319">
        <f t="shared" si="23"/>
        <v>1601.2</v>
      </c>
      <c r="E46" s="319">
        <f t="shared" si="23"/>
        <v>1058.8</v>
      </c>
      <c r="F46" s="319">
        <f t="shared" si="23"/>
        <v>2328.6</v>
      </c>
      <c r="G46" s="352">
        <f t="shared" si="23"/>
        <v>1690</v>
      </c>
      <c r="H46" s="357">
        <f t="shared" si="23"/>
        <v>908.14285714285711</v>
      </c>
      <c r="I46" s="324">
        <f t="shared" si="23"/>
        <v>1121</v>
      </c>
      <c r="J46" s="325">
        <f t="shared" si="23"/>
        <v>2338.1999999999998</v>
      </c>
      <c r="K46" s="361">
        <f t="shared" si="23"/>
        <v>13250.857142857143</v>
      </c>
    </row>
    <row r="47" spans="1:12" s="51" customFormat="1" ht="15" customHeight="1" thickBot="1" x14ac:dyDescent="0.3">
      <c r="A47" s="30" t="s">
        <v>20</v>
      </c>
      <c r="B47" s="546"/>
      <c r="C47" s="364">
        <f>SUM(C38:C42)</f>
        <v>31629</v>
      </c>
      <c r="D47" s="320">
        <f>SUM(D38:D42)</f>
        <v>8006</v>
      </c>
      <c r="E47" s="320">
        <f>SUM(E38:E42)</f>
        <v>5294</v>
      </c>
      <c r="F47" s="320">
        <f>SUM(F38:F42)</f>
        <v>11643</v>
      </c>
      <c r="G47" s="353">
        <f t="shared" ref="G47" si="24">SUM(G38:G42)</f>
        <v>0</v>
      </c>
      <c r="H47" s="358">
        <f>SUM(H38:H42)</f>
        <v>5681</v>
      </c>
      <c r="I47" s="326">
        <f>SUM(I38:I42)</f>
        <v>5605</v>
      </c>
      <c r="J47" s="327">
        <f>SUM(J38:J42)</f>
        <v>11691</v>
      </c>
      <c r="K47" s="362">
        <f>SUM(K38:K42)</f>
        <v>79549</v>
      </c>
    </row>
    <row r="48" spans="1:12" s="51" customFormat="1" ht="15" customHeight="1" thickBot="1" x14ac:dyDescent="0.3">
      <c r="A48" s="30" t="s">
        <v>22</v>
      </c>
      <c r="B48" s="546"/>
      <c r="C48" s="364">
        <f t="shared" ref="C48:K48" si="25">AVERAGE(C38:C42)</f>
        <v>6325.8</v>
      </c>
      <c r="D48" s="320">
        <f t="shared" si="25"/>
        <v>1601.2</v>
      </c>
      <c r="E48" s="320">
        <f t="shared" si="25"/>
        <v>1058.8</v>
      </c>
      <c r="F48" s="320">
        <f t="shared" si="25"/>
        <v>2328.6</v>
      </c>
      <c r="G48" s="353">
        <f>AVERAGE(G38:G44)</f>
        <v>1690</v>
      </c>
      <c r="H48" s="358">
        <f t="shared" si="25"/>
        <v>1136.2</v>
      </c>
      <c r="I48" s="326">
        <f t="shared" si="25"/>
        <v>1121</v>
      </c>
      <c r="J48" s="327">
        <f t="shared" si="25"/>
        <v>2338.1999999999998</v>
      </c>
      <c r="K48" s="362">
        <f t="shared" si="25"/>
        <v>15909.8</v>
      </c>
    </row>
    <row r="49" spans="1:11" s="51" customFormat="1" ht="15" customHeight="1" x14ac:dyDescent="0.25">
      <c r="A49" s="29" t="s">
        <v>3</v>
      </c>
      <c r="B49" s="183">
        <f>B44+1</f>
        <v>43549</v>
      </c>
      <c r="C49" s="366">
        <v>6110</v>
      </c>
      <c r="D49" s="214">
        <v>1614</v>
      </c>
      <c r="E49" s="214">
        <v>1080</v>
      </c>
      <c r="F49" s="215">
        <v>2093</v>
      </c>
      <c r="G49" s="356"/>
      <c r="H49" s="298">
        <v>1068</v>
      </c>
      <c r="I49" s="359">
        <v>1288</v>
      </c>
      <c r="J49" s="297">
        <v>2519</v>
      </c>
      <c r="K49" s="296">
        <f t="shared" ref="K49:K55" si="26">SUM(C49:J49)</f>
        <v>15772</v>
      </c>
    </row>
    <row r="50" spans="1:11" s="51" customFormat="1" ht="15" customHeight="1" x14ac:dyDescent="0.25">
      <c r="A50" s="155" t="s">
        <v>4</v>
      </c>
      <c r="B50" s="183">
        <f t="shared" ref="B50:B55" si="27">B49+1</f>
        <v>43550</v>
      </c>
      <c r="C50" s="366">
        <v>6568</v>
      </c>
      <c r="D50" s="214">
        <v>1665</v>
      </c>
      <c r="E50" s="215">
        <v>1078</v>
      </c>
      <c r="F50" s="215">
        <v>2351</v>
      </c>
      <c r="G50" s="356"/>
      <c r="H50" s="295">
        <v>1066</v>
      </c>
      <c r="I50" s="351">
        <v>1344</v>
      </c>
      <c r="J50" s="230">
        <v>2647</v>
      </c>
      <c r="K50" s="296">
        <f t="shared" si="26"/>
        <v>16719</v>
      </c>
    </row>
    <row r="51" spans="1:11" s="51" customFormat="1" ht="13.5" x14ac:dyDescent="0.25">
      <c r="A51" s="155" t="s">
        <v>5</v>
      </c>
      <c r="B51" s="183">
        <f t="shared" si="27"/>
        <v>43551</v>
      </c>
      <c r="C51" s="366">
        <v>6906</v>
      </c>
      <c r="D51" s="215">
        <v>1731</v>
      </c>
      <c r="E51" s="215">
        <v>1048</v>
      </c>
      <c r="F51" s="215">
        <v>2212</v>
      </c>
      <c r="G51" s="356"/>
      <c r="H51" s="295">
        <v>1190</v>
      </c>
      <c r="I51" s="351">
        <v>1118</v>
      </c>
      <c r="J51" s="230">
        <v>2562</v>
      </c>
      <c r="K51" s="296">
        <f t="shared" si="26"/>
        <v>16767</v>
      </c>
    </row>
    <row r="52" spans="1:11" s="51" customFormat="1" ht="13.5" x14ac:dyDescent="0.25">
      <c r="A52" s="155" t="s">
        <v>6</v>
      </c>
      <c r="B52" s="183">
        <f t="shared" si="27"/>
        <v>43552</v>
      </c>
      <c r="C52" s="366">
        <v>6928</v>
      </c>
      <c r="D52" s="215">
        <v>1842</v>
      </c>
      <c r="E52" s="215">
        <v>1075</v>
      </c>
      <c r="F52" s="215">
        <v>2408</v>
      </c>
      <c r="G52" s="356"/>
      <c r="H52" s="295">
        <v>1274</v>
      </c>
      <c r="I52" s="351">
        <v>1160</v>
      </c>
      <c r="J52" s="230">
        <v>2555</v>
      </c>
      <c r="K52" s="296">
        <f t="shared" si="26"/>
        <v>17242</v>
      </c>
    </row>
    <row r="53" spans="1:11" s="51" customFormat="1" ht="13.5" x14ac:dyDescent="0.25">
      <c r="A53" s="29" t="s">
        <v>0</v>
      </c>
      <c r="B53" s="185">
        <f t="shared" si="27"/>
        <v>43553</v>
      </c>
      <c r="C53" s="366">
        <v>6887</v>
      </c>
      <c r="D53" s="215">
        <v>1426</v>
      </c>
      <c r="E53" s="215">
        <v>1112</v>
      </c>
      <c r="F53" s="215">
        <v>2224</v>
      </c>
      <c r="G53" s="356"/>
      <c r="H53" s="295">
        <v>975</v>
      </c>
      <c r="I53" s="351">
        <v>999</v>
      </c>
      <c r="J53" s="230">
        <v>1961</v>
      </c>
      <c r="K53" s="296">
        <f t="shared" si="26"/>
        <v>15584</v>
      </c>
    </row>
    <row r="54" spans="1:11" s="51" customFormat="1" ht="13.5" outlineLevel="1" x14ac:dyDescent="0.25">
      <c r="A54" s="29" t="s">
        <v>1</v>
      </c>
      <c r="B54" s="185">
        <f t="shared" si="27"/>
        <v>43554</v>
      </c>
      <c r="C54" s="147">
        <v>6558</v>
      </c>
      <c r="D54" s="21"/>
      <c r="E54" s="21"/>
      <c r="F54" s="21"/>
      <c r="G54" s="68">
        <v>2153</v>
      </c>
      <c r="H54" s="22">
        <v>526</v>
      </c>
      <c r="I54" s="19"/>
      <c r="J54" s="20"/>
      <c r="K54" s="296">
        <f t="shared" si="26"/>
        <v>9237</v>
      </c>
    </row>
    <row r="55" spans="1:11" s="51" customFormat="1" ht="14.25" outlineLevel="1" thickBot="1" x14ac:dyDescent="0.3">
      <c r="A55" s="155" t="s">
        <v>2</v>
      </c>
      <c r="B55" s="185">
        <f t="shared" si="27"/>
        <v>43555</v>
      </c>
      <c r="C55" s="147">
        <v>2191</v>
      </c>
      <c r="D55" s="21"/>
      <c r="E55" s="21"/>
      <c r="F55" s="21"/>
      <c r="G55" s="68">
        <v>819</v>
      </c>
      <c r="H55" s="22">
        <v>145</v>
      </c>
      <c r="I55" s="19"/>
      <c r="J55" s="20"/>
      <c r="K55" s="296">
        <f t="shared" si="26"/>
        <v>3155</v>
      </c>
    </row>
    <row r="56" spans="1:11" s="51" customFormat="1" ht="15" customHeight="1" outlineLevel="1" thickBot="1" x14ac:dyDescent="0.3">
      <c r="A56" s="164" t="s">
        <v>21</v>
      </c>
      <c r="B56" s="546" t="s">
        <v>28</v>
      </c>
      <c r="C56" s="363">
        <f>SUM(C49:C55)</f>
        <v>42148</v>
      </c>
      <c r="D56" s="319">
        <f>SUM(D49:D55)</f>
        <v>8278</v>
      </c>
      <c r="E56" s="319">
        <f>SUM(E49:E55)</f>
        <v>5393</v>
      </c>
      <c r="F56" s="319">
        <f>SUM(F49:F55)</f>
        <v>11288</v>
      </c>
      <c r="G56" s="352">
        <f>SUM(G49:G55)</f>
        <v>2972</v>
      </c>
      <c r="H56" s="357">
        <f t="shared" ref="C56:K56" si="28">SUM(H49:H55)</f>
        <v>6244</v>
      </c>
      <c r="I56" s="324">
        <f t="shared" si="28"/>
        <v>5909</v>
      </c>
      <c r="J56" s="325">
        <f t="shared" si="28"/>
        <v>12244</v>
      </c>
      <c r="K56" s="361">
        <f t="shared" si="28"/>
        <v>94476</v>
      </c>
    </row>
    <row r="57" spans="1:11" s="51" customFormat="1" ht="15" customHeight="1" outlineLevel="1" thickBot="1" x14ac:dyDescent="0.3">
      <c r="A57" s="114" t="s">
        <v>23</v>
      </c>
      <c r="B57" s="546"/>
      <c r="C57" s="363">
        <f t="shared" ref="C57:J57" si="29">AVERAGE(C49:C55)</f>
        <v>6021.1428571428569</v>
      </c>
      <c r="D57" s="319">
        <f t="shared" si="29"/>
        <v>1655.6</v>
      </c>
      <c r="E57" s="319">
        <f t="shared" si="29"/>
        <v>1078.5999999999999</v>
      </c>
      <c r="F57" s="319">
        <f t="shared" si="29"/>
        <v>2257.6</v>
      </c>
      <c r="G57" s="352">
        <f t="shared" si="29"/>
        <v>1486</v>
      </c>
      <c r="H57" s="357">
        <f t="shared" si="29"/>
        <v>892</v>
      </c>
      <c r="I57" s="324">
        <f t="shared" si="29"/>
        <v>1181.8</v>
      </c>
      <c r="J57" s="325">
        <f t="shared" si="29"/>
        <v>2448.8000000000002</v>
      </c>
      <c r="K57" s="361">
        <f>AVERAGE(K49:K55)</f>
        <v>13496.571428571429</v>
      </c>
    </row>
    <row r="58" spans="1:11" s="51" customFormat="1" ht="15" customHeight="1" thickBot="1" x14ac:dyDescent="0.3">
      <c r="A58" s="30" t="s">
        <v>20</v>
      </c>
      <c r="B58" s="546"/>
      <c r="C58" s="364">
        <f>SUM(C49:C53)</f>
        <v>33399</v>
      </c>
      <c r="D58" s="320">
        <f>SUM(D49:D53)</f>
        <v>8278</v>
      </c>
      <c r="E58" s="320">
        <f>SUM(E49:E53)</f>
        <v>5393</v>
      </c>
      <c r="F58" s="320">
        <f>SUM(F49:F53)</f>
        <v>11288</v>
      </c>
      <c r="G58" s="353">
        <f t="shared" ref="G58" si="30">SUM(G49:G53)</f>
        <v>0</v>
      </c>
      <c r="H58" s="358">
        <f>SUM(H49:H53)</f>
        <v>5573</v>
      </c>
      <c r="I58" s="326">
        <f>SUM(I49:I53)</f>
        <v>5909</v>
      </c>
      <c r="J58" s="327">
        <f>SUM(J49:J53)</f>
        <v>12244</v>
      </c>
      <c r="K58" s="362">
        <f>SUM(K49:K53)</f>
        <v>82084</v>
      </c>
    </row>
    <row r="59" spans="1:11" s="51" customFormat="1" ht="14.25" thickBot="1" x14ac:dyDescent="0.3">
      <c r="A59" s="30" t="s">
        <v>22</v>
      </c>
      <c r="B59" s="547"/>
      <c r="C59" s="414">
        <f>AVERAGE(C49:C53)</f>
        <v>6679.8</v>
      </c>
      <c r="D59" s="415">
        <f>AVERAGE(D50:D53)</f>
        <v>1666</v>
      </c>
      <c r="E59" s="415">
        <f>AVERAGE(E50:E53)</f>
        <v>1078.25</v>
      </c>
      <c r="F59" s="415">
        <f t="shared" ref="F59:K59" si="31">AVERAGE(F49:F53)</f>
        <v>2257.6</v>
      </c>
      <c r="G59" s="416" t="e">
        <f t="shared" si="31"/>
        <v>#DIV/0!</v>
      </c>
      <c r="H59" s="38">
        <f>AVERAGE(H50:H53)</f>
        <v>1126.25</v>
      </c>
      <c r="I59" s="35">
        <f>AVERAGE(I50:I53)</f>
        <v>1155.25</v>
      </c>
      <c r="J59" s="36">
        <f t="shared" si="31"/>
        <v>2448.8000000000002</v>
      </c>
      <c r="K59" s="417">
        <f t="shared" si="31"/>
        <v>16416.8</v>
      </c>
    </row>
    <row r="60" spans="1:11" s="51" customFormat="1" ht="14.25" hidden="1" thickBot="1" x14ac:dyDescent="0.3">
      <c r="A60" s="155"/>
      <c r="B60" s="412"/>
      <c r="C60" s="55"/>
      <c r="D60" s="57"/>
      <c r="E60" s="57"/>
      <c r="F60" s="57"/>
      <c r="G60" s="56"/>
      <c r="H60" s="146"/>
      <c r="I60" s="12"/>
      <c r="J60" s="67"/>
      <c r="K60" s="18"/>
    </row>
    <row r="61" spans="1:11" s="51" customFormat="1" ht="14.25" hidden="1" thickBot="1" x14ac:dyDescent="0.3">
      <c r="A61" s="155"/>
      <c r="B61" s="313"/>
      <c r="C61" s="19"/>
      <c r="D61" s="21"/>
      <c r="E61" s="21"/>
      <c r="F61" s="21"/>
      <c r="G61" s="20"/>
      <c r="H61" s="146"/>
      <c r="I61" s="12"/>
      <c r="J61" s="67"/>
      <c r="K61" s="409"/>
    </row>
    <row r="62" spans="1:11" s="51" customFormat="1" ht="14.25" hidden="1" thickBot="1" x14ac:dyDescent="0.3">
      <c r="A62" s="155"/>
      <c r="B62" s="313"/>
      <c r="C62" s="19"/>
      <c r="D62" s="21"/>
      <c r="E62" s="21"/>
      <c r="F62" s="21"/>
      <c r="G62" s="20"/>
      <c r="H62" s="146"/>
      <c r="I62" s="12"/>
      <c r="J62" s="67"/>
      <c r="K62" s="409"/>
    </row>
    <row r="63" spans="1:11" s="51" customFormat="1" ht="14.25" hidden="1" thickBot="1" x14ac:dyDescent="0.3">
      <c r="A63" s="155"/>
      <c r="B63" s="313"/>
      <c r="C63" s="19"/>
      <c r="D63" s="21"/>
      <c r="E63" s="21"/>
      <c r="F63" s="21"/>
      <c r="G63" s="20"/>
      <c r="H63" s="146"/>
      <c r="I63" s="12"/>
      <c r="J63" s="67"/>
      <c r="K63" s="409"/>
    </row>
    <row r="64" spans="1:11" s="51" customFormat="1" ht="14.25" hidden="1" thickBot="1" x14ac:dyDescent="0.3">
      <c r="A64" s="29"/>
      <c r="B64" s="313"/>
      <c r="C64" s="19"/>
      <c r="D64" s="21"/>
      <c r="E64" s="21"/>
      <c r="F64" s="21"/>
      <c r="G64" s="20"/>
      <c r="H64" s="146"/>
      <c r="I64" s="12"/>
      <c r="J64" s="67"/>
      <c r="K64" s="409"/>
    </row>
    <row r="65" spans="1:15" s="51" customFormat="1" ht="14.25" hidden="1" outlineLevel="1" thickBot="1" x14ac:dyDescent="0.3">
      <c r="A65" s="29"/>
      <c r="B65" s="313"/>
      <c r="C65" s="19"/>
      <c r="D65" s="21"/>
      <c r="E65" s="21"/>
      <c r="F65" s="21"/>
      <c r="G65" s="20"/>
      <c r="H65" s="147"/>
      <c r="I65" s="19"/>
      <c r="J65" s="68"/>
      <c r="K65" s="409"/>
    </row>
    <row r="66" spans="1:15" s="51" customFormat="1" ht="14.25" hidden="1" outlineLevel="1" thickBot="1" x14ac:dyDescent="0.3">
      <c r="A66" s="29"/>
      <c r="B66" s="313"/>
      <c r="C66" s="60"/>
      <c r="D66" s="62"/>
      <c r="E66" s="62"/>
      <c r="F66" s="62"/>
      <c r="G66" s="61"/>
      <c r="H66" s="413"/>
      <c r="I66" s="23"/>
      <c r="J66" s="69"/>
      <c r="K66" s="418"/>
    </row>
    <row r="67" spans="1:15" s="51" customFormat="1" ht="14.25" hidden="1" outlineLevel="1" thickBot="1" x14ac:dyDescent="0.3">
      <c r="A67" s="164" t="s">
        <v>21</v>
      </c>
      <c r="B67" s="503" t="s">
        <v>32</v>
      </c>
      <c r="C67" s="403">
        <f>SUM(C60:C66)</f>
        <v>0</v>
      </c>
      <c r="D67" s="403">
        <f t="shared" ref="D67:K67" si="32">SUM(D60:D66)</f>
        <v>0</v>
      </c>
      <c r="E67" s="403">
        <f t="shared" si="32"/>
        <v>0</v>
      </c>
      <c r="F67" s="403">
        <f t="shared" si="32"/>
        <v>0</v>
      </c>
      <c r="G67" s="403">
        <f t="shared" si="32"/>
        <v>0</v>
      </c>
      <c r="H67" s="119">
        <f t="shared" si="32"/>
        <v>0</v>
      </c>
      <c r="I67" s="119">
        <f t="shared" si="32"/>
        <v>0</v>
      </c>
      <c r="J67" s="119">
        <f t="shared" si="32"/>
        <v>0</v>
      </c>
      <c r="K67" s="403">
        <f t="shared" si="32"/>
        <v>0</v>
      </c>
    </row>
    <row r="68" spans="1:15" s="51" customFormat="1" ht="14.25" hidden="1" outlineLevel="1" thickBot="1" x14ac:dyDescent="0.3">
      <c r="A68" s="114" t="s">
        <v>23</v>
      </c>
      <c r="B68" s="504"/>
      <c r="C68" s="115" t="e">
        <f>AVERAGE(C60:C66)</f>
        <v>#DIV/0!</v>
      </c>
      <c r="D68" s="115" t="e">
        <f t="shared" ref="D68:K68" si="33">AVERAGE(D60:D66)</f>
        <v>#DIV/0!</v>
      </c>
      <c r="E68" s="115" t="e">
        <f t="shared" si="33"/>
        <v>#DIV/0!</v>
      </c>
      <c r="F68" s="115" t="e">
        <f t="shared" si="33"/>
        <v>#DIV/0!</v>
      </c>
      <c r="G68" s="115" t="e">
        <f t="shared" si="33"/>
        <v>#DIV/0!</v>
      </c>
      <c r="H68" s="115" t="e">
        <f t="shared" si="33"/>
        <v>#DIV/0!</v>
      </c>
      <c r="I68" s="115" t="e">
        <f t="shared" si="33"/>
        <v>#DIV/0!</v>
      </c>
      <c r="J68" s="115" t="e">
        <f t="shared" si="33"/>
        <v>#DIV/0!</v>
      </c>
      <c r="K68" s="115" t="e">
        <f t="shared" si="33"/>
        <v>#DIV/0!</v>
      </c>
    </row>
    <row r="69" spans="1:15" s="51" customFormat="1" ht="14.25" hidden="1" thickBot="1" x14ac:dyDescent="0.3">
      <c r="A69" s="30" t="s">
        <v>20</v>
      </c>
      <c r="B69" s="504"/>
      <c r="C69" s="31">
        <f>SUM(C60:C64)</f>
        <v>0</v>
      </c>
      <c r="D69" s="31">
        <f t="shared" ref="D69:K69" si="34">SUM(D60:D64)</f>
        <v>0</v>
      </c>
      <c r="E69" s="31">
        <f t="shared" si="34"/>
        <v>0</v>
      </c>
      <c r="F69" s="31">
        <f t="shared" si="34"/>
        <v>0</v>
      </c>
      <c r="G69" s="31">
        <f t="shared" si="34"/>
        <v>0</v>
      </c>
      <c r="H69" s="31">
        <f t="shared" si="34"/>
        <v>0</v>
      </c>
      <c r="I69" s="31">
        <f t="shared" si="34"/>
        <v>0</v>
      </c>
      <c r="J69" s="31">
        <f t="shared" si="34"/>
        <v>0</v>
      </c>
      <c r="K69" s="31">
        <f t="shared" si="34"/>
        <v>0</v>
      </c>
    </row>
    <row r="70" spans="1:15" s="51" customFormat="1" ht="14.25" hidden="1" thickBot="1" x14ac:dyDescent="0.3">
      <c r="A70" s="30" t="s">
        <v>22</v>
      </c>
      <c r="B70" s="505"/>
      <c r="C70" s="35" t="e">
        <f>AVERAGE(C60:C64)</f>
        <v>#DIV/0!</v>
      </c>
      <c r="D70" s="35" t="e">
        <f t="shared" ref="D70:K70" si="35">AVERAGE(D60:D64)</f>
        <v>#DIV/0!</v>
      </c>
      <c r="E70" s="35" t="e">
        <f t="shared" si="35"/>
        <v>#DIV/0!</v>
      </c>
      <c r="F70" s="35" t="e">
        <f t="shared" si="35"/>
        <v>#DIV/0!</v>
      </c>
      <c r="G70" s="35" t="e">
        <f t="shared" si="35"/>
        <v>#DIV/0!</v>
      </c>
      <c r="H70" s="35" t="e">
        <f t="shared" si="35"/>
        <v>#DIV/0!</v>
      </c>
      <c r="I70" s="35" t="e">
        <f t="shared" si="35"/>
        <v>#DIV/0!</v>
      </c>
      <c r="J70" s="35" t="e">
        <f t="shared" si="35"/>
        <v>#DIV/0!</v>
      </c>
      <c r="K70" s="35" t="e">
        <f t="shared" si="35"/>
        <v>#DIV/0!</v>
      </c>
    </row>
    <row r="71" spans="1:15" s="51" customFormat="1" ht="15" customHeight="1" x14ac:dyDescent="0.25">
      <c r="A71" s="4"/>
      <c r="B71" s="137"/>
      <c r="C71" s="54"/>
      <c r="D71" s="54"/>
      <c r="E71" s="54"/>
      <c r="F71" s="54"/>
      <c r="G71" s="54"/>
      <c r="H71" s="54"/>
      <c r="I71" s="54"/>
      <c r="J71" s="54"/>
      <c r="K71" s="54"/>
    </row>
    <row r="72" spans="1:15" s="51" customFormat="1" ht="30" customHeight="1" x14ac:dyDescent="0.25">
      <c r="A72" s="198"/>
      <c r="B72" s="42" t="s">
        <v>8</v>
      </c>
      <c r="C72" s="43" t="s">
        <v>9</v>
      </c>
      <c r="D72" s="43" t="s">
        <v>10</v>
      </c>
      <c r="E72" s="64"/>
      <c r="F72" s="540" t="s">
        <v>59</v>
      </c>
      <c r="G72" s="541"/>
      <c r="H72" s="542"/>
      <c r="I72" s="64"/>
      <c r="J72" s="64"/>
      <c r="K72" s="64"/>
      <c r="L72" s="64"/>
      <c r="M72" s="54"/>
      <c r="N72" s="54"/>
      <c r="O72" s="54"/>
    </row>
    <row r="73" spans="1:15" ht="29.25" customHeight="1" x14ac:dyDescent="0.25">
      <c r="A73" s="46" t="s">
        <v>30</v>
      </c>
      <c r="B73" s="199">
        <f>SUM(C58:G58, C47:G47, C36:G36, C25:G25, C14:G14, C69:G69 )</f>
        <v>234978</v>
      </c>
      <c r="C73" s="66">
        <f>SUM(H58:H58, H47:H47, H36:H36, H25:H25, H14:H14, H69:H69)</f>
        <v>23942</v>
      </c>
      <c r="D73" s="66">
        <f>SUM(I58:J58, I47:J47, I36:J36, I25:J25, I14:J14, I69:J69)</f>
        <v>73584</v>
      </c>
      <c r="E73" s="65"/>
      <c r="F73" s="495" t="s">
        <v>30</v>
      </c>
      <c r="G73" s="496"/>
      <c r="H73" s="110">
        <f>SUM(K14, K25, K36, K47, K58, K69)</f>
        <v>332504</v>
      </c>
      <c r="I73" s="65"/>
      <c r="J73" s="65"/>
      <c r="K73" s="65"/>
      <c r="L73" s="65"/>
    </row>
    <row r="74" spans="1:15" ht="30" customHeight="1" x14ac:dyDescent="0.25">
      <c r="A74" s="46" t="s">
        <v>29</v>
      </c>
      <c r="B74" s="197">
        <f>SUM(C56:G56, C45:G45, C34:G34, C23:G23, C12:G12, C67:G67  )</f>
        <v>284577</v>
      </c>
      <c r="C74" s="41">
        <f>SUM(H56:H56, H45:H45, H34:H34, H23:H23, H12:H12, H67:H67 )</f>
        <v>26789</v>
      </c>
      <c r="D74" s="41">
        <f>SUM(I56:J56, I45:J45, I34:J34, I23:J23, I12:J12, I67:J67)</f>
        <v>73584</v>
      </c>
      <c r="E74" s="65"/>
      <c r="F74" s="495" t="s">
        <v>29</v>
      </c>
      <c r="G74" s="496"/>
      <c r="H74" s="111">
        <f>SUM(K56, K45, K34, K23, K12, K67)</f>
        <v>384950</v>
      </c>
      <c r="I74" s="65"/>
      <c r="J74" s="65"/>
      <c r="K74" s="65"/>
      <c r="L74" s="65"/>
    </row>
    <row r="75" spans="1:15" ht="30" customHeight="1" x14ac:dyDescent="0.25">
      <c r="F75" s="495" t="s">
        <v>22</v>
      </c>
      <c r="G75" s="496"/>
      <c r="H75" s="111">
        <f>AVERAGE(K14, K25, K36, K47, K58, K69)</f>
        <v>55417.333333333336</v>
      </c>
    </row>
    <row r="76" spans="1:15" ht="30" customHeight="1" x14ac:dyDescent="0.25">
      <c r="F76" s="495" t="s">
        <v>62</v>
      </c>
      <c r="G76" s="496"/>
      <c r="H76" s="110">
        <f>AVERAGE(K56, K45, K34, K23, K12, K67)</f>
        <v>64158.333333333336</v>
      </c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80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60" sqref="A60:XFD70"/>
    </sheetView>
  </sheetViews>
  <sheetFormatPr defaultRowHeight="15" outlineLevelRow="1" x14ac:dyDescent="0.25"/>
  <cols>
    <col min="1" max="1" width="18.7109375" style="1" bestFit="1" customWidth="1"/>
    <col min="2" max="2" width="10.7109375" style="138" bestFit="1" customWidth="1"/>
    <col min="3" max="4" width="10.7109375" style="1" customWidth="1"/>
    <col min="5" max="5" width="11.28515625" style="1" bestFit="1" customWidth="1"/>
    <col min="6" max="7" width="10.7109375" style="1" customWidth="1"/>
    <col min="8" max="8" width="11.28515625" style="1" bestFit="1" customWidth="1"/>
    <col min="9" max="10" width="10.7109375" style="1" customWidth="1"/>
    <col min="11" max="11" width="12.7109375" style="1" customWidth="1"/>
    <col min="12" max="12" width="10.85546875" style="1" customWidth="1"/>
    <col min="13" max="13" width="10.7109375" style="1" customWidth="1"/>
    <col min="14" max="14" width="16.28515625" style="1" bestFit="1" customWidth="1"/>
    <col min="15" max="16384" width="9.140625" style="1"/>
  </cols>
  <sheetData>
    <row r="1" spans="1:14" ht="15" customHeight="1" x14ac:dyDescent="0.25">
      <c r="A1" s="27"/>
      <c r="B1" s="175"/>
      <c r="C1" s="512" t="s">
        <v>8</v>
      </c>
      <c r="D1" s="534"/>
      <c r="E1" s="497"/>
      <c r="F1" s="512" t="s">
        <v>83</v>
      </c>
      <c r="G1" s="534"/>
      <c r="H1" s="497"/>
      <c r="I1" s="512" t="s">
        <v>10</v>
      </c>
      <c r="J1" s="534"/>
      <c r="K1" s="534"/>
      <c r="L1" s="557" t="s">
        <v>66</v>
      </c>
      <c r="M1" s="552" t="s">
        <v>19</v>
      </c>
    </row>
    <row r="2" spans="1:14" ht="15" customHeight="1" thickBot="1" x14ac:dyDescent="0.3">
      <c r="A2" s="28"/>
      <c r="B2" s="176"/>
      <c r="C2" s="513"/>
      <c r="D2" s="535"/>
      <c r="E2" s="498"/>
      <c r="F2" s="513"/>
      <c r="G2" s="535"/>
      <c r="H2" s="498"/>
      <c r="I2" s="513"/>
      <c r="J2" s="535"/>
      <c r="K2" s="535"/>
      <c r="L2" s="558"/>
      <c r="M2" s="553"/>
    </row>
    <row r="3" spans="1:14" ht="15" customHeight="1" x14ac:dyDescent="0.25">
      <c r="A3" s="481" t="s">
        <v>52</v>
      </c>
      <c r="B3" s="509" t="s">
        <v>53</v>
      </c>
      <c r="C3" s="548" t="s">
        <v>15</v>
      </c>
      <c r="D3" s="550" t="s">
        <v>16</v>
      </c>
      <c r="E3" s="531" t="s">
        <v>85</v>
      </c>
      <c r="F3" s="555" t="s">
        <v>15</v>
      </c>
      <c r="G3" s="550" t="s">
        <v>16</v>
      </c>
      <c r="H3" s="531" t="s">
        <v>85</v>
      </c>
      <c r="I3" s="555" t="s">
        <v>15</v>
      </c>
      <c r="J3" s="543" t="s">
        <v>17</v>
      </c>
      <c r="K3" s="550" t="s">
        <v>16</v>
      </c>
      <c r="L3" s="537" t="s">
        <v>18</v>
      </c>
      <c r="M3" s="553"/>
    </row>
    <row r="4" spans="1:14" ht="15.75" thickBot="1" x14ac:dyDescent="0.3">
      <c r="A4" s="518"/>
      <c r="B4" s="511"/>
      <c r="C4" s="549"/>
      <c r="D4" s="551"/>
      <c r="E4" s="532"/>
      <c r="F4" s="556"/>
      <c r="G4" s="551"/>
      <c r="H4" s="532"/>
      <c r="I4" s="556"/>
      <c r="J4" s="544"/>
      <c r="K4" s="551"/>
      <c r="L4" s="508"/>
      <c r="M4" s="554"/>
    </row>
    <row r="5" spans="1:14" s="2" customFormat="1" ht="15.75" hidden="1" thickBot="1" x14ac:dyDescent="0.3">
      <c r="A5" s="29" t="s">
        <v>3</v>
      </c>
      <c r="B5" s="177">
        <v>43521</v>
      </c>
      <c r="C5" s="332"/>
      <c r="D5" s="333"/>
      <c r="E5" s="307"/>
      <c r="F5" s="336"/>
      <c r="G5" s="333"/>
      <c r="H5" s="307"/>
      <c r="I5" s="336"/>
      <c r="J5" s="338"/>
      <c r="K5" s="333"/>
      <c r="L5" s="191"/>
      <c r="M5" s="70">
        <f t="shared" ref="M5:M6" si="0">SUM(C5:L5)</f>
        <v>0</v>
      </c>
    </row>
    <row r="6" spans="1:14" s="2" customFormat="1" ht="15.75" hidden="1" thickBot="1" x14ac:dyDescent="0.3">
      <c r="A6" s="29" t="s">
        <v>4</v>
      </c>
      <c r="B6" s="309">
        <v>43522</v>
      </c>
      <c r="C6" s="236"/>
      <c r="D6" s="236"/>
      <c r="E6" s="264"/>
      <c r="F6" s="287"/>
      <c r="G6" s="239"/>
      <c r="H6" s="288"/>
      <c r="I6" s="287"/>
      <c r="J6" s="239"/>
      <c r="K6" s="288"/>
      <c r="L6" s="203"/>
      <c r="M6" s="344">
        <f t="shared" si="0"/>
        <v>0</v>
      </c>
    </row>
    <row r="7" spans="1:14" s="2" customFormat="1" ht="15.75" hidden="1" outlineLevel="1" thickBot="1" x14ac:dyDescent="0.3">
      <c r="A7" s="29" t="s">
        <v>5</v>
      </c>
      <c r="B7" s="309">
        <v>43523</v>
      </c>
      <c r="C7" s="236"/>
      <c r="D7" s="236"/>
      <c r="E7" s="264"/>
      <c r="F7" s="345"/>
      <c r="G7" s="236"/>
      <c r="H7" s="264"/>
      <c r="I7" s="276"/>
      <c r="J7" s="236"/>
      <c r="K7" s="264"/>
      <c r="L7" s="202"/>
      <c r="M7" s="343">
        <f>SUM(C7:L7)</f>
        <v>0</v>
      </c>
    </row>
    <row r="8" spans="1:14" s="2" customFormat="1" ht="15.75" hidden="1" outlineLevel="1" thickBot="1" x14ac:dyDescent="0.3">
      <c r="A8" s="29" t="s">
        <v>6</v>
      </c>
      <c r="B8" s="309">
        <v>43524</v>
      </c>
      <c r="C8" s="236"/>
      <c r="D8" s="236"/>
      <c r="E8" s="264"/>
      <c r="F8" s="345"/>
      <c r="G8" s="236"/>
      <c r="H8" s="264"/>
      <c r="I8" s="276"/>
      <c r="J8" s="236"/>
      <c r="K8" s="264"/>
      <c r="L8" s="202"/>
      <c r="M8" s="343">
        <f>SUM(C8:L8)</f>
        <v>0</v>
      </c>
      <c r="N8" s="156"/>
    </row>
    <row r="9" spans="1:14" s="2" customFormat="1" ht="15.75" outlineLevel="1" thickBot="1" x14ac:dyDescent="0.3">
      <c r="A9" s="29" t="s">
        <v>0</v>
      </c>
      <c r="B9" s="309">
        <v>43525</v>
      </c>
      <c r="C9" s="236">
        <v>306</v>
      </c>
      <c r="D9" s="236">
        <v>193</v>
      </c>
      <c r="E9" s="264">
        <v>209</v>
      </c>
      <c r="F9" s="345">
        <v>2331</v>
      </c>
      <c r="G9" s="236">
        <v>2024</v>
      </c>
      <c r="H9" s="264">
        <v>358</v>
      </c>
      <c r="I9" s="276">
        <v>876</v>
      </c>
      <c r="J9" s="236">
        <v>435</v>
      </c>
      <c r="K9" s="264">
        <v>2003</v>
      </c>
      <c r="L9" s="202">
        <v>307</v>
      </c>
      <c r="M9" s="343">
        <f>SUM(C9:L9)</f>
        <v>9042</v>
      </c>
      <c r="N9" s="156"/>
    </row>
    <row r="10" spans="1:14" s="2" customFormat="1" ht="15.75" outlineLevel="1" thickBot="1" x14ac:dyDescent="0.3">
      <c r="A10" s="29" t="s">
        <v>1</v>
      </c>
      <c r="B10" s="309">
        <v>43526</v>
      </c>
      <c r="C10" s="236">
        <v>66</v>
      </c>
      <c r="D10" s="236">
        <v>100</v>
      </c>
      <c r="E10" s="264">
        <v>65</v>
      </c>
      <c r="F10" s="276">
        <v>1459</v>
      </c>
      <c r="G10" s="236">
        <v>176</v>
      </c>
      <c r="H10" s="264">
        <v>11413</v>
      </c>
      <c r="I10" s="276"/>
      <c r="J10" s="236"/>
      <c r="K10" s="264"/>
      <c r="L10" s="202"/>
      <c r="M10" s="343">
        <f>SUM(C10:L10)</f>
        <v>13279</v>
      </c>
      <c r="N10" s="156"/>
    </row>
    <row r="11" spans="1:14" s="2" customFormat="1" ht="15" customHeight="1" outlineLevel="1" thickBot="1" x14ac:dyDescent="0.3">
      <c r="A11" s="29" t="s">
        <v>2</v>
      </c>
      <c r="B11" s="309">
        <v>43527</v>
      </c>
      <c r="C11" s="236">
        <v>37</v>
      </c>
      <c r="D11" s="236">
        <v>76</v>
      </c>
      <c r="E11" s="264">
        <v>54</v>
      </c>
      <c r="F11" s="276">
        <v>974</v>
      </c>
      <c r="G11" s="236">
        <v>140</v>
      </c>
      <c r="H11" s="264">
        <v>4408</v>
      </c>
      <c r="I11" s="276"/>
      <c r="J11" s="236"/>
      <c r="K11" s="264"/>
      <c r="L11" s="202"/>
      <c r="M11" s="343">
        <f>SUM(C11:L11)</f>
        <v>5689</v>
      </c>
      <c r="N11" s="156"/>
    </row>
    <row r="12" spans="1:14" s="3" customFormat="1" ht="15" customHeight="1" outlineLevel="1" thickBot="1" x14ac:dyDescent="0.3">
      <c r="A12" s="164" t="s">
        <v>21</v>
      </c>
      <c r="B12" s="493" t="s">
        <v>24</v>
      </c>
      <c r="C12" s="256">
        <f t="shared" ref="C12:L12" si="1">SUM(C5:C11)</f>
        <v>409</v>
      </c>
      <c r="D12" s="256">
        <f>SUM(D5:D11)</f>
        <v>369</v>
      </c>
      <c r="E12" s="334">
        <f t="shared" si="1"/>
        <v>328</v>
      </c>
      <c r="F12" s="277">
        <f t="shared" si="1"/>
        <v>4764</v>
      </c>
      <c r="G12" s="256">
        <f t="shared" si="1"/>
        <v>2340</v>
      </c>
      <c r="H12" s="334">
        <f t="shared" si="1"/>
        <v>16179</v>
      </c>
      <c r="I12" s="277">
        <f t="shared" si="1"/>
        <v>876</v>
      </c>
      <c r="J12" s="256">
        <f t="shared" si="1"/>
        <v>435</v>
      </c>
      <c r="K12" s="334">
        <f t="shared" si="1"/>
        <v>2003</v>
      </c>
      <c r="L12" s="341">
        <f t="shared" si="1"/>
        <v>307</v>
      </c>
      <c r="M12" s="339">
        <f>SUM(M5:M11)</f>
        <v>28010</v>
      </c>
    </row>
    <row r="13" spans="1:14" s="3" customFormat="1" ht="15" customHeight="1" outlineLevel="1" thickBot="1" x14ac:dyDescent="0.3">
      <c r="A13" s="114" t="s">
        <v>23</v>
      </c>
      <c r="B13" s="494"/>
      <c r="C13" s="256">
        <f>AVERAGE(C5:C11)</f>
        <v>136.33333333333334</v>
      </c>
      <c r="D13" s="256">
        <f>AVERAGE(D5:D11)</f>
        <v>123</v>
      </c>
      <c r="E13" s="334">
        <f>AVERAGE(E5:E11)</f>
        <v>109.33333333333333</v>
      </c>
      <c r="F13" s="277">
        <f t="shared" ref="F13:L13" si="2">AVERAGE(F5:F11)</f>
        <v>1588</v>
      </c>
      <c r="G13" s="256">
        <f t="shared" si="2"/>
        <v>780</v>
      </c>
      <c r="H13" s="334">
        <f>AVERAGE(H5:H11)</f>
        <v>5393</v>
      </c>
      <c r="I13" s="277">
        <f t="shared" si="2"/>
        <v>876</v>
      </c>
      <c r="J13" s="256">
        <f t="shared" si="2"/>
        <v>435</v>
      </c>
      <c r="K13" s="334">
        <f t="shared" si="2"/>
        <v>2003</v>
      </c>
      <c r="L13" s="341">
        <f t="shared" si="2"/>
        <v>307</v>
      </c>
      <c r="M13" s="339">
        <f>AVERAGE(M5:M11)</f>
        <v>4001.4285714285716</v>
      </c>
    </row>
    <row r="14" spans="1:14" s="3" customFormat="1" ht="15" customHeight="1" thickBot="1" x14ac:dyDescent="0.3">
      <c r="A14" s="30" t="s">
        <v>20</v>
      </c>
      <c r="B14" s="494"/>
      <c r="C14" s="257">
        <f t="shared" ref="C14:M14" si="3">SUM(C5:C9)</f>
        <v>306</v>
      </c>
      <c r="D14" s="257">
        <f t="shared" si="3"/>
        <v>193</v>
      </c>
      <c r="E14" s="335">
        <f t="shared" si="3"/>
        <v>209</v>
      </c>
      <c r="F14" s="279">
        <f t="shared" si="3"/>
        <v>2331</v>
      </c>
      <c r="G14" s="257">
        <f t="shared" si="3"/>
        <v>2024</v>
      </c>
      <c r="H14" s="335">
        <f t="shared" si="3"/>
        <v>358</v>
      </c>
      <c r="I14" s="279">
        <f t="shared" si="3"/>
        <v>876</v>
      </c>
      <c r="J14" s="257">
        <f t="shared" si="3"/>
        <v>435</v>
      </c>
      <c r="K14" s="335">
        <f t="shared" si="3"/>
        <v>2003</v>
      </c>
      <c r="L14" s="342">
        <f t="shared" si="3"/>
        <v>307</v>
      </c>
      <c r="M14" s="340">
        <f t="shared" si="3"/>
        <v>9042</v>
      </c>
    </row>
    <row r="15" spans="1:14" s="3" customFormat="1" ht="15" customHeight="1" thickBot="1" x14ac:dyDescent="0.3">
      <c r="A15" s="30" t="s">
        <v>22</v>
      </c>
      <c r="B15" s="494"/>
      <c r="C15" s="257">
        <f>AVERAGE(C5:C9)</f>
        <v>306</v>
      </c>
      <c r="D15" s="257">
        <f t="shared" ref="D15:L15" si="4">AVERAGE(D5:D9)</f>
        <v>193</v>
      </c>
      <c r="E15" s="335">
        <f>AVERAGE(E5:E9)</f>
        <v>209</v>
      </c>
      <c r="F15" s="279">
        <f>AVERAGE(F5:F9)</f>
        <v>2331</v>
      </c>
      <c r="G15" s="257">
        <f t="shared" si="4"/>
        <v>2024</v>
      </c>
      <c r="H15" s="335">
        <f>AVERAGE(H5:H9)</f>
        <v>358</v>
      </c>
      <c r="I15" s="279">
        <f>AVERAGE(I5:I9)</f>
        <v>876</v>
      </c>
      <c r="J15" s="257">
        <f t="shared" si="4"/>
        <v>435</v>
      </c>
      <c r="K15" s="335">
        <f t="shared" si="4"/>
        <v>2003</v>
      </c>
      <c r="L15" s="342">
        <f t="shared" si="4"/>
        <v>307</v>
      </c>
      <c r="M15" s="340">
        <f>AVERAGE(M5:M9)</f>
        <v>1808.4</v>
      </c>
    </row>
    <row r="16" spans="1:14" s="3" customFormat="1" ht="15" customHeight="1" x14ac:dyDescent="0.25">
      <c r="A16" s="29" t="s">
        <v>3</v>
      </c>
      <c r="B16" s="309">
        <f>B11+1</f>
        <v>43528</v>
      </c>
      <c r="C16" s="236">
        <v>271</v>
      </c>
      <c r="D16" s="236">
        <v>183</v>
      </c>
      <c r="E16" s="264">
        <v>240</v>
      </c>
      <c r="F16" s="276">
        <v>2423</v>
      </c>
      <c r="G16" s="236">
        <v>1655</v>
      </c>
      <c r="H16" s="264">
        <v>363</v>
      </c>
      <c r="I16" s="276">
        <v>836</v>
      </c>
      <c r="J16" s="236">
        <v>510</v>
      </c>
      <c r="K16" s="264">
        <v>1332</v>
      </c>
      <c r="L16" s="202">
        <v>265</v>
      </c>
      <c r="M16" s="343">
        <f t="shared" ref="M16:M21" si="5">SUM(C16:L16)</f>
        <v>8078</v>
      </c>
    </row>
    <row r="17" spans="1:13" s="3" customFormat="1" ht="15" customHeight="1" x14ac:dyDescent="0.25">
      <c r="A17" s="29" t="s">
        <v>4</v>
      </c>
      <c r="B17" s="310">
        <f t="shared" ref="B17:B22" si="6">B16+1</f>
        <v>43529</v>
      </c>
      <c r="C17" s="236">
        <v>391</v>
      </c>
      <c r="D17" s="236">
        <v>184</v>
      </c>
      <c r="E17" s="264">
        <v>246</v>
      </c>
      <c r="F17" s="276">
        <v>3182</v>
      </c>
      <c r="G17" s="236">
        <v>2516</v>
      </c>
      <c r="H17" s="264">
        <v>431</v>
      </c>
      <c r="I17" s="276">
        <v>934</v>
      </c>
      <c r="J17" s="236">
        <v>519</v>
      </c>
      <c r="K17" s="264">
        <v>2434</v>
      </c>
      <c r="L17" s="202">
        <v>371</v>
      </c>
      <c r="M17" s="343">
        <f t="shared" si="5"/>
        <v>11208</v>
      </c>
    </row>
    <row r="18" spans="1:13" s="3" customFormat="1" ht="15" customHeight="1" x14ac:dyDescent="0.25">
      <c r="A18" s="29" t="s">
        <v>5</v>
      </c>
      <c r="B18" s="310">
        <f t="shared" si="6"/>
        <v>43530</v>
      </c>
      <c r="C18" s="236">
        <v>389</v>
      </c>
      <c r="D18" s="236">
        <v>179</v>
      </c>
      <c r="E18" s="264">
        <v>261</v>
      </c>
      <c r="F18" s="276">
        <v>3413</v>
      </c>
      <c r="G18" s="236">
        <v>2452</v>
      </c>
      <c r="H18" s="264">
        <v>385</v>
      </c>
      <c r="I18" s="276">
        <v>856</v>
      </c>
      <c r="J18" s="236">
        <v>527</v>
      </c>
      <c r="K18" s="264">
        <v>2249</v>
      </c>
      <c r="L18" s="202">
        <v>330</v>
      </c>
      <c r="M18" s="343">
        <f t="shared" si="5"/>
        <v>11041</v>
      </c>
    </row>
    <row r="19" spans="1:13" s="3" customFormat="1" ht="15" customHeight="1" x14ac:dyDescent="0.25">
      <c r="A19" s="29" t="s">
        <v>6</v>
      </c>
      <c r="B19" s="311">
        <f t="shared" si="6"/>
        <v>43531</v>
      </c>
      <c r="C19" s="236">
        <v>418</v>
      </c>
      <c r="D19" s="236">
        <v>164</v>
      </c>
      <c r="E19" s="264">
        <v>253</v>
      </c>
      <c r="F19" s="276">
        <v>3417</v>
      </c>
      <c r="G19" s="236">
        <v>2547</v>
      </c>
      <c r="H19" s="264">
        <v>401</v>
      </c>
      <c r="I19" s="276">
        <v>793</v>
      </c>
      <c r="J19" s="236">
        <v>485</v>
      </c>
      <c r="K19" s="264">
        <v>2309</v>
      </c>
      <c r="L19" s="202">
        <v>365</v>
      </c>
      <c r="M19" s="343">
        <f t="shared" si="5"/>
        <v>11152</v>
      </c>
    </row>
    <row r="20" spans="1:13" s="3" customFormat="1" ht="15" customHeight="1" x14ac:dyDescent="0.25">
      <c r="A20" s="29" t="s">
        <v>0</v>
      </c>
      <c r="B20" s="311">
        <f t="shared" si="6"/>
        <v>43532</v>
      </c>
      <c r="C20" s="236">
        <v>371</v>
      </c>
      <c r="D20" s="236">
        <v>154</v>
      </c>
      <c r="E20" s="264">
        <v>271</v>
      </c>
      <c r="F20" s="276">
        <v>3207</v>
      </c>
      <c r="G20" s="236">
        <v>2140</v>
      </c>
      <c r="H20" s="264">
        <v>419</v>
      </c>
      <c r="I20" s="276">
        <v>762</v>
      </c>
      <c r="J20" s="236">
        <v>343</v>
      </c>
      <c r="K20" s="264">
        <v>1910</v>
      </c>
      <c r="L20" s="202">
        <v>322</v>
      </c>
      <c r="M20" s="343">
        <f t="shared" si="5"/>
        <v>9899</v>
      </c>
    </row>
    <row r="21" spans="1:13" s="3" customFormat="1" ht="15" customHeight="1" outlineLevel="1" x14ac:dyDescent="0.25">
      <c r="A21" s="29" t="s">
        <v>1</v>
      </c>
      <c r="B21" s="305">
        <f t="shared" si="6"/>
        <v>43533</v>
      </c>
      <c r="C21" s="236">
        <v>117</v>
      </c>
      <c r="D21" s="159">
        <v>111</v>
      </c>
      <c r="E21" s="264">
        <v>84</v>
      </c>
      <c r="F21" s="276">
        <v>2147</v>
      </c>
      <c r="G21" s="236">
        <v>370</v>
      </c>
      <c r="H21" s="264">
        <v>14561</v>
      </c>
      <c r="I21" s="276"/>
      <c r="J21" s="236"/>
      <c r="K21" s="264"/>
      <c r="L21" s="202"/>
      <c r="M21" s="343">
        <f t="shared" si="5"/>
        <v>17390</v>
      </c>
    </row>
    <row r="22" spans="1:13" s="3" customFormat="1" ht="15" customHeight="1" outlineLevel="1" thickBot="1" x14ac:dyDescent="0.3">
      <c r="A22" s="29" t="s">
        <v>2</v>
      </c>
      <c r="B22" s="310">
        <f t="shared" si="6"/>
        <v>43534</v>
      </c>
      <c r="C22" s="236">
        <v>42</v>
      </c>
      <c r="D22" s="236">
        <v>45</v>
      </c>
      <c r="E22" s="264">
        <v>27</v>
      </c>
      <c r="F22" s="276">
        <v>943</v>
      </c>
      <c r="G22" s="236">
        <v>86</v>
      </c>
      <c r="H22" s="264">
        <v>7170</v>
      </c>
      <c r="I22" s="276"/>
      <c r="J22" s="236"/>
      <c r="K22" s="264"/>
      <c r="L22" s="202"/>
      <c r="M22" s="343">
        <f>SUM(C22:L22)</f>
        <v>8313</v>
      </c>
    </row>
    <row r="23" spans="1:13" s="3" customFormat="1" ht="15" customHeight="1" outlineLevel="1" thickBot="1" x14ac:dyDescent="0.3">
      <c r="A23" s="164" t="s">
        <v>21</v>
      </c>
      <c r="B23" s="493" t="s">
        <v>25</v>
      </c>
      <c r="C23" s="256">
        <f>SUM(C16:C22)</f>
        <v>1999</v>
      </c>
      <c r="D23" s="256">
        <f>SUM(D16:D22)</f>
        <v>1020</v>
      </c>
      <c r="E23" s="334">
        <f>SUM(E16:E22)</f>
        <v>1382</v>
      </c>
      <c r="F23" s="277">
        <f t="shared" ref="F23:L23" si="7">SUM(F16:F22)</f>
        <v>18732</v>
      </c>
      <c r="G23" s="256">
        <f t="shared" si="7"/>
        <v>11766</v>
      </c>
      <c r="H23" s="334">
        <f>SUM(H16:H22)</f>
        <v>23730</v>
      </c>
      <c r="I23" s="277">
        <f t="shared" si="7"/>
        <v>4181</v>
      </c>
      <c r="J23" s="256">
        <f t="shared" si="7"/>
        <v>2384</v>
      </c>
      <c r="K23" s="334">
        <f t="shared" si="7"/>
        <v>10234</v>
      </c>
      <c r="L23" s="341">
        <f t="shared" si="7"/>
        <v>1653</v>
      </c>
      <c r="M23" s="339">
        <f>SUM(M16:M22)</f>
        <v>77081</v>
      </c>
    </row>
    <row r="24" spans="1:13" s="3" customFormat="1" ht="15" customHeight="1" outlineLevel="1" thickBot="1" x14ac:dyDescent="0.3">
      <c r="A24" s="114" t="s">
        <v>23</v>
      </c>
      <c r="B24" s="494"/>
      <c r="C24" s="256">
        <f>AVERAGE(C16:C22)</f>
        <v>285.57142857142856</v>
      </c>
      <c r="D24" s="256">
        <f>AVERAGE(D16:D22)</f>
        <v>145.71428571428572</v>
      </c>
      <c r="E24" s="334">
        <f>AVERAGE(E16:E22)</f>
        <v>197.42857142857142</v>
      </c>
      <c r="F24" s="277">
        <f t="shared" ref="F24:M24" si="8">AVERAGE(F16:F22)</f>
        <v>2676</v>
      </c>
      <c r="G24" s="256">
        <f t="shared" si="8"/>
        <v>1680.8571428571429</v>
      </c>
      <c r="H24" s="334">
        <f>AVERAGE(H16:H22)</f>
        <v>3390</v>
      </c>
      <c r="I24" s="277">
        <f t="shared" si="8"/>
        <v>836.2</v>
      </c>
      <c r="J24" s="256">
        <f t="shared" si="8"/>
        <v>476.8</v>
      </c>
      <c r="K24" s="334">
        <f t="shared" si="8"/>
        <v>2046.8</v>
      </c>
      <c r="L24" s="341">
        <f t="shared" si="8"/>
        <v>330.6</v>
      </c>
      <c r="M24" s="339">
        <f t="shared" si="8"/>
        <v>11011.571428571429</v>
      </c>
    </row>
    <row r="25" spans="1:13" s="3" customFormat="1" ht="15" customHeight="1" thickBot="1" x14ac:dyDescent="0.3">
      <c r="A25" s="30" t="s">
        <v>20</v>
      </c>
      <c r="B25" s="494"/>
      <c r="C25" s="257">
        <f>SUM(C16:C20)</f>
        <v>1840</v>
      </c>
      <c r="D25" s="257">
        <f>SUM(D16:D20)</f>
        <v>864</v>
      </c>
      <c r="E25" s="335">
        <f>SUM(E16:E20)</f>
        <v>1271</v>
      </c>
      <c r="F25" s="279">
        <f t="shared" ref="F25:L25" si="9">SUM(F16:F20)</f>
        <v>15642</v>
      </c>
      <c r="G25" s="257">
        <f>SUM(G16:G20)</f>
        <v>11310</v>
      </c>
      <c r="H25" s="335">
        <f>SUM(H16:H20)</f>
        <v>1999</v>
      </c>
      <c r="I25" s="279">
        <f>SUM(I16:I20)</f>
        <v>4181</v>
      </c>
      <c r="J25" s="257">
        <f t="shared" si="9"/>
        <v>2384</v>
      </c>
      <c r="K25" s="335">
        <f>SUM(K16:K20)</f>
        <v>10234</v>
      </c>
      <c r="L25" s="342">
        <f t="shared" si="9"/>
        <v>1653</v>
      </c>
      <c r="M25" s="340">
        <f>SUM(M16:M20)</f>
        <v>51378</v>
      </c>
    </row>
    <row r="26" spans="1:13" s="3" customFormat="1" ht="15" customHeight="1" thickBot="1" x14ac:dyDescent="0.3">
      <c r="A26" s="30" t="s">
        <v>22</v>
      </c>
      <c r="B26" s="502"/>
      <c r="C26" s="257">
        <f>AVERAGE(C16:C20)</f>
        <v>368</v>
      </c>
      <c r="D26" s="257">
        <f>AVERAGE(D11:D19)</f>
        <v>184.88888888888889</v>
      </c>
      <c r="E26" s="335">
        <f>AVERAGE(E16:E20)</f>
        <v>254.2</v>
      </c>
      <c r="F26" s="279">
        <f t="shared" ref="F26:M26" si="10">AVERAGE(F16:F20)</f>
        <v>3128.4</v>
      </c>
      <c r="G26" s="257">
        <f t="shared" si="10"/>
        <v>2262</v>
      </c>
      <c r="H26" s="335">
        <f>AVERAGE(H16:H20)</f>
        <v>399.8</v>
      </c>
      <c r="I26" s="279">
        <f>AVERAGE(I16:I20)</f>
        <v>836.2</v>
      </c>
      <c r="J26" s="257">
        <f t="shared" si="10"/>
        <v>476.8</v>
      </c>
      <c r="K26" s="335">
        <f t="shared" si="10"/>
        <v>2046.8</v>
      </c>
      <c r="L26" s="342">
        <f t="shared" si="10"/>
        <v>330.6</v>
      </c>
      <c r="M26" s="340">
        <f t="shared" si="10"/>
        <v>10275.6</v>
      </c>
    </row>
    <row r="27" spans="1:13" s="3" customFormat="1" ht="15" customHeight="1" x14ac:dyDescent="0.25">
      <c r="A27" s="29" t="s">
        <v>3</v>
      </c>
      <c r="B27" s="312">
        <f>B22+1</f>
        <v>43535</v>
      </c>
      <c r="C27" s="236">
        <v>377</v>
      </c>
      <c r="D27" s="236">
        <v>200</v>
      </c>
      <c r="E27" s="264">
        <v>285</v>
      </c>
      <c r="F27" s="276">
        <v>3589</v>
      </c>
      <c r="G27" s="236">
        <v>2171</v>
      </c>
      <c r="H27" s="264">
        <v>452</v>
      </c>
      <c r="I27" s="276">
        <v>806</v>
      </c>
      <c r="J27" s="236">
        <v>521</v>
      </c>
      <c r="K27" s="264">
        <v>2351</v>
      </c>
      <c r="L27" s="202">
        <v>384</v>
      </c>
      <c r="M27" s="343">
        <f t="shared" ref="M27:M33" si="11">SUM(C27:L27)</f>
        <v>11136</v>
      </c>
    </row>
    <row r="28" spans="1:13" s="3" customFormat="1" ht="15" customHeight="1" x14ac:dyDescent="0.25">
      <c r="A28" s="29" t="s">
        <v>4</v>
      </c>
      <c r="B28" s="299">
        <f t="shared" ref="B28:B33" si="12">B27+1</f>
        <v>43536</v>
      </c>
      <c r="C28" s="301">
        <v>373</v>
      </c>
      <c r="D28" s="236">
        <v>212</v>
      </c>
      <c r="E28" s="264">
        <v>251</v>
      </c>
      <c r="F28" s="276">
        <v>3586</v>
      </c>
      <c r="G28" s="236">
        <v>2573</v>
      </c>
      <c r="H28" s="264">
        <v>401</v>
      </c>
      <c r="I28" s="276">
        <v>813</v>
      </c>
      <c r="J28" s="236">
        <v>561</v>
      </c>
      <c r="K28" s="264">
        <v>2456</v>
      </c>
      <c r="L28" s="202">
        <v>369</v>
      </c>
      <c r="M28" s="343">
        <f t="shared" si="11"/>
        <v>11595</v>
      </c>
    </row>
    <row r="29" spans="1:13" s="3" customFormat="1" ht="15" customHeight="1" x14ac:dyDescent="0.25">
      <c r="A29" s="29" t="s">
        <v>5</v>
      </c>
      <c r="B29" s="299">
        <f t="shared" si="12"/>
        <v>43537</v>
      </c>
      <c r="C29" s="301">
        <v>337</v>
      </c>
      <c r="D29" s="236">
        <v>213</v>
      </c>
      <c r="E29" s="264">
        <v>268</v>
      </c>
      <c r="F29" s="276">
        <v>3444</v>
      </c>
      <c r="G29" s="236">
        <v>2577</v>
      </c>
      <c r="H29" s="264">
        <v>448</v>
      </c>
      <c r="I29" s="276">
        <v>727</v>
      </c>
      <c r="J29" s="236">
        <v>416</v>
      </c>
      <c r="K29" s="264">
        <v>2331</v>
      </c>
      <c r="L29" s="202">
        <v>377</v>
      </c>
      <c r="M29" s="343">
        <f t="shared" si="11"/>
        <v>11138</v>
      </c>
    </row>
    <row r="30" spans="1:13" s="3" customFormat="1" ht="15" customHeight="1" x14ac:dyDescent="0.25">
      <c r="A30" s="29" t="s">
        <v>6</v>
      </c>
      <c r="B30" s="299">
        <f t="shared" si="12"/>
        <v>43538</v>
      </c>
      <c r="C30" s="301">
        <v>410</v>
      </c>
      <c r="D30" s="236">
        <v>238</v>
      </c>
      <c r="E30" s="264">
        <v>290</v>
      </c>
      <c r="F30" s="276">
        <v>3354</v>
      </c>
      <c r="G30" s="236">
        <v>2622</v>
      </c>
      <c r="H30" s="264">
        <v>475</v>
      </c>
      <c r="I30" s="276">
        <v>840</v>
      </c>
      <c r="J30" s="236">
        <v>499</v>
      </c>
      <c r="K30" s="264">
        <v>2353</v>
      </c>
      <c r="L30" s="202">
        <v>375</v>
      </c>
      <c r="M30" s="343">
        <f t="shared" si="11"/>
        <v>11456</v>
      </c>
    </row>
    <row r="31" spans="1:13" s="3" customFormat="1" ht="15" customHeight="1" x14ac:dyDescent="0.25">
      <c r="A31" s="29" t="s">
        <v>0</v>
      </c>
      <c r="B31" s="299">
        <f t="shared" si="12"/>
        <v>43539</v>
      </c>
      <c r="C31" s="301">
        <v>321</v>
      </c>
      <c r="D31" s="236">
        <v>160</v>
      </c>
      <c r="E31" s="264">
        <v>229</v>
      </c>
      <c r="F31" s="276">
        <v>3605</v>
      </c>
      <c r="G31" s="236">
        <v>2179</v>
      </c>
      <c r="H31" s="264">
        <v>466</v>
      </c>
      <c r="I31" s="276">
        <v>672</v>
      </c>
      <c r="J31" s="236">
        <v>364</v>
      </c>
      <c r="K31" s="264">
        <v>1983</v>
      </c>
      <c r="L31" s="202">
        <v>291</v>
      </c>
      <c r="M31" s="343">
        <f t="shared" si="11"/>
        <v>10270</v>
      </c>
    </row>
    <row r="32" spans="1:13" s="3" customFormat="1" ht="15" customHeight="1" outlineLevel="1" x14ac:dyDescent="0.25">
      <c r="A32" s="29" t="s">
        <v>1</v>
      </c>
      <c r="B32" s="299">
        <f t="shared" si="12"/>
        <v>43540</v>
      </c>
      <c r="C32" s="236">
        <v>268</v>
      </c>
      <c r="D32" s="236">
        <v>195</v>
      </c>
      <c r="E32" s="264">
        <v>168</v>
      </c>
      <c r="F32" s="276">
        <v>2329</v>
      </c>
      <c r="G32" s="236">
        <v>460</v>
      </c>
      <c r="H32" s="264">
        <v>16258</v>
      </c>
      <c r="I32" s="276"/>
      <c r="J32" s="236"/>
      <c r="K32" s="264"/>
      <c r="L32" s="202"/>
      <c r="M32" s="343">
        <f t="shared" si="11"/>
        <v>19678</v>
      </c>
    </row>
    <row r="33" spans="1:14" s="3" customFormat="1" ht="15" customHeight="1" outlineLevel="1" thickBot="1" x14ac:dyDescent="0.3">
      <c r="A33" s="29" t="s">
        <v>2</v>
      </c>
      <c r="B33" s="299">
        <f t="shared" si="12"/>
        <v>43541</v>
      </c>
      <c r="C33" s="236">
        <v>95</v>
      </c>
      <c r="D33" s="159">
        <v>152</v>
      </c>
      <c r="E33" s="264">
        <v>98</v>
      </c>
      <c r="F33" s="236">
        <v>2047</v>
      </c>
      <c r="G33" s="236">
        <v>222</v>
      </c>
      <c r="H33" s="264">
        <v>11602</v>
      </c>
      <c r="I33" s="276"/>
      <c r="J33" s="236"/>
      <c r="K33" s="264"/>
      <c r="L33" s="202"/>
      <c r="M33" s="343">
        <f t="shared" si="11"/>
        <v>14216</v>
      </c>
    </row>
    <row r="34" spans="1:14" s="3" customFormat="1" ht="15" customHeight="1" outlineLevel="1" thickBot="1" x14ac:dyDescent="0.3">
      <c r="A34" s="164" t="s">
        <v>21</v>
      </c>
      <c r="B34" s="493" t="s">
        <v>26</v>
      </c>
      <c r="C34" s="256">
        <f t="shared" ref="C34:M34" si="13">SUM(C27:C33)</f>
        <v>2181</v>
      </c>
      <c r="D34" s="256">
        <f t="shared" si="13"/>
        <v>1370</v>
      </c>
      <c r="E34" s="334">
        <f>SUM(E27:E33)</f>
        <v>1589</v>
      </c>
      <c r="F34" s="277">
        <f t="shared" si="13"/>
        <v>21954</v>
      </c>
      <c r="G34" s="256">
        <f t="shared" si="13"/>
        <v>12804</v>
      </c>
      <c r="H34" s="334">
        <f t="shared" si="13"/>
        <v>30102</v>
      </c>
      <c r="I34" s="277">
        <f t="shared" si="13"/>
        <v>3858</v>
      </c>
      <c r="J34" s="256">
        <f t="shared" si="13"/>
        <v>2361</v>
      </c>
      <c r="K34" s="334">
        <f t="shared" si="13"/>
        <v>11474</v>
      </c>
      <c r="L34" s="341">
        <f t="shared" si="13"/>
        <v>1796</v>
      </c>
      <c r="M34" s="339">
        <f t="shared" si="13"/>
        <v>89489</v>
      </c>
    </row>
    <row r="35" spans="1:14" s="3" customFormat="1" ht="15" customHeight="1" outlineLevel="1" thickBot="1" x14ac:dyDescent="0.3">
      <c r="A35" s="114" t="s">
        <v>23</v>
      </c>
      <c r="B35" s="494"/>
      <c r="C35" s="256">
        <f t="shared" ref="C35:M35" si="14">AVERAGE(C27:C33)</f>
        <v>311.57142857142856</v>
      </c>
      <c r="D35" s="256">
        <f t="shared" si="14"/>
        <v>195.71428571428572</v>
      </c>
      <c r="E35" s="334">
        <f t="shared" si="14"/>
        <v>227</v>
      </c>
      <c r="F35" s="277">
        <f t="shared" si="14"/>
        <v>3136.2857142857142</v>
      </c>
      <c r="G35" s="256">
        <f t="shared" si="14"/>
        <v>1829.1428571428571</v>
      </c>
      <c r="H35" s="334">
        <f t="shared" si="14"/>
        <v>4300.2857142857147</v>
      </c>
      <c r="I35" s="277">
        <f t="shared" si="14"/>
        <v>771.6</v>
      </c>
      <c r="J35" s="256">
        <f t="shared" si="14"/>
        <v>472.2</v>
      </c>
      <c r="K35" s="334">
        <f t="shared" si="14"/>
        <v>2294.8000000000002</v>
      </c>
      <c r="L35" s="341">
        <f t="shared" si="14"/>
        <v>359.2</v>
      </c>
      <c r="M35" s="339">
        <f t="shared" si="14"/>
        <v>12784.142857142857</v>
      </c>
    </row>
    <row r="36" spans="1:14" s="3" customFormat="1" ht="15" customHeight="1" thickBot="1" x14ac:dyDescent="0.3">
      <c r="A36" s="30" t="s">
        <v>20</v>
      </c>
      <c r="B36" s="494"/>
      <c r="C36" s="257">
        <f t="shared" ref="C36:M36" si="15">SUM(C27:C31)</f>
        <v>1818</v>
      </c>
      <c r="D36" s="257">
        <f t="shared" si="15"/>
        <v>1023</v>
      </c>
      <c r="E36" s="335">
        <f t="shared" si="15"/>
        <v>1323</v>
      </c>
      <c r="F36" s="279">
        <f t="shared" si="15"/>
        <v>17578</v>
      </c>
      <c r="G36" s="257">
        <f t="shared" si="15"/>
        <v>12122</v>
      </c>
      <c r="H36" s="335">
        <f t="shared" si="15"/>
        <v>2242</v>
      </c>
      <c r="I36" s="279">
        <f t="shared" si="15"/>
        <v>3858</v>
      </c>
      <c r="J36" s="257">
        <f t="shared" si="15"/>
        <v>2361</v>
      </c>
      <c r="K36" s="335">
        <f t="shared" si="15"/>
        <v>11474</v>
      </c>
      <c r="L36" s="342">
        <f t="shared" si="15"/>
        <v>1796</v>
      </c>
      <c r="M36" s="340">
        <f t="shared" si="15"/>
        <v>55595</v>
      </c>
      <c r="N36" s="213"/>
    </row>
    <row r="37" spans="1:14" s="3" customFormat="1" ht="15" customHeight="1" thickBot="1" x14ac:dyDescent="0.3">
      <c r="A37" s="30" t="s">
        <v>22</v>
      </c>
      <c r="B37" s="502"/>
      <c r="C37" s="257">
        <f>AVERAGE(C27:C31)</f>
        <v>363.6</v>
      </c>
      <c r="D37" s="257">
        <f t="shared" ref="D37:M37" si="16">AVERAGE(D27:D31)</f>
        <v>204.6</v>
      </c>
      <c r="E37" s="335">
        <f>AVERAGE(E27:E31)</f>
        <v>264.60000000000002</v>
      </c>
      <c r="F37" s="279">
        <f>AVERAGE(F27:F31)</f>
        <v>3515.6</v>
      </c>
      <c r="G37" s="257">
        <f t="shared" si="16"/>
        <v>2424.4</v>
      </c>
      <c r="H37" s="335">
        <f>AVERAGE(H27:H31)</f>
        <v>448.4</v>
      </c>
      <c r="I37" s="279">
        <f t="shared" si="16"/>
        <v>771.6</v>
      </c>
      <c r="J37" s="257">
        <f t="shared" si="16"/>
        <v>472.2</v>
      </c>
      <c r="K37" s="335">
        <f t="shared" si="16"/>
        <v>2294.8000000000002</v>
      </c>
      <c r="L37" s="342">
        <f t="shared" si="16"/>
        <v>359.2</v>
      </c>
      <c r="M37" s="340">
        <f t="shared" si="16"/>
        <v>11119</v>
      </c>
    </row>
    <row r="38" spans="1:14" s="3" customFormat="1" ht="15" customHeight="1" x14ac:dyDescent="0.25">
      <c r="A38" s="29" t="s">
        <v>3</v>
      </c>
      <c r="B38" s="313">
        <f>B33+1</f>
        <v>43542</v>
      </c>
      <c r="C38" s="236">
        <v>404</v>
      </c>
      <c r="D38" s="236">
        <v>204</v>
      </c>
      <c r="E38" s="264">
        <v>293</v>
      </c>
      <c r="F38" s="276">
        <v>3336</v>
      </c>
      <c r="G38" s="236">
        <v>2574</v>
      </c>
      <c r="H38" s="264">
        <v>415</v>
      </c>
      <c r="I38" s="276">
        <v>817</v>
      </c>
      <c r="J38" s="236">
        <v>493</v>
      </c>
      <c r="K38" s="264">
        <v>2269</v>
      </c>
      <c r="L38" s="202">
        <v>370</v>
      </c>
      <c r="M38" s="343">
        <f t="shared" ref="M38:M44" si="17">SUM(C38:L38)</f>
        <v>11175</v>
      </c>
    </row>
    <row r="39" spans="1:14" s="3" customFormat="1" ht="15" customHeight="1" x14ac:dyDescent="0.25">
      <c r="A39" s="29" t="s">
        <v>4</v>
      </c>
      <c r="B39" s="314">
        <f t="shared" ref="B39:B44" si="18">B38+1</f>
        <v>43543</v>
      </c>
      <c r="C39" s="236">
        <v>346</v>
      </c>
      <c r="D39" s="236">
        <v>216</v>
      </c>
      <c r="E39" s="264">
        <v>293</v>
      </c>
      <c r="F39" s="276">
        <v>3645</v>
      </c>
      <c r="G39" s="236">
        <v>2691</v>
      </c>
      <c r="H39" s="264">
        <v>415</v>
      </c>
      <c r="I39" s="276">
        <v>840</v>
      </c>
      <c r="J39" s="236">
        <v>518</v>
      </c>
      <c r="K39" s="264">
        <v>2662</v>
      </c>
      <c r="L39" s="202">
        <v>350</v>
      </c>
      <c r="M39" s="343">
        <f t="shared" si="17"/>
        <v>11976</v>
      </c>
    </row>
    <row r="40" spans="1:14" s="3" customFormat="1" ht="15" customHeight="1" x14ac:dyDescent="0.25">
      <c r="A40" s="29" t="s">
        <v>5</v>
      </c>
      <c r="B40" s="314">
        <f t="shared" si="18"/>
        <v>43544</v>
      </c>
      <c r="C40" s="236">
        <v>406</v>
      </c>
      <c r="D40" s="236">
        <v>206</v>
      </c>
      <c r="E40" s="264">
        <v>323</v>
      </c>
      <c r="F40" s="276">
        <v>3589</v>
      </c>
      <c r="G40" s="236">
        <v>2591</v>
      </c>
      <c r="H40" s="264">
        <v>487</v>
      </c>
      <c r="I40" s="276">
        <v>831</v>
      </c>
      <c r="J40" s="236">
        <v>554</v>
      </c>
      <c r="K40" s="264">
        <v>2472</v>
      </c>
      <c r="L40" s="202">
        <v>343</v>
      </c>
      <c r="M40" s="343">
        <f t="shared" si="17"/>
        <v>11802</v>
      </c>
    </row>
    <row r="41" spans="1:14" s="3" customFormat="1" ht="15" customHeight="1" x14ac:dyDescent="0.25">
      <c r="A41" s="29" t="s">
        <v>6</v>
      </c>
      <c r="B41" s="314">
        <f t="shared" si="18"/>
        <v>43545</v>
      </c>
      <c r="C41" s="236">
        <v>360</v>
      </c>
      <c r="D41" s="236">
        <v>193</v>
      </c>
      <c r="E41" s="264">
        <v>286</v>
      </c>
      <c r="F41" s="276">
        <v>3290</v>
      </c>
      <c r="G41" s="236">
        <v>2294</v>
      </c>
      <c r="H41" s="264">
        <v>364</v>
      </c>
      <c r="I41" s="276">
        <v>833</v>
      </c>
      <c r="J41" s="236">
        <v>411</v>
      </c>
      <c r="K41" s="264">
        <v>2329</v>
      </c>
      <c r="L41" s="202">
        <v>364</v>
      </c>
      <c r="M41" s="343">
        <f t="shared" si="17"/>
        <v>10724</v>
      </c>
    </row>
    <row r="42" spans="1:14" s="3" customFormat="1" ht="15" customHeight="1" x14ac:dyDescent="0.25">
      <c r="A42" s="29" t="s">
        <v>0</v>
      </c>
      <c r="B42" s="314">
        <f t="shared" si="18"/>
        <v>43546</v>
      </c>
      <c r="C42" s="236">
        <v>341</v>
      </c>
      <c r="D42" s="236">
        <v>210</v>
      </c>
      <c r="E42" s="264">
        <v>234</v>
      </c>
      <c r="F42" s="276">
        <v>3234</v>
      </c>
      <c r="G42" s="236">
        <v>1679</v>
      </c>
      <c r="H42" s="264">
        <v>414</v>
      </c>
      <c r="I42" s="276">
        <v>751</v>
      </c>
      <c r="J42" s="236">
        <v>412</v>
      </c>
      <c r="K42" s="264">
        <v>1814</v>
      </c>
      <c r="L42" s="202">
        <v>450</v>
      </c>
      <c r="M42" s="343">
        <f t="shared" si="17"/>
        <v>9539</v>
      </c>
    </row>
    <row r="43" spans="1:14" s="3" customFormat="1" ht="15" customHeight="1" outlineLevel="1" x14ac:dyDescent="0.25">
      <c r="A43" s="29" t="s">
        <v>1</v>
      </c>
      <c r="B43" s="314">
        <f t="shared" si="18"/>
        <v>43547</v>
      </c>
      <c r="C43" s="236">
        <v>132</v>
      </c>
      <c r="D43" s="236">
        <v>213</v>
      </c>
      <c r="E43" s="264">
        <v>135</v>
      </c>
      <c r="F43" s="276">
        <v>2068</v>
      </c>
      <c r="G43" s="236">
        <v>338</v>
      </c>
      <c r="H43" s="264">
        <v>14618</v>
      </c>
      <c r="I43" s="276"/>
      <c r="J43" s="236"/>
      <c r="K43" s="264"/>
      <c r="L43" s="202"/>
      <c r="M43" s="343">
        <f t="shared" si="17"/>
        <v>17504</v>
      </c>
      <c r="N43" s="128"/>
    </row>
    <row r="44" spans="1:14" s="3" customFormat="1" ht="15" customHeight="1" outlineLevel="1" thickBot="1" x14ac:dyDescent="0.3">
      <c r="A44" s="29" t="s">
        <v>2</v>
      </c>
      <c r="B44" s="314">
        <f t="shared" si="18"/>
        <v>43548</v>
      </c>
      <c r="C44" s="236">
        <v>210</v>
      </c>
      <c r="D44" s="236">
        <v>199</v>
      </c>
      <c r="E44" s="264">
        <v>138</v>
      </c>
      <c r="F44" s="276">
        <v>2127</v>
      </c>
      <c r="G44" s="236">
        <v>367</v>
      </c>
      <c r="H44" s="264">
        <v>15108</v>
      </c>
      <c r="I44" s="276"/>
      <c r="J44" s="236"/>
      <c r="K44" s="264"/>
      <c r="L44" s="202"/>
      <c r="M44" s="343">
        <f t="shared" si="17"/>
        <v>18149</v>
      </c>
      <c r="N44" s="128"/>
    </row>
    <row r="45" spans="1:14" s="3" customFormat="1" ht="15" customHeight="1" outlineLevel="1" thickBot="1" x14ac:dyDescent="0.3">
      <c r="A45" s="164" t="s">
        <v>21</v>
      </c>
      <c r="B45" s="493" t="s">
        <v>27</v>
      </c>
      <c r="C45" s="256">
        <f t="shared" ref="C45:L45" si="19">SUM(C38:C44)</f>
        <v>2199</v>
      </c>
      <c r="D45" s="256">
        <f t="shared" si="19"/>
        <v>1441</v>
      </c>
      <c r="E45" s="334">
        <f>SUM(E38:E44)</f>
        <v>1702</v>
      </c>
      <c r="F45" s="277">
        <f>SUM(F38:F44)</f>
        <v>21289</v>
      </c>
      <c r="G45" s="256">
        <f t="shared" si="19"/>
        <v>12534</v>
      </c>
      <c r="H45" s="334">
        <f>SUM(H38:H44)</f>
        <v>31821</v>
      </c>
      <c r="I45" s="277">
        <f t="shared" si="19"/>
        <v>4072</v>
      </c>
      <c r="J45" s="256">
        <f t="shared" si="19"/>
        <v>2388</v>
      </c>
      <c r="K45" s="334">
        <f t="shared" si="19"/>
        <v>11546</v>
      </c>
      <c r="L45" s="341">
        <f t="shared" si="19"/>
        <v>1877</v>
      </c>
      <c r="M45" s="339">
        <f>SUM(M38:M44)</f>
        <v>90869</v>
      </c>
    </row>
    <row r="46" spans="1:14" s="3" customFormat="1" ht="15" customHeight="1" outlineLevel="1" thickBot="1" x14ac:dyDescent="0.3">
      <c r="A46" s="114" t="s">
        <v>23</v>
      </c>
      <c r="B46" s="494"/>
      <c r="C46" s="256">
        <f t="shared" ref="C46:M46" si="20">AVERAGE(C38:C44)</f>
        <v>314.14285714285717</v>
      </c>
      <c r="D46" s="256">
        <f t="shared" si="20"/>
        <v>205.85714285714286</v>
      </c>
      <c r="E46" s="334">
        <f>AVERAGE(E38:E44)</f>
        <v>243.14285714285714</v>
      </c>
      <c r="F46" s="277">
        <f>AVERAGE(F38:F44)</f>
        <v>3041.2857142857142</v>
      </c>
      <c r="G46" s="256">
        <f t="shared" si="20"/>
        <v>1790.5714285714287</v>
      </c>
      <c r="H46" s="334">
        <f>AVERAGE(H38:H44)</f>
        <v>4545.8571428571431</v>
      </c>
      <c r="I46" s="277">
        <f t="shared" si="20"/>
        <v>814.4</v>
      </c>
      <c r="J46" s="256">
        <f t="shared" si="20"/>
        <v>477.6</v>
      </c>
      <c r="K46" s="334">
        <f t="shared" si="20"/>
        <v>2309.1999999999998</v>
      </c>
      <c r="L46" s="341">
        <f t="shared" si="20"/>
        <v>375.4</v>
      </c>
      <c r="M46" s="339">
        <f t="shared" si="20"/>
        <v>12981.285714285714</v>
      </c>
    </row>
    <row r="47" spans="1:14" s="3" customFormat="1" ht="15" customHeight="1" thickBot="1" x14ac:dyDescent="0.3">
      <c r="A47" s="30" t="s">
        <v>20</v>
      </c>
      <c r="B47" s="494"/>
      <c r="C47" s="257">
        <f t="shared" ref="C47:I47" si="21">SUM(C38:C42)</f>
        <v>1857</v>
      </c>
      <c r="D47" s="257">
        <f t="shared" si="21"/>
        <v>1029</v>
      </c>
      <c r="E47" s="335">
        <f t="shared" si="21"/>
        <v>1429</v>
      </c>
      <c r="F47" s="279">
        <f t="shared" si="21"/>
        <v>17094</v>
      </c>
      <c r="G47" s="257">
        <f t="shared" si="21"/>
        <v>11829</v>
      </c>
      <c r="H47" s="335">
        <f t="shared" si="21"/>
        <v>2095</v>
      </c>
      <c r="I47" s="279">
        <f t="shared" si="21"/>
        <v>4072</v>
      </c>
      <c r="J47" s="257">
        <f t="shared" ref="J47:M47" si="22">SUM(J38:J42)</f>
        <v>2388</v>
      </c>
      <c r="K47" s="335">
        <f t="shared" si="22"/>
        <v>11546</v>
      </c>
      <c r="L47" s="342">
        <f t="shared" si="22"/>
        <v>1877</v>
      </c>
      <c r="M47" s="340">
        <f t="shared" si="22"/>
        <v>55216</v>
      </c>
    </row>
    <row r="48" spans="1:14" s="3" customFormat="1" ht="15" customHeight="1" thickBot="1" x14ac:dyDescent="0.3">
      <c r="A48" s="30" t="s">
        <v>22</v>
      </c>
      <c r="B48" s="502"/>
      <c r="C48" s="257">
        <f t="shared" ref="C48:M48" si="23">AVERAGE(C38:C42)</f>
        <v>371.4</v>
      </c>
      <c r="D48" s="257">
        <f>AVERAGE(D38:D42)</f>
        <v>205.8</v>
      </c>
      <c r="E48" s="335">
        <f>AVERAGE(E38:E42)</f>
        <v>285.8</v>
      </c>
      <c r="F48" s="279">
        <f>AVERAGE(F38:F42)</f>
        <v>3418.8</v>
      </c>
      <c r="G48" s="257">
        <f t="shared" si="23"/>
        <v>2365.8000000000002</v>
      </c>
      <c r="H48" s="335">
        <f>AVERAGE(H38:H42)</f>
        <v>419</v>
      </c>
      <c r="I48" s="279">
        <f>AVERAGE(I38:I42)</f>
        <v>814.4</v>
      </c>
      <c r="J48" s="257">
        <f t="shared" si="23"/>
        <v>477.6</v>
      </c>
      <c r="K48" s="335">
        <f t="shared" si="23"/>
        <v>2309.1999999999998</v>
      </c>
      <c r="L48" s="342">
        <f t="shared" si="23"/>
        <v>375.4</v>
      </c>
      <c r="M48" s="340">
        <f t="shared" si="23"/>
        <v>11043.2</v>
      </c>
    </row>
    <row r="49" spans="1:13" s="3" customFormat="1" ht="15" customHeight="1" x14ac:dyDescent="0.25">
      <c r="A49" s="29" t="s">
        <v>3</v>
      </c>
      <c r="B49" s="313">
        <f>B44+1</f>
        <v>43549</v>
      </c>
      <c r="C49" s="236">
        <v>362</v>
      </c>
      <c r="D49" s="236">
        <v>204</v>
      </c>
      <c r="E49" s="198">
        <v>265</v>
      </c>
      <c r="F49" s="276">
        <v>3340</v>
      </c>
      <c r="G49" s="236">
        <v>2651</v>
      </c>
      <c r="H49" s="264">
        <v>463</v>
      </c>
      <c r="I49" s="276">
        <v>772</v>
      </c>
      <c r="J49" s="236">
        <v>517</v>
      </c>
      <c r="K49" s="264">
        <v>2252</v>
      </c>
      <c r="L49" s="202">
        <v>350</v>
      </c>
      <c r="M49" s="343">
        <f t="shared" ref="M49:M55" si="24">SUM(C49:L49)</f>
        <v>11176</v>
      </c>
    </row>
    <row r="50" spans="1:13" s="3" customFormat="1" ht="15" customHeight="1" x14ac:dyDescent="0.25">
      <c r="A50" s="155" t="s">
        <v>4</v>
      </c>
      <c r="B50" s="314">
        <f t="shared" ref="B50:B55" si="25">B49+1</f>
        <v>43550</v>
      </c>
      <c r="C50" s="236">
        <v>416</v>
      </c>
      <c r="D50" s="236">
        <v>205</v>
      </c>
      <c r="E50" s="198">
        <v>299</v>
      </c>
      <c r="F50" s="276">
        <v>3669</v>
      </c>
      <c r="G50" s="236">
        <v>2438</v>
      </c>
      <c r="H50" s="264">
        <v>424</v>
      </c>
      <c r="I50" s="276">
        <v>849</v>
      </c>
      <c r="J50" s="236">
        <v>617</v>
      </c>
      <c r="K50" s="264">
        <v>2355</v>
      </c>
      <c r="L50" s="202">
        <v>372</v>
      </c>
      <c r="M50" s="343">
        <f t="shared" si="24"/>
        <v>11644</v>
      </c>
    </row>
    <row r="51" spans="1:13" s="3" customFormat="1" x14ac:dyDescent="0.25">
      <c r="A51" s="155" t="s">
        <v>5</v>
      </c>
      <c r="B51" s="314">
        <f t="shared" si="25"/>
        <v>43551</v>
      </c>
      <c r="C51" s="236">
        <v>356</v>
      </c>
      <c r="D51" s="236">
        <v>175</v>
      </c>
      <c r="E51" s="198">
        <v>265</v>
      </c>
      <c r="F51" s="276">
        <v>3591</v>
      </c>
      <c r="G51" s="236">
        <v>2564</v>
      </c>
      <c r="H51" s="264">
        <v>420</v>
      </c>
      <c r="I51" s="276">
        <v>906</v>
      </c>
      <c r="J51" s="236">
        <v>543</v>
      </c>
      <c r="K51" s="264">
        <v>2426</v>
      </c>
      <c r="L51" s="202">
        <v>349</v>
      </c>
      <c r="M51" s="343">
        <f t="shared" si="24"/>
        <v>11595</v>
      </c>
    </row>
    <row r="52" spans="1:13" s="3" customFormat="1" x14ac:dyDescent="0.25">
      <c r="A52" s="155" t="s">
        <v>6</v>
      </c>
      <c r="B52" s="314">
        <f t="shared" si="25"/>
        <v>43552</v>
      </c>
      <c r="C52" s="236">
        <v>364</v>
      </c>
      <c r="D52" s="236">
        <v>214</v>
      </c>
      <c r="E52" s="198">
        <v>295</v>
      </c>
      <c r="F52" s="276">
        <v>3804</v>
      </c>
      <c r="G52" s="236">
        <v>2461</v>
      </c>
      <c r="H52" s="264">
        <v>445</v>
      </c>
      <c r="I52" s="276">
        <v>972</v>
      </c>
      <c r="J52" s="236">
        <v>510</v>
      </c>
      <c r="K52" s="264">
        <v>2237</v>
      </c>
      <c r="L52" s="202">
        <v>372</v>
      </c>
      <c r="M52" s="343">
        <f t="shared" si="24"/>
        <v>11674</v>
      </c>
    </row>
    <row r="53" spans="1:13" s="3" customFormat="1" x14ac:dyDescent="0.25">
      <c r="A53" s="29" t="s">
        <v>0</v>
      </c>
      <c r="B53" s="315">
        <f t="shared" si="25"/>
        <v>43553</v>
      </c>
      <c r="C53" s="236">
        <v>322</v>
      </c>
      <c r="D53" s="236">
        <v>180</v>
      </c>
      <c r="E53" s="198">
        <v>257</v>
      </c>
      <c r="F53" s="276">
        <v>3471</v>
      </c>
      <c r="G53" s="236">
        <v>2107</v>
      </c>
      <c r="H53" s="264">
        <v>469</v>
      </c>
      <c r="I53" s="276">
        <v>854</v>
      </c>
      <c r="J53" s="236">
        <v>447</v>
      </c>
      <c r="K53" s="264">
        <v>1961</v>
      </c>
      <c r="L53" s="202">
        <v>299</v>
      </c>
      <c r="M53" s="343">
        <f t="shared" si="24"/>
        <v>10367</v>
      </c>
    </row>
    <row r="54" spans="1:13" s="3" customFormat="1" outlineLevel="1" x14ac:dyDescent="0.25">
      <c r="A54" s="29" t="s">
        <v>1</v>
      </c>
      <c r="B54" s="315">
        <f t="shared" si="25"/>
        <v>43554</v>
      </c>
      <c r="C54" s="236">
        <v>225</v>
      </c>
      <c r="D54" s="236">
        <v>294</v>
      </c>
      <c r="E54" s="198">
        <v>224</v>
      </c>
      <c r="F54" s="276">
        <v>2542</v>
      </c>
      <c r="G54" s="236">
        <v>534</v>
      </c>
      <c r="H54" s="264">
        <v>23786</v>
      </c>
      <c r="I54" s="276"/>
      <c r="J54" s="236"/>
      <c r="K54" s="264"/>
      <c r="L54" s="202"/>
      <c r="M54" s="343">
        <f t="shared" si="24"/>
        <v>27605</v>
      </c>
    </row>
    <row r="55" spans="1:13" s="3" customFormat="1" ht="15.75" outlineLevel="1" thickBot="1" x14ac:dyDescent="0.3">
      <c r="A55" s="155" t="s">
        <v>2</v>
      </c>
      <c r="B55" s="315">
        <f t="shared" si="25"/>
        <v>43555</v>
      </c>
      <c r="C55" s="236">
        <v>48</v>
      </c>
      <c r="D55" s="236">
        <v>73</v>
      </c>
      <c r="E55" s="159">
        <v>78</v>
      </c>
      <c r="F55" s="276">
        <v>990</v>
      </c>
      <c r="G55" s="236">
        <v>158</v>
      </c>
      <c r="H55" s="264">
        <v>8831</v>
      </c>
      <c r="I55" s="276"/>
      <c r="J55" s="236"/>
      <c r="K55" s="264"/>
      <c r="L55" s="202"/>
      <c r="M55" s="343">
        <f t="shared" si="24"/>
        <v>10178</v>
      </c>
    </row>
    <row r="56" spans="1:13" s="3" customFormat="1" ht="15" customHeight="1" outlineLevel="1" thickBot="1" x14ac:dyDescent="0.3">
      <c r="A56" s="164" t="s">
        <v>21</v>
      </c>
      <c r="B56" s="493" t="s">
        <v>28</v>
      </c>
      <c r="C56" s="256">
        <f t="shared" ref="C56:M56" si="26">SUM(C49:C55)</f>
        <v>2093</v>
      </c>
      <c r="D56" s="256">
        <f t="shared" si="26"/>
        <v>1345</v>
      </c>
      <c r="E56" s="256">
        <f t="shared" si="26"/>
        <v>1683</v>
      </c>
      <c r="F56" s="277">
        <f t="shared" si="26"/>
        <v>21407</v>
      </c>
      <c r="G56" s="256">
        <f t="shared" si="26"/>
        <v>12913</v>
      </c>
      <c r="H56" s="334">
        <f t="shared" si="26"/>
        <v>34838</v>
      </c>
      <c r="I56" s="277">
        <f t="shared" si="26"/>
        <v>4353</v>
      </c>
      <c r="J56" s="256">
        <f t="shared" si="26"/>
        <v>2634</v>
      </c>
      <c r="K56" s="334">
        <f t="shared" si="26"/>
        <v>11231</v>
      </c>
      <c r="L56" s="341">
        <f t="shared" si="26"/>
        <v>1742</v>
      </c>
      <c r="M56" s="339">
        <f t="shared" si="26"/>
        <v>94239</v>
      </c>
    </row>
    <row r="57" spans="1:13" s="3" customFormat="1" ht="15" customHeight="1" outlineLevel="1" thickBot="1" x14ac:dyDescent="0.3">
      <c r="A57" s="114" t="s">
        <v>23</v>
      </c>
      <c r="B57" s="494"/>
      <c r="C57" s="256">
        <f t="shared" ref="C57:M57" si="27">AVERAGE(C49:C55)</f>
        <v>299</v>
      </c>
      <c r="D57" s="256">
        <f t="shared" si="27"/>
        <v>192.14285714285714</v>
      </c>
      <c r="E57" s="334">
        <f>AVERAGE(E49:E55)</f>
        <v>240.42857142857142</v>
      </c>
      <c r="F57" s="277">
        <f t="shared" si="27"/>
        <v>3058.1428571428573</v>
      </c>
      <c r="G57" s="256">
        <f t="shared" si="27"/>
        <v>1844.7142857142858</v>
      </c>
      <c r="H57" s="334">
        <f>AVERAGE(H49:H55)</f>
        <v>4976.8571428571431</v>
      </c>
      <c r="I57" s="277">
        <f t="shared" si="27"/>
        <v>870.6</v>
      </c>
      <c r="J57" s="256">
        <f t="shared" si="27"/>
        <v>526.79999999999995</v>
      </c>
      <c r="K57" s="334">
        <f t="shared" si="27"/>
        <v>2246.1999999999998</v>
      </c>
      <c r="L57" s="341">
        <f t="shared" si="27"/>
        <v>348.4</v>
      </c>
      <c r="M57" s="339">
        <f t="shared" si="27"/>
        <v>13462.714285714286</v>
      </c>
    </row>
    <row r="58" spans="1:13" s="3" customFormat="1" ht="15" customHeight="1" thickBot="1" x14ac:dyDescent="0.3">
      <c r="A58" s="30" t="s">
        <v>20</v>
      </c>
      <c r="B58" s="494"/>
      <c r="C58" s="257">
        <f t="shared" ref="C58:M58" si="28">SUM(C49:C53)</f>
        <v>1820</v>
      </c>
      <c r="D58" s="257">
        <f t="shared" si="28"/>
        <v>978</v>
      </c>
      <c r="E58" s="335">
        <f t="shared" si="28"/>
        <v>1381</v>
      </c>
      <c r="F58" s="279">
        <f t="shared" si="28"/>
        <v>17875</v>
      </c>
      <c r="G58" s="257">
        <f t="shared" si="28"/>
        <v>12221</v>
      </c>
      <c r="H58" s="335">
        <f t="shared" si="28"/>
        <v>2221</v>
      </c>
      <c r="I58" s="279">
        <f t="shared" si="28"/>
        <v>4353</v>
      </c>
      <c r="J58" s="257">
        <f t="shared" si="28"/>
        <v>2634</v>
      </c>
      <c r="K58" s="335">
        <f t="shared" si="28"/>
        <v>11231</v>
      </c>
      <c r="L58" s="342">
        <f t="shared" si="28"/>
        <v>1742</v>
      </c>
      <c r="M58" s="340">
        <f t="shared" si="28"/>
        <v>56456</v>
      </c>
    </row>
    <row r="59" spans="1:13" s="3" customFormat="1" ht="15.75" thickBot="1" x14ac:dyDescent="0.3">
      <c r="A59" s="30" t="s">
        <v>22</v>
      </c>
      <c r="B59" s="502"/>
      <c r="C59" s="257">
        <f t="shared" ref="C59:M59" si="29">AVERAGE(C49:C53)</f>
        <v>364</v>
      </c>
      <c r="D59" s="257">
        <f>AVERAGE(D49:D53)</f>
        <v>195.6</v>
      </c>
      <c r="E59" s="335">
        <f>AVERAGE(E49:E52)</f>
        <v>281</v>
      </c>
      <c r="F59" s="44">
        <f>AVERAGE(F49:F53)</f>
        <v>3575</v>
      </c>
      <c r="G59" s="238">
        <f t="shared" si="29"/>
        <v>2444.1999999999998</v>
      </c>
      <c r="H59" s="337">
        <f>AVERAGE(H49:H53)</f>
        <v>444.2</v>
      </c>
      <c r="I59" s="44">
        <f t="shared" si="29"/>
        <v>870.6</v>
      </c>
      <c r="J59" s="238">
        <f t="shared" si="29"/>
        <v>526.79999999999995</v>
      </c>
      <c r="K59" s="337">
        <f t="shared" si="29"/>
        <v>2246.1999999999998</v>
      </c>
      <c r="L59" s="233">
        <f t="shared" si="29"/>
        <v>348.4</v>
      </c>
      <c r="M59" s="45">
        <f t="shared" si="29"/>
        <v>11291.2</v>
      </c>
    </row>
    <row r="60" spans="1:13" s="3" customFormat="1" ht="15.75" hidden="1" thickBot="1" x14ac:dyDescent="0.3">
      <c r="A60" s="155" t="s">
        <v>3</v>
      </c>
      <c r="B60" s="182"/>
      <c r="C60" s="146"/>
      <c r="D60" s="13"/>
      <c r="E60" s="141"/>
      <c r="F60" s="12"/>
      <c r="G60" s="13"/>
      <c r="H60" s="141"/>
      <c r="I60" s="12"/>
      <c r="J60" s="14"/>
      <c r="K60" s="14"/>
      <c r="L60" s="14"/>
      <c r="M60" s="162">
        <f>SUM(C60:L60)</f>
        <v>0</v>
      </c>
    </row>
    <row r="61" spans="1:13" s="3" customFormat="1" ht="15.75" hidden="1" thickBot="1" x14ac:dyDescent="0.3">
      <c r="A61" s="155" t="s">
        <v>4</v>
      </c>
      <c r="B61" s="183"/>
      <c r="C61" s="146"/>
      <c r="D61" s="13"/>
      <c r="E61" s="141"/>
      <c r="F61" s="12"/>
      <c r="G61" s="13"/>
      <c r="H61" s="141"/>
      <c r="I61" s="12"/>
      <c r="J61" s="14"/>
      <c r="K61" s="14"/>
      <c r="L61" s="14"/>
      <c r="M61" s="63">
        <f>SUM(C61:L61)</f>
        <v>0</v>
      </c>
    </row>
    <row r="62" spans="1:13" s="3" customFormat="1" ht="15.75" hidden="1" thickBot="1" x14ac:dyDescent="0.3">
      <c r="A62" s="155" t="s">
        <v>5</v>
      </c>
      <c r="B62" s="184"/>
      <c r="C62" s="146"/>
      <c r="D62" s="13"/>
      <c r="E62" s="141"/>
      <c r="F62" s="12"/>
      <c r="G62" s="13"/>
      <c r="H62" s="141"/>
      <c r="I62" s="12"/>
      <c r="J62" s="14"/>
      <c r="K62" s="14"/>
      <c r="L62" s="14"/>
      <c r="M62" s="18"/>
    </row>
    <row r="63" spans="1:13" s="3" customFormat="1" ht="15.75" hidden="1" thickBot="1" x14ac:dyDescent="0.3">
      <c r="A63" s="155" t="s">
        <v>6</v>
      </c>
      <c r="B63" s="184"/>
      <c r="C63" s="146"/>
      <c r="D63" s="13"/>
      <c r="E63" s="141"/>
      <c r="F63" s="12"/>
      <c r="G63" s="13"/>
      <c r="H63" s="141"/>
      <c r="I63" s="12"/>
      <c r="J63" s="14"/>
      <c r="K63" s="14"/>
      <c r="L63" s="14"/>
      <c r="M63" s="18"/>
    </row>
    <row r="64" spans="1:13" s="3" customFormat="1" ht="15.75" hidden="1" thickBot="1" x14ac:dyDescent="0.3">
      <c r="A64" s="155" t="s">
        <v>0</v>
      </c>
      <c r="B64" s="184"/>
      <c r="C64" s="147"/>
      <c r="D64" s="13"/>
      <c r="E64" s="141"/>
      <c r="F64" s="12"/>
      <c r="G64" s="13"/>
      <c r="H64" s="141"/>
      <c r="I64" s="12"/>
      <c r="J64" s="14"/>
      <c r="K64" s="14"/>
      <c r="L64" s="14"/>
      <c r="M64" s="18"/>
    </row>
    <row r="65" spans="1:13" s="3" customFormat="1" ht="15.75" hidden="1" outlineLevel="1" thickBot="1" x14ac:dyDescent="0.3">
      <c r="A65" s="155" t="s">
        <v>1</v>
      </c>
      <c r="B65" s="184"/>
      <c r="C65" s="147"/>
      <c r="D65" s="20"/>
      <c r="E65" s="142"/>
      <c r="F65" s="19"/>
      <c r="G65" s="20"/>
      <c r="H65" s="142"/>
      <c r="I65" s="19"/>
      <c r="J65" s="21"/>
      <c r="K65" s="21"/>
      <c r="L65" s="21"/>
      <c r="M65" s="18"/>
    </row>
    <row r="66" spans="1:13" s="3" customFormat="1" ht="15.75" hidden="1" outlineLevel="1" thickBot="1" x14ac:dyDescent="0.3">
      <c r="A66" s="155" t="s">
        <v>2</v>
      </c>
      <c r="B66" s="186"/>
      <c r="C66" s="170"/>
      <c r="D66" s="61"/>
      <c r="E66" s="303"/>
      <c r="F66" s="60"/>
      <c r="G66" s="61"/>
      <c r="H66" s="303"/>
      <c r="I66" s="60"/>
      <c r="J66" s="62"/>
      <c r="K66" s="62"/>
      <c r="L66" s="62"/>
      <c r="M66" s="63"/>
    </row>
    <row r="67" spans="1:13" s="3" customFormat="1" ht="15.75" hidden="1" outlineLevel="1" thickBot="1" x14ac:dyDescent="0.3">
      <c r="A67" s="164" t="s">
        <v>21</v>
      </c>
      <c r="B67" s="503" t="s">
        <v>32</v>
      </c>
      <c r="C67" s="171">
        <f t="shared" ref="C67:L67" si="30">SUM(C60:C66)</f>
        <v>0</v>
      </c>
      <c r="D67" s="120">
        <f t="shared" si="30"/>
        <v>0</v>
      </c>
      <c r="E67" s="120">
        <f>SUM(E60:E66)</f>
        <v>0</v>
      </c>
      <c r="F67" s="119">
        <f t="shared" si="30"/>
        <v>0</v>
      </c>
      <c r="G67" s="120">
        <f t="shared" si="30"/>
        <v>0</v>
      </c>
      <c r="H67" s="120">
        <f>SUM(H60:H66)</f>
        <v>0</v>
      </c>
      <c r="I67" s="119">
        <f t="shared" si="30"/>
        <v>0</v>
      </c>
      <c r="J67" s="121">
        <f t="shared" si="30"/>
        <v>0</v>
      </c>
      <c r="K67" s="121">
        <f t="shared" si="30"/>
        <v>0</v>
      </c>
      <c r="L67" s="121">
        <f t="shared" si="30"/>
        <v>0</v>
      </c>
      <c r="M67" s="122">
        <f>SUM(M60:M66)</f>
        <v>0</v>
      </c>
    </row>
    <row r="68" spans="1:13" s="3" customFormat="1" ht="15.75" hidden="1" outlineLevel="1" thickBot="1" x14ac:dyDescent="0.3">
      <c r="A68" s="114" t="s">
        <v>23</v>
      </c>
      <c r="B68" s="504"/>
      <c r="C68" s="172" t="e">
        <f t="shared" ref="C68:M68" si="31">AVERAGE(C60:C66)</f>
        <v>#DIV/0!</v>
      </c>
      <c r="D68" s="116" t="e">
        <f t="shared" si="31"/>
        <v>#DIV/0!</v>
      </c>
      <c r="E68" s="116" t="e">
        <f>AVERAGE(E60:E66)</f>
        <v>#DIV/0!</v>
      </c>
      <c r="F68" s="115" t="e">
        <f t="shared" si="31"/>
        <v>#DIV/0!</v>
      </c>
      <c r="G68" s="116" t="e">
        <f t="shared" si="31"/>
        <v>#DIV/0!</v>
      </c>
      <c r="H68" s="116" t="e">
        <f>AVERAGE(H60:H66)</f>
        <v>#DIV/0!</v>
      </c>
      <c r="I68" s="115" t="e">
        <f t="shared" si="31"/>
        <v>#DIV/0!</v>
      </c>
      <c r="J68" s="117" t="e">
        <f t="shared" si="31"/>
        <v>#DIV/0!</v>
      </c>
      <c r="K68" s="117" t="e">
        <f t="shared" si="31"/>
        <v>#DIV/0!</v>
      </c>
      <c r="L68" s="117" t="e">
        <f t="shared" si="31"/>
        <v>#DIV/0!</v>
      </c>
      <c r="M68" s="118">
        <f t="shared" si="31"/>
        <v>0</v>
      </c>
    </row>
    <row r="69" spans="1:13" s="3" customFormat="1" ht="15.75" hidden="1" thickBot="1" x14ac:dyDescent="0.3">
      <c r="A69" s="30" t="s">
        <v>20</v>
      </c>
      <c r="B69" s="504"/>
      <c r="C69" s="173">
        <f t="shared" ref="C69:M69" si="32">SUM(C60:C64)</f>
        <v>0</v>
      </c>
      <c r="D69" s="32">
        <f t="shared" si="32"/>
        <v>0</v>
      </c>
      <c r="E69" s="32">
        <f>SUM(E60:E64)</f>
        <v>0</v>
      </c>
      <c r="F69" s="31">
        <f t="shared" si="32"/>
        <v>0</v>
      </c>
      <c r="G69" s="32">
        <f t="shared" si="32"/>
        <v>0</v>
      </c>
      <c r="H69" s="32">
        <f>SUM(H60:H64)</f>
        <v>0</v>
      </c>
      <c r="I69" s="31">
        <f t="shared" si="32"/>
        <v>0</v>
      </c>
      <c r="J69" s="33">
        <f t="shared" si="32"/>
        <v>0</v>
      </c>
      <c r="K69" s="33">
        <f t="shared" si="32"/>
        <v>0</v>
      </c>
      <c r="L69" s="33">
        <f t="shared" si="32"/>
        <v>0</v>
      </c>
      <c r="M69" s="34">
        <f t="shared" si="32"/>
        <v>0</v>
      </c>
    </row>
    <row r="70" spans="1:13" s="3" customFormat="1" ht="15.75" hidden="1" thickBot="1" x14ac:dyDescent="0.3">
      <c r="A70" s="30" t="s">
        <v>22</v>
      </c>
      <c r="B70" s="505"/>
      <c r="C70" s="174" t="e">
        <f t="shared" ref="C70:M70" si="33">AVERAGE(C60:C64)</f>
        <v>#DIV/0!</v>
      </c>
      <c r="D70" s="36" t="e">
        <f t="shared" si="33"/>
        <v>#DIV/0!</v>
      </c>
      <c r="E70" s="36" t="e">
        <f>AVERAGE(E60:E64)</f>
        <v>#DIV/0!</v>
      </c>
      <c r="F70" s="35" t="e">
        <f t="shared" si="33"/>
        <v>#DIV/0!</v>
      </c>
      <c r="G70" s="36" t="e">
        <f t="shared" si="33"/>
        <v>#DIV/0!</v>
      </c>
      <c r="H70" s="36" t="e">
        <f>AVERAGE(H60:H64)</f>
        <v>#DIV/0!</v>
      </c>
      <c r="I70" s="35" t="e">
        <f t="shared" si="33"/>
        <v>#DIV/0!</v>
      </c>
      <c r="J70" s="37" t="e">
        <f t="shared" si="33"/>
        <v>#DIV/0!</v>
      </c>
      <c r="K70" s="37" t="e">
        <f t="shared" si="33"/>
        <v>#DIV/0!</v>
      </c>
      <c r="L70" s="37" t="e">
        <f t="shared" si="33"/>
        <v>#DIV/0!</v>
      </c>
      <c r="M70" s="39">
        <f t="shared" si="33"/>
        <v>0</v>
      </c>
    </row>
    <row r="71" spans="1:13" s="3" customFormat="1" ht="21" customHeight="1" x14ac:dyDescent="0.25">
      <c r="A71" s="4"/>
      <c r="B71" s="137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s="3" customFormat="1" ht="40.5" customHeight="1" x14ac:dyDescent="0.25">
      <c r="A72" s="4"/>
      <c r="B72" s="137"/>
      <c r="C72" s="40"/>
      <c r="D72" s="42" t="s">
        <v>8</v>
      </c>
      <c r="E72" s="43" t="s">
        <v>92</v>
      </c>
      <c r="F72" s="43" t="s">
        <v>9</v>
      </c>
      <c r="G72" s="43" t="s">
        <v>10</v>
      </c>
    </row>
    <row r="73" spans="1:13" ht="29.25" customHeight="1" x14ac:dyDescent="0.25">
      <c r="C73" s="46" t="s">
        <v>29</v>
      </c>
      <c r="D73" s="41">
        <f>SUM(C56:E56, C45:E45, C34:E34, C23:E23, C12:E12, C67:E67  )</f>
        <v>21110</v>
      </c>
      <c r="E73" s="41">
        <f>SUM(L56, L45, L34, L23, L12, L67)</f>
        <v>7375</v>
      </c>
      <c r="F73" s="41">
        <f>SUM(F56:H56, F45:H45, F34:H34, F23:H23, F12:H12, F67:H67 )</f>
        <v>277173</v>
      </c>
      <c r="G73" s="41">
        <f>SUM(I12:K12,I23:K23,I34:K34,I45:K45,I56:K56, I67:K67)</f>
        <v>74030</v>
      </c>
    </row>
    <row r="74" spans="1:13" ht="29.25" customHeight="1" x14ac:dyDescent="0.25">
      <c r="C74" s="46" t="s">
        <v>30</v>
      </c>
      <c r="D74" s="41">
        <f>SUM(C58:E58, C47:E47, C36:E36, C25:E25, C14:E14, C69:E69 )</f>
        <v>17341</v>
      </c>
      <c r="E74" s="41">
        <f>SUM(L58, L47, L36, L25, L14, L69)</f>
        <v>7375</v>
      </c>
      <c r="F74" s="41">
        <f>SUM(F58:H58, F47:H47, F36:H36, F25:H25, F14:H14, F69:H69)</f>
        <v>128941</v>
      </c>
      <c r="G74" s="41">
        <f>SUM(I58:K58, I47:K47, I36:K36, I25:K25, I14:K14, I69:K69)</f>
        <v>74030</v>
      </c>
    </row>
    <row r="75" spans="1:13" ht="30" customHeight="1" x14ac:dyDescent="0.25"/>
    <row r="76" spans="1:13" ht="30" customHeight="1" x14ac:dyDescent="0.25">
      <c r="C76" s="540" t="s">
        <v>56</v>
      </c>
      <c r="D76" s="541"/>
      <c r="E76" s="541"/>
      <c r="F76" s="542"/>
    </row>
    <row r="77" spans="1:13" x14ac:dyDescent="0.25">
      <c r="C77" s="495" t="s">
        <v>29</v>
      </c>
      <c r="D77" s="496"/>
      <c r="E77" s="302"/>
      <c r="F77" s="111">
        <f>SUM(M56, M45, M34, M23, M12, M67)</f>
        <v>379688</v>
      </c>
    </row>
    <row r="78" spans="1:13" x14ac:dyDescent="0.25">
      <c r="C78" s="495" t="s">
        <v>30</v>
      </c>
      <c r="D78" s="496"/>
      <c r="E78" s="302"/>
      <c r="F78" s="110">
        <f>SUM(M14, M25, M36, M47, M58, M69)</f>
        <v>227687</v>
      </c>
    </row>
    <row r="79" spans="1:13" x14ac:dyDescent="0.25">
      <c r="C79" s="495" t="s">
        <v>62</v>
      </c>
      <c r="D79" s="496"/>
      <c r="E79" s="302"/>
      <c r="F79" s="111">
        <f>AVERAGE(M56, M45, M34, M23, M12, M67)</f>
        <v>63281.333333333336</v>
      </c>
    </row>
    <row r="80" spans="1:13" x14ac:dyDescent="0.25">
      <c r="C80" s="495" t="s">
        <v>22</v>
      </c>
      <c r="D80" s="496"/>
      <c r="E80" s="302"/>
      <c r="F80" s="110">
        <f>AVERAGE(M14, M25, M36, M47, M58, M69)</f>
        <v>37947.833333333336</v>
      </c>
    </row>
  </sheetData>
  <mergeCells count="28">
    <mergeCell ref="M1:M4"/>
    <mergeCell ref="B12:B15"/>
    <mergeCell ref="B23:B26"/>
    <mergeCell ref="K3:K4"/>
    <mergeCell ref="L3:L4"/>
    <mergeCell ref="C1:E2"/>
    <mergeCell ref="F1:H2"/>
    <mergeCell ref="G3:G4"/>
    <mergeCell ref="F3:F4"/>
    <mergeCell ref="I3:I4"/>
    <mergeCell ref="J3:J4"/>
    <mergeCell ref="E3:E4"/>
    <mergeCell ref="H3:H4"/>
    <mergeCell ref="I1:K2"/>
    <mergeCell ref="L1:L2"/>
    <mergeCell ref="C80:D80"/>
    <mergeCell ref="A3:A4"/>
    <mergeCell ref="B3:B4"/>
    <mergeCell ref="B34:B37"/>
    <mergeCell ref="C79:D79"/>
    <mergeCell ref="C3:C4"/>
    <mergeCell ref="D3:D4"/>
    <mergeCell ref="B56:B59"/>
    <mergeCell ref="C78:D78"/>
    <mergeCell ref="C77:D77"/>
    <mergeCell ref="C76:F76"/>
    <mergeCell ref="B67:B70"/>
    <mergeCell ref="B45:B48"/>
  </mergeCells>
  <pageMargins left="0.7" right="0.7" top="0.75" bottom="0.75" header="0.3" footer="0.3"/>
  <pageSetup paperSize="5" scale="47" orientation="landscape" r:id="rId1"/>
  <ignoredErrors>
    <ignoredError sqref="C45 C24 C37 C26" emptyCellReference="1"/>
    <ignoredError sqref="I13:J13 K13 K23:K24 I57:J57 C57 C59 C46 I46:L46 K57:L57 L15 I15:J15 I23:J24 D37 I59:L59 L23:L26 L13 I37:L37 I45:L45 C15:D15 K26 D45:D46 D57 G45 G37 G59 G23:G24 G15 F46:G46 F57:G57 F13:G13 K15 D26 G26 C48 D48 J48:L48 J47:L47 F48:G48 F47 J26 J25" evalError="1" emptyCellReference="1"/>
    <ignoredError sqref="M59 I67:K71 D67:D71 F67:G71" evalError="1"/>
    <ignoredError sqref="M22" formulaRange="1" emptyCellReference="1"/>
    <ignoredError sqref="M57 M24 F23:F26 M26:M33 M37:M44 M46:M48" evalError="1" formulaRange="1" emptyCellReference="1"/>
    <ignoredError sqref="F37 F59 M5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60" sqref="A60:XFD70"/>
    </sheetView>
  </sheetViews>
  <sheetFormatPr defaultRowHeight="15" outlineLevelRow="1" x14ac:dyDescent="0.25"/>
  <cols>
    <col min="1" max="1" width="18.7109375" style="1" bestFit="1" customWidth="1"/>
    <col min="2" max="2" width="10.7109375" style="138" bestFit="1" customWidth="1"/>
    <col min="3" max="6" width="15.7109375" style="11" customWidth="1"/>
    <col min="7" max="7" width="16" style="11" customWidth="1"/>
    <col min="8" max="8" width="18.5703125" style="11" bestFit="1" customWidth="1"/>
    <col min="9" max="16384" width="9.140625" style="11"/>
  </cols>
  <sheetData>
    <row r="1" spans="1:8" ht="14.25" customHeight="1" x14ac:dyDescent="0.25">
      <c r="A1" s="27"/>
      <c r="B1" s="175"/>
      <c r="C1" s="512" t="s">
        <v>10</v>
      </c>
      <c r="D1" s="497"/>
      <c r="E1" s="512" t="s">
        <v>14</v>
      </c>
      <c r="F1" s="497"/>
      <c r="G1" s="552" t="s">
        <v>19</v>
      </c>
    </row>
    <row r="2" spans="1:8" ht="14.25" customHeight="1" thickBot="1" x14ac:dyDescent="0.3">
      <c r="A2" s="28"/>
      <c r="B2" s="176"/>
      <c r="C2" s="513"/>
      <c r="D2" s="498"/>
      <c r="E2" s="513"/>
      <c r="F2" s="498"/>
      <c r="G2" s="553"/>
    </row>
    <row r="3" spans="1:8" ht="14.25" customHeight="1" x14ac:dyDescent="0.25">
      <c r="A3" s="481" t="s">
        <v>52</v>
      </c>
      <c r="B3" s="509" t="s">
        <v>53</v>
      </c>
      <c r="C3" s="538" t="s">
        <v>41</v>
      </c>
      <c r="D3" s="531" t="s">
        <v>42</v>
      </c>
      <c r="E3" s="538" t="s">
        <v>54</v>
      </c>
      <c r="F3" s="531" t="s">
        <v>42</v>
      </c>
      <c r="G3" s="553"/>
    </row>
    <row r="4" spans="1:8" ht="14.25" thickBot="1" x14ac:dyDescent="0.3">
      <c r="A4" s="518"/>
      <c r="B4" s="511"/>
      <c r="C4" s="518"/>
      <c r="D4" s="532"/>
      <c r="E4" s="518"/>
      <c r="F4" s="532"/>
      <c r="G4" s="553"/>
    </row>
    <row r="5" spans="1:8" s="50" customFormat="1" ht="14.25" hidden="1" thickBot="1" x14ac:dyDescent="0.3">
      <c r="A5" s="29" t="s">
        <v>3</v>
      </c>
      <c r="B5" s="177">
        <v>43521</v>
      </c>
      <c r="C5" s="306"/>
      <c r="D5" s="307"/>
      <c r="E5" s="26"/>
      <c r="F5" s="24"/>
      <c r="G5" s="70"/>
    </row>
    <row r="6" spans="1:8" s="50" customFormat="1" ht="14.25" hidden="1" thickBot="1" x14ac:dyDescent="0.3">
      <c r="A6" s="29" t="s">
        <v>4</v>
      </c>
      <c r="B6" s="309">
        <v>43522</v>
      </c>
      <c r="C6" s="389"/>
      <c r="D6" s="393"/>
      <c r="E6" s="389"/>
      <c r="F6" s="393"/>
      <c r="G6" s="329"/>
    </row>
    <row r="7" spans="1:8" s="50" customFormat="1" ht="14.25" hidden="1" thickBot="1" x14ac:dyDescent="0.3">
      <c r="A7" s="29" t="s">
        <v>5</v>
      </c>
      <c r="B7" s="309">
        <v>43523</v>
      </c>
      <c r="C7" s="390"/>
      <c r="D7" s="394"/>
      <c r="E7" s="390"/>
      <c r="F7" s="394"/>
      <c r="G7" s="399"/>
    </row>
    <row r="8" spans="1:8" s="50" customFormat="1" ht="13.5" hidden="1" x14ac:dyDescent="0.25">
      <c r="A8" s="29" t="s">
        <v>6</v>
      </c>
      <c r="B8" s="309">
        <v>43524</v>
      </c>
      <c r="C8" s="390"/>
      <c r="D8" s="394"/>
      <c r="E8" s="390"/>
      <c r="F8" s="394"/>
      <c r="G8" s="399"/>
      <c r="H8" s="156"/>
    </row>
    <row r="9" spans="1:8" s="50" customFormat="1" ht="13.5" x14ac:dyDescent="0.25">
      <c r="A9" s="29" t="s">
        <v>0</v>
      </c>
      <c r="B9" s="315">
        <v>43525</v>
      </c>
      <c r="C9" s="390">
        <v>760</v>
      </c>
      <c r="D9" s="394">
        <v>1068</v>
      </c>
      <c r="E9" s="390">
        <v>561</v>
      </c>
      <c r="F9" s="394">
        <v>908</v>
      </c>
      <c r="G9" s="399">
        <f>SUM(C9:F9)</f>
        <v>3297</v>
      </c>
      <c r="H9" s="156"/>
    </row>
    <row r="10" spans="1:8" s="50" customFormat="1" ht="13.5" outlineLevel="1" x14ac:dyDescent="0.25">
      <c r="A10" s="29" t="s">
        <v>1</v>
      </c>
      <c r="B10" s="315">
        <v>43526</v>
      </c>
      <c r="C10" s="390">
        <v>0</v>
      </c>
      <c r="D10" s="394">
        <v>250</v>
      </c>
      <c r="E10" s="390">
        <v>0</v>
      </c>
      <c r="F10" s="394">
        <v>340</v>
      </c>
      <c r="G10" s="399">
        <f>SUM(C10:F10)</f>
        <v>590</v>
      </c>
      <c r="H10" s="156"/>
    </row>
    <row r="11" spans="1:8" s="50" customFormat="1" ht="15" customHeight="1" outlineLevel="1" thickBot="1" x14ac:dyDescent="0.3">
      <c r="A11" s="155" t="s">
        <v>2</v>
      </c>
      <c r="B11" s="315">
        <v>43527</v>
      </c>
      <c r="C11" s="390">
        <v>0</v>
      </c>
      <c r="D11" s="394">
        <v>250</v>
      </c>
      <c r="E11" s="390">
        <v>0</v>
      </c>
      <c r="F11" s="394">
        <v>301</v>
      </c>
      <c r="G11" s="399">
        <f>SUM(C11:F11)</f>
        <v>551</v>
      </c>
      <c r="H11" s="156"/>
    </row>
    <row r="12" spans="1:8" s="51" customFormat="1" ht="15" customHeight="1" outlineLevel="1" thickBot="1" x14ac:dyDescent="0.3">
      <c r="A12" s="164" t="s">
        <v>21</v>
      </c>
      <c r="B12" s="493" t="s">
        <v>24</v>
      </c>
      <c r="C12" s="391">
        <f>SUM(C5:C11)</f>
        <v>760</v>
      </c>
      <c r="D12" s="395">
        <f>SUM(D5:D11)</f>
        <v>1568</v>
      </c>
      <c r="E12" s="391">
        <f>SUM(E5:E11)</f>
        <v>561</v>
      </c>
      <c r="F12" s="395">
        <f>SUM(F5:F11)</f>
        <v>1549</v>
      </c>
      <c r="G12" s="400">
        <f>SUM(G5:G11)</f>
        <v>4438</v>
      </c>
    </row>
    <row r="13" spans="1:8" s="51" customFormat="1" ht="15" customHeight="1" outlineLevel="1" thickBot="1" x14ac:dyDescent="0.3">
      <c r="A13" s="114" t="s">
        <v>23</v>
      </c>
      <c r="B13" s="494"/>
      <c r="C13" s="391">
        <f>AVERAGE(C5:C11)</f>
        <v>253.33333333333334</v>
      </c>
      <c r="D13" s="395">
        <f>AVERAGE(D5:D11)</f>
        <v>522.66666666666663</v>
      </c>
      <c r="E13" s="391">
        <f>AVERAGE(E5:E11)</f>
        <v>187</v>
      </c>
      <c r="F13" s="395">
        <f>AVERAGE(F5:F11)</f>
        <v>516.33333333333337</v>
      </c>
      <c r="G13" s="400">
        <f>AVERAGE(G5:G11)</f>
        <v>1479.3333333333333</v>
      </c>
    </row>
    <row r="14" spans="1:8" s="51" customFormat="1" ht="15" customHeight="1" thickBot="1" x14ac:dyDescent="0.3">
      <c r="A14" s="30" t="s">
        <v>20</v>
      </c>
      <c r="B14" s="494"/>
      <c r="C14" s="392">
        <f>SUM(C5:C9)</f>
        <v>760</v>
      </c>
      <c r="D14" s="396">
        <f>SUM(D5:D9)</f>
        <v>1068</v>
      </c>
      <c r="E14" s="392">
        <f>SUM(E5:E9)</f>
        <v>561</v>
      </c>
      <c r="F14" s="396">
        <f>SUM(F5:F9)</f>
        <v>908</v>
      </c>
      <c r="G14" s="401">
        <f>SUM(G5:G9)</f>
        <v>3297</v>
      </c>
    </row>
    <row r="15" spans="1:8" s="51" customFormat="1" ht="15" customHeight="1" thickBot="1" x14ac:dyDescent="0.3">
      <c r="A15" s="30" t="s">
        <v>22</v>
      </c>
      <c r="B15" s="494"/>
      <c r="C15" s="392">
        <f>AVERAGE(C5:C9)</f>
        <v>760</v>
      </c>
      <c r="D15" s="396">
        <f>AVERAGE(D5:D9)</f>
        <v>1068</v>
      </c>
      <c r="E15" s="392">
        <f>AVERAGE(E5:E9)</f>
        <v>561</v>
      </c>
      <c r="F15" s="396">
        <f>AVERAGE(F5:F9)</f>
        <v>908</v>
      </c>
      <c r="G15" s="401">
        <f>AVERAGE(G5:G9)</f>
        <v>3297</v>
      </c>
    </row>
    <row r="16" spans="1:8" s="51" customFormat="1" ht="15" customHeight="1" x14ac:dyDescent="0.25">
      <c r="A16" s="29" t="s">
        <v>3</v>
      </c>
      <c r="B16" s="309">
        <f>B11+1</f>
        <v>43528</v>
      </c>
      <c r="C16" s="331">
        <v>862</v>
      </c>
      <c r="D16" s="397">
        <v>856</v>
      </c>
      <c r="E16" s="331">
        <v>577</v>
      </c>
      <c r="F16" s="397">
        <v>868</v>
      </c>
      <c r="G16" s="399">
        <f>SUM(C16:F16)</f>
        <v>3163</v>
      </c>
    </row>
    <row r="17" spans="1:8" s="51" customFormat="1" ht="15" customHeight="1" x14ac:dyDescent="0.25">
      <c r="A17" s="29" t="s">
        <v>4</v>
      </c>
      <c r="B17" s="310">
        <f t="shared" ref="B17:B22" si="0">B16+1</f>
        <v>43529</v>
      </c>
      <c r="C17" s="331">
        <v>1329</v>
      </c>
      <c r="D17" s="397">
        <v>1362</v>
      </c>
      <c r="E17" s="331">
        <v>785</v>
      </c>
      <c r="F17" s="397">
        <v>831</v>
      </c>
      <c r="G17" s="399">
        <f>SUM(C17:F17)</f>
        <v>4307</v>
      </c>
    </row>
    <row r="18" spans="1:8" s="51" customFormat="1" ht="15" customHeight="1" x14ac:dyDescent="0.25">
      <c r="A18" s="29" t="s">
        <v>5</v>
      </c>
      <c r="B18" s="310">
        <f t="shared" si="0"/>
        <v>43530</v>
      </c>
      <c r="C18" s="331">
        <v>1203</v>
      </c>
      <c r="D18" s="397">
        <v>1001</v>
      </c>
      <c r="E18" s="331">
        <v>807</v>
      </c>
      <c r="F18" s="397">
        <v>1050</v>
      </c>
      <c r="G18" s="399">
        <f>SUM(C18:F18)</f>
        <v>4061</v>
      </c>
    </row>
    <row r="19" spans="1:8" s="51" customFormat="1" ht="15" customHeight="1" x14ac:dyDescent="0.25">
      <c r="A19" s="29" t="s">
        <v>6</v>
      </c>
      <c r="B19" s="311">
        <f t="shared" si="0"/>
        <v>43531</v>
      </c>
      <c r="C19" s="331">
        <v>1184</v>
      </c>
      <c r="D19" s="397">
        <v>1257</v>
      </c>
      <c r="E19" s="331">
        <v>693</v>
      </c>
      <c r="F19" s="397">
        <v>820</v>
      </c>
      <c r="G19" s="399">
        <f>SUM(C19:F19)</f>
        <v>3954</v>
      </c>
    </row>
    <row r="20" spans="1:8" s="51" customFormat="1" ht="15" customHeight="1" x14ac:dyDescent="0.25">
      <c r="A20" s="29" t="s">
        <v>0</v>
      </c>
      <c r="B20" s="311">
        <f t="shared" si="0"/>
        <v>43532</v>
      </c>
      <c r="C20" s="331">
        <v>978</v>
      </c>
      <c r="D20" s="397">
        <v>998</v>
      </c>
      <c r="E20" s="331">
        <v>669</v>
      </c>
      <c r="F20" s="397">
        <v>796</v>
      </c>
      <c r="G20" s="399">
        <f>SUM(C20:F20)</f>
        <v>3441</v>
      </c>
    </row>
    <row r="21" spans="1:8" s="51" customFormat="1" ht="15" customHeight="1" outlineLevel="1" x14ac:dyDescent="0.25">
      <c r="A21" s="29" t="s">
        <v>1</v>
      </c>
      <c r="B21" s="305">
        <f t="shared" si="0"/>
        <v>43533</v>
      </c>
      <c r="C21" s="331">
        <v>0</v>
      </c>
      <c r="D21" s="397">
        <v>375</v>
      </c>
      <c r="E21" s="331">
        <v>0</v>
      </c>
      <c r="F21" s="397">
        <v>404</v>
      </c>
      <c r="G21" s="399">
        <f>SUM(C21:F21)</f>
        <v>779</v>
      </c>
      <c r="H21" s="159"/>
    </row>
    <row r="22" spans="1:8" s="51" customFormat="1" ht="15" customHeight="1" outlineLevel="1" thickBot="1" x14ac:dyDescent="0.3">
      <c r="A22" s="29" t="s">
        <v>2</v>
      </c>
      <c r="B22" s="310">
        <f t="shared" si="0"/>
        <v>43534</v>
      </c>
      <c r="C22" s="331">
        <v>0</v>
      </c>
      <c r="D22" s="397">
        <v>239</v>
      </c>
      <c r="E22" s="331">
        <v>0</v>
      </c>
      <c r="F22" s="397">
        <v>298</v>
      </c>
      <c r="G22" s="399">
        <f>SUM(C22:F22)</f>
        <v>537</v>
      </c>
    </row>
    <row r="23" spans="1:8" s="51" customFormat="1" ht="15" customHeight="1" outlineLevel="1" thickBot="1" x14ac:dyDescent="0.3">
      <c r="A23" s="164" t="s">
        <v>21</v>
      </c>
      <c r="B23" s="493" t="s">
        <v>25</v>
      </c>
      <c r="C23" s="391">
        <f>SUM(C16:C22)</f>
        <v>5556</v>
      </c>
      <c r="D23" s="395">
        <f>SUM(D16:D22)</f>
        <v>6088</v>
      </c>
      <c r="E23" s="391">
        <f>SUM(E16:E22)</f>
        <v>3531</v>
      </c>
      <c r="F23" s="395">
        <f>SUM(F16:F22)</f>
        <v>5067</v>
      </c>
      <c r="G23" s="400">
        <f>SUM(G16:G22)</f>
        <v>20242</v>
      </c>
    </row>
    <row r="24" spans="1:8" s="51" customFormat="1" ht="15" customHeight="1" outlineLevel="1" thickBot="1" x14ac:dyDescent="0.3">
      <c r="A24" s="114" t="s">
        <v>23</v>
      </c>
      <c r="B24" s="494"/>
      <c r="C24" s="391">
        <f>AVERAGE(C16:C22)</f>
        <v>793.71428571428567</v>
      </c>
      <c r="D24" s="395">
        <f>AVERAGE(D16:D22)</f>
        <v>869.71428571428567</v>
      </c>
      <c r="E24" s="391">
        <f>AVERAGE(E16:E22)</f>
        <v>504.42857142857144</v>
      </c>
      <c r="F24" s="395">
        <f>AVERAGE(F16:F22)</f>
        <v>723.85714285714289</v>
      </c>
      <c r="G24" s="400">
        <f>AVERAGE(G16:G22)</f>
        <v>2891.7142857142858</v>
      </c>
    </row>
    <row r="25" spans="1:8" s="51" customFormat="1" ht="15" customHeight="1" thickBot="1" x14ac:dyDescent="0.3">
      <c r="A25" s="30" t="s">
        <v>20</v>
      </c>
      <c r="B25" s="494"/>
      <c r="C25" s="392">
        <f>SUM(C16:C20)</f>
        <v>5556</v>
      </c>
      <c r="D25" s="396">
        <f>SUM(D16:D20)</f>
        <v>5474</v>
      </c>
      <c r="E25" s="392">
        <f>SUM(E16:E20)</f>
        <v>3531</v>
      </c>
      <c r="F25" s="396">
        <f>SUM(F16:F20)</f>
        <v>4365</v>
      </c>
      <c r="G25" s="401">
        <f>SUM(G16:G20)</f>
        <v>18926</v>
      </c>
    </row>
    <row r="26" spans="1:8" s="51" customFormat="1" ht="15" customHeight="1" thickBot="1" x14ac:dyDescent="0.3">
      <c r="A26" s="30" t="s">
        <v>22</v>
      </c>
      <c r="B26" s="502"/>
      <c r="C26" s="392">
        <f>AVERAGE(C16:C20)</f>
        <v>1111.2</v>
      </c>
      <c r="D26" s="396">
        <f>AVERAGE(D16:D20)</f>
        <v>1094.8</v>
      </c>
      <c r="E26" s="392">
        <f>AVERAGE(E16:E20)</f>
        <v>706.2</v>
      </c>
      <c r="F26" s="396">
        <f>AVERAGE(F16:F20)</f>
        <v>873</v>
      </c>
      <c r="G26" s="401">
        <f>AVERAGE(G16:G20)</f>
        <v>3785.2</v>
      </c>
    </row>
    <row r="27" spans="1:8" s="51" customFormat="1" ht="15" customHeight="1" x14ac:dyDescent="0.25">
      <c r="A27" s="29" t="s">
        <v>3</v>
      </c>
      <c r="B27" s="312">
        <f>B22+1</f>
        <v>43535</v>
      </c>
      <c r="C27" s="331">
        <v>1193</v>
      </c>
      <c r="D27" s="397">
        <v>1140</v>
      </c>
      <c r="E27" s="331">
        <v>863</v>
      </c>
      <c r="F27" s="397">
        <v>992</v>
      </c>
      <c r="G27" s="399">
        <f>SUM(C27:F27)</f>
        <v>4188</v>
      </c>
    </row>
    <row r="28" spans="1:8" s="51" customFormat="1" ht="15" customHeight="1" x14ac:dyDescent="0.25">
      <c r="A28" s="29" t="s">
        <v>4</v>
      </c>
      <c r="B28" s="299">
        <f t="shared" ref="B28:B33" si="1">B27+1</f>
        <v>43536</v>
      </c>
      <c r="C28" s="331">
        <v>1349</v>
      </c>
      <c r="D28" s="397">
        <v>1129</v>
      </c>
      <c r="E28" s="331">
        <v>911</v>
      </c>
      <c r="F28" s="397">
        <v>930</v>
      </c>
      <c r="G28" s="399">
        <f t="shared" ref="G27:G33" si="2">SUM(C28:F28)</f>
        <v>4319</v>
      </c>
    </row>
    <row r="29" spans="1:8" s="51" customFormat="1" ht="15" customHeight="1" x14ac:dyDescent="0.25">
      <c r="A29" s="29" t="s">
        <v>5</v>
      </c>
      <c r="B29" s="299">
        <f t="shared" si="1"/>
        <v>43537</v>
      </c>
      <c r="C29" s="331">
        <v>1258</v>
      </c>
      <c r="D29" s="397">
        <v>1188</v>
      </c>
      <c r="E29" s="331">
        <v>859</v>
      </c>
      <c r="F29" s="397">
        <v>848</v>
      </c>
      <c r="G29" s="399">
        <f t="shared" si="2"/>
        <v>4153</v>
      </c>
    </row>
    <row r="30" spans="1:8" s="51" customFormat="1" ht="15" customHeight="1" x14ac:dyDescent="0.25">
      <c r="A30" s="29" t="s">
        <v>6</v>
      </c>
      <c r="B30" s="299">
        <f t="shared" si="1"/>
        <v>43538</v>
      </c>
      <c r="C30" s="390">
        <v>1210</v>
      </c>
      <c r="D30" s="397">
        <v>1108</v>
      </c>
      <c r="E30" s="390">
        <v>853</v>
      </c>
      <c r="F30" s="397">
        <v>1087</v>
      </c>
      <c r="G30" s="399">
        <f t="shared" si="2"/>
        <v>4258</v>
      </c>
    </row>
    <row r="31" spans="1:8" s="51" customFormat="1" ht="15" customHeight="1" x14ac:dyDescent="0.25">
      <c r="A31" s="29" t="s">
        <v>0</v>
      </c>
      <c r="B31" s="299">
        <f t="shared" si="1"/>
        <v>43539</v>
      </c>
      <c r="C31" s="390">
        <v>923</v>
      </c>
      <c r="D31" s="397">
        <v>1017</v>
      </c>
      <c r="E31" s="390">
        <v>665</v>
      </c>
      <c r="F31" s="397">
        <v>855</v>
      </c>
      <c r="G31" s="399">
        <f t="shared" si="2"/>
        <v>3460</v>
      </c>
    </row>
    <row r="32" spans="1:8" s="51" customFormat="1" ht="15" customHeight="1" outlineLevel="1" x14ac:dyDescent="0.25">
      <c r="A32" s="29" t="s">
        <v>1</v>
      </c>
      <c r="B32" s="299">
        <f t="shared" si="1"/>
        <v>43540</v>
      </c>
      <c r="C32" s="390">
        <v>0</v>
      </c>
      <c r="D32" s="397">
        <v>408</v>
      </c>
      <c r="E32" s="390">
        <v>0</v>
      </c>
      <c r="F32" s="397">
        <v>570</v>
      </c>
      <c r="G32" s="399">
        <f t="shared" si="2"/>
        <v>978</v>
      </c>
    </row>
    <row r="33" spans="1:8" s="51" customFormat="1" ht="15" customHeight="1" outlineLevel="1" thickBot="1" x14ac:dyDescent="0.3">
      <c r="A33" s="29" t="s">
        <v>2</v>
      </c>
      <c r="B33" s="299">
        <f t="shared" si="1"/>
        <v>43541</v>
      </c>
      <c r="C33" s="390">
        <v>0</v>
      </c>
      <c r="D33" s="397">
        <v>293</v>
      </c>
      <c r="E33" s="390">
        <v>0</v>
      </c>
      <c r="F33" s="397">
        <v>331</v>
      </c>
      <c r="G33" s="399">
        <f t="shared" si="2"/>
        <v>624</v>
      </c>
      <c r="H33" s="159"/>
    </row>
    <row r="34" spans="1:8" s="51" customFormat="1" ht="15" customHeight="1" outlineLevel="1" thickBot="1" x14ac:dyDescent="0.3">
      <c r="A34" s="164" t="s">
        <v>21</v>
      </c>
      <c r="B34" s="493" t="s">
        <v>26</v>
      </c>
      <c r="C34" s="391">
        <f>SUM(C27:C33)</f>
        <v>5933</v>
      </c>
      <c r="D34" s="395">
        <f>SUM(D27:D33)</f>
        <v>6283</v>
      </c>
      <c r="E34" s="391">
        <f>SUM(E27:E33)</f>
        <v>4151</v>
      </c>
      <c r="F34" s="395">
        <f>SUM(F27:F33)</f>
        <v>5613</v>
      </c>
      <c r="G34" s="400">
        <f>SUM(G27:G33)</f>
        <v>21980</v>
      </c>
    </row>
    <row r="35" spans="1:8" s="51" customFormat="1" ht="15" customHeight="1" outlineLevel="1" thickBot="1" x14ac:dyDescent="0.3">
      <c r="A35" s="114" t="s">
        <v>23</v>
      </c>
      <c r="B35" s="494"/>
      <c r="C35" s="391">
        <f>AVERAGE(C27:C33)</f>
        <v>847.57142857142856</v>
      </c>
      <c r="D35" s="395">
        <f>AVERAGE(D27:D33)</f>
        <v>897.57142857142856</v>
      </c>
      <c r="E35" s="391">
        <f>AVERAGE(E27:E33)</f>
        <v>593</v>
      </c>
      <c r="F35" s="395">
        <f>AVERAGE(F27:F33)</f>
        <v>801.85714285714289</v>
      </c>
      <c r="G35" s="400">
        <f>AVERAGE(G27:G33)</f>
        <v>3140</v>
      </c>
    </row>
    <row r="36" spans="1:8" s="51" customFormat="1" ht="15" customHeight="1" thickBot="1" x14ac:dyDescent="0.3">
      <c r="A36" s="30" t="s">
        <v>20</v>
      </c>
      <c r="B36" s="494"/>
      <c r="C36" s="392">
        <f>SUM(C27:C31)</f>
        <v>5933</v>
      </c>
      <c r="D36" s="396">
        <f>SUM(D27:D31)</f>
        <v>5582</v>
      </c>
      <c r="E36" s="392">
        <f>SUM(E27:E31)</f>
        <v>4151</v>
      </c>
      <c r="F36" s="396">
        <f>SUM(F27:F31)</f>
        <v>4712</v>
      </c>
      <c r="G36" s="401">
        <f>SUM(G27:G31)</f>
        <v>20378</v>
      </c>
    </row>
    <row r="37" spans="1:8" s="51" customFormat="1" ht="15" customHeight="1" thickBot="1" x14ac:dyDescent="0.3">
      <c r="A37" s="30" t="s">
        <v>22</v>
      </c>
      <c r="B37" s="502"/>
      <c r="C37" s="392">
        <f>AVERAGE(C27:C31)</f>
        <v>1186.5999999999999</v>
      </c>
      <c r="D37" s="396">
        <f>AVERAGE(D27:D31)</f>
        <v>1116.4000000000001</v>
      </c>
      <c r="E37" s="392">
        <f>AVERAGE(E27:E31)</f>
        <v>830.2</v>
      </c>
      <c r="F37" s="396">
        <f>AVERAGE(F27:F31)</f>
        <v>942.4</v>
      </c>
      <c r="G37" s="401">
        <f>AVERAGE(G27:G31)</f>
        <v>4075.6</v>
      </c>
    </row>
    <row r="38" spans="1:8" s="51" customFormat="1" ht="15" customHeight="1" x14ac:dyDescent="0.25">
      <c r="A38" s="29" t="s">
        <v>3</v>
      </c>
      <c r="B38" s="313">
        <f>B33+1</f>
        <v>43542</v>
      </c>
      <c r="C38" s="390">
        <v>1137</v>
      </c>
      <c r="D38" s="397">
        <v>966</v>
      </c>
      <c r="E38" s="390">
        <v>795</v>
      </c>
      <c r="F38" s="397">
        <v>1007</v>
      </c>
      <c r="G38" s="399">
        <f>SUM(C38:F38)</f>
        <v>3905</v>
      </c>
      <c r="H38" s="159"/>
    </row>
    <row r="39" spans="1:8" s="51" customFormat="1" ht="15" customHeight="1" x14ac:dyDescent="0.25">
      <c r="A39" s="29" t="s">
        <v>4</v>
      </c>
      <c r="B39" s="314">
        <f t="shared" ref="B39:B44" si="3">B38+1</f>
        <v>43543</v>
      </c>
      <c r="C39" s="390">
        <v>1373</v>
      </c>
      <c r="D39" s="397">
        <v>1047</v>
      </c>
      <c r="E39" s="390">
        <v>1072</v>
      </c>
      <c r="F39" s="397">
        <v>854</v>
      </c>
      <c r="G39" s="399">
        <f>SUM(C39:F39)</f>
        <v>4346</v>
      </c>
      <c r="H39" s="159"/>
    </row>
    <row r="40" spans="1:8" s="51" customFormat="1" ht="15" customHeight="1" x14ac:dyDescent="0.25">
      <c r="A40" s="29" t="s">
        <v>5</v>
      </c>
      <c r="B40" s="314">
        <f t="shared" si="3"/>
        <v>43544</v>
      </c>
      <c r="C40" s="390">
        <v>1193</v>
      </c>
      <c r="D40" s="397">
        <v>1176</v>
      </c>
      <c r="E40" s="390">
        <v>874</v>
      </c>
      <c r="F40" s="397">
        <v>905</v>
      </c>
      <c r="G40" s="399">
        <f>SUM(C40:F40)</f>
        <v>4148</v>
      </c>
      <c r="H40" s="159"/>
    </row>
    <row r="41" spans="1:8" s="51" customFormat="1" ht="15" customHeight="1" x14ac:dyDescent="0.25">
      <c r="A41" s="29" t="s">
        <v>6</v>
      </c>
      <c r="B41" s="314">
        <f t="shared" si="3"/>
        <v>43545</v>
      </c>
      <c r="C41" s="390">
        <v>1058</v>
      </c>
      <c r="D41" s="397">
        <v>1172</v>
      </c>
      <c r="E41" s="331">
        <v>767</v>
      </c>
      <c r="F41" s="397">
        <v>898</v>
      </c>
      <c r="G41" s="399">
        <f>SUM(C41:F41)</f>
        <v>3895</v>
      </c>
      <c r="H41" s="159"/>
    </row>
    <row r="42" spans="1:8" s="51" customFormat="1" ht="15" customHeight="1" x14ac:dyDescent="0.25">
      <c r="A42" s="29" t="s">
        <v>0</v>
      </c>
      <c r="B42" s="314">
        <f t="shared" si="3"/>
        <v>43546</v>
      </c>
      <c r="C42" s="390">
        <v>830</v>
      </c>
      <c r="D42" s="397">
        <v>918</v>
      </c>
      <c r="E42" s="331">
        <v>578</v>
      </c>
      <c r="F42" s="397">
        <v>814</v>
      </c>
      <c r="G42" s="399">
        <f>SUM(C42:F42)</f>
        <v>3140</v>
      </c>
      <c r="H42" s="159"/>
    </row>
    <row r="43" spans="1:8" s="51" customFormat="1" ht="15" customHeight="1" outlineLevel="1" x14ac:dyDescent="0.25">
      <c r="A43" s="29" t="s">
        <v>1</v>
      </c>
      <c r="B43" s="314">
        <f t="shared" si="3"/>
        <v>43547</v>
      </c>
      <c r="C43" s="390">
        <v>0</v>
      </c>
      <c r="D43" s="397">
        <v>295</v>
      </c>
      <c r="E43" s="390">
        <v>0</v>
      </c>
      <c r="F43" s="397">
        <v>286</v>
      </c>
      <c r="G43" s="399">
        <f>SUM(C43:F43)</f>
        <v>581</v>
      </c>
      <c r="H43" s="159"/>
    </row>
    <row r="44" spans="1:8" s="51" customFormat="1" ht="15" customHeight="1" outlineLevel="1" thickBot="1" x14ac:dyDescent="0.3">
      <c r="A44" s="29" t="s">
        <v>2</v>
      </c>
      <c r="B44" s="314">
        <f t="shared" si="3"/>
        <v>43548</v>
      </c>
      <c r="C44" s="390">
        <v>0</v>
      </c>
      <c r="D44" s="397">
        <v>380</v>
      </c>
      <c r="E44" s="390">
        <v>0</v>
      </c>
      <c r="F44" s="397">
        <v>433</v>
      </c>
      <c r="G44" s="399">
        <f>SUM(C44:F44)</f>
        <v>813</v>
      </c>
      <c r="H44" s="159"/>
    </row>
    <row r="45" spans="1:8" s="51" customFormat="1" ht="15" customHeight="1" outlineLevel="1" thickBot="1" x14ac:dyDescent="0.3">
      <c r="A45" s="164" t="s">
        <v>21</v>
      </c>
      <c r="B45" s="493" t="s">
        <v>27</v>
      </c>
      <c r="C45" s="391">
        <f>SUM(C38:C44)</f>
        <v>5591</v>
      </c>
      <c r="D45" s="395">
        <f>SUM(D38:D44)</f>
        <v>5954</v>
      </c>
      <c r="E45" s="391">
        <f>SUM(E38:E44)</f>
        <v>4086</v>
      </c>
      <c r="F45" s="395">
        <f>SUM(F38:F44)</f>
        <v>5197</v>
      </c>
      <c r="G45" s="400">
        <f>SUM(G38:G44)</f>
        <v>20828</v>
      </c>
    </row>
    <row r="46" spans="1:8" s="51" customFormat="1" ht="15" customHeight="1" outlineLevel="1" thickBot="1" x14ac:dyDescent="0.3">
      <c r="A46" s="114" t="s">
        <v>23</v>
      </c>
      <c r="B46" s="494"/>
      <c r="C46" s="391">
        <f>AVERAGE(C38:C44)</f>
        <v>798.71428571428567</v>
      </c>
      <c r="D46" s="395">
        <f>AVERAGE(D38:D44)</f>
        <v>850.57142857142856</v>
      </c>
      <c r="E46" s="391">
        <f>AVERAGE(E38:E44)</f>
        <v>583.71428571428567</v>
      </c>
      <c r="F46" s="395">
        <f>AVERAGE(F38:F44)</f>
        <v>742.42857142857144</v>
      </c>
      <c r="G46" s="400">
        <f>AVERAGE(G38:G44)</f>
        <v>2975.4285714285716</v>
      </c>
    </row>
    <row r="47" spans="1:8" s="51" customFormat="1" ht="15" customHeight="1" thickBot="1" x14ac:dyDescent="0.3">
      <c r="A47" s="30" t="s">
        <v>20</v>
      </c>
      <c r="B47" s="494"/>
      <c r="C47" s="392">
        <f>SUM(C38:C42)</f>
        <v>5591</v>
      </c>
      <c r="D47" s="396">
        <f>SUM(D38:D42)</f>
        <v>5279</v>
      </c>
      <c r="E47" s="392">
        <f>SUM(E38:E42)</f>
        <v>4086</v>
      </c>
      <c r="F47" s="396">
        <f>SUM(F38:F42)</f>
        <v>4478</v>
      </c>
      <c r="G47" s="401">
        <f>SUM(G38:G42)</f>
        <v>19434</v>
      </c>
    </row>
    <row r="48" spans="1:8" s="51" customFormat="1" ht="15" customHeight="1" thickBot="1" x14ac:dyDescent="0.3">
      <c r="A48" s="30" t="s">
        <v>22</v>
      </c>
      <c r="B48" s="502"/>
      <c r="C48" s="392">
        <f>AVERAGE(C38:C42)</f>
        <v>1118.2</v>
      </c>
      <c r="D48" s="396">
        <f>AVERAGE(D38:D42)</f>
        <v>1055.8</v>
      </c>
      <c r="E48" s="392">
        <f>AVERAGE(E38:E42)</f>
        <v>817.2</v>
      </c>
      <c r="F48" s="396">
        <f>AVERAGE(F38:F42)</f>
        <v>895.6</v>
      </c>
      <c r="G48" s="401">
        <f>AVERAGE(G38:G42)</f>
        <v>3886.8</v>
      </c>
    </row>
    <row r="49" spans="1:8" s="51" customFormat="1" ht="15" customHeight="1" x14ac:dyDescent="0.25">
      <c r="A49" s="29" t="s">
        <v>3</v>
      </c>
      <c r="B49" s="313">
        <f>B44+1</f>
        <v>43549</v>
      </c>
      <c r="C49" s="331">
        <v>1158</v>
      </c>
      <c r="D49" s="397">
        <v>1195</v>
      </c>
      <c r="E49" s="331">
        <v>806</v>
      </c>
      <c r="F49" s="397">
        <v>887</v>
      </c>
      <c r="G49" s="399">
        <f>SUM(C49:F49)</f>
        <v>4046</v>
      </c>
      <c r="H49" s="159"/>
    </row>
    <row r="50" spans="1:8" s="51" customFormat="1" ht="15" customHeight="1" x14ac:dyDescent="0.25">
      <c r="A50" s="155" t="s">
        <v>4</v>
      </c>
      <c r="B50" s="314">
        <f t="shared" ref="B50:B55" si="4">B49+1</f>
        <v>43550</v>
      </c>
      <c r="C50" s="331">
        <v>896</v>
      </c>
      <c r="D50" s="397">
        <v>1227</v>
      </c>
      <c r="E50" s="331">
        <v>1166</v>
      </c>
      <c r="F50" s="397">
        <v>935</v>
      </c>
      <c r="G50" s="399">
        <f>SUM(C50:F50)</f>
        <v>4224</v>
      </c>
      <c r="H50" s="159"/>
    </row>
    <row r="51" spans="1:8" s="51" customFormat="1" ht="15" customHeight="1" x14ac:dyDescent="0.25">
      <c r="A51" s="155" t="s">
        <v>5</v>
      </c>
      <c r="B51" s="314">
        <f t="shared" si="4"/>
        <v>43551</v>
      </c>
      <c r="C51" s="331">
        <v>1212</v>
      </c>
      <c r="D51" s="397">
        <v>1180</v>
      </c>
      <c r="E51" s="331">
        <v>810</v>
      </c>
      <c r="F51" s="397">
        <v>934</v>
      </c>
      <c r="G51" s="399">
        <f>SUM(C51:F51)</f>
        <v>4136</v>
      </c>
      <c r="H51" s="159"/>
    </row>
    <row r="52" spans="1:8" s="51" customFormat="1" ht="13.5" x14ac:dyDescent="0.25">
      <c r="A52" s="155" t="s">
        <v>6</v>
      </c>
      <c r="B52" s="314">
        <f t="shared" si="4"/>
        <v>43552</v>
      </c>
      <c r="C52" s="390">
        <v>1227</v>
      </c>
      <c r="D52" s="394">
        <v>1143</v>
      </c>
      <c r="E52" s="390">
        <v>901</v>
      </c>
      <c r="F52" s="394">
        <v>909</v>
      </c>
      <c r="G52" s="399">
        <f>SUM(C52:F52)</f>
        <v>4180</v>
      </c>
      <c r="H52" s="159"/>
    </row>
    <row r="53" spans="1:8" s="51" customFormat="1" ht="13.5" x14ac:dyDescent="0.25">
      <c r="A53" s="29" t="s">
        <v>0</v>
      </c>
      <c r="B53" s="315">
        <f t="shared" si="4"/>
        <v>43553</v>
      </c>
      <c r="C53" s="390">
        <v>932</v>
      </c>
      <c r="D53" s="394">
        <v>1020</v>
      </c>
      <c r="E53" s="390">
        <v>716</v>
      </c>
      <c r="F53" s="394">
        <v>746</v>
      </c>
      <c r="G53" s="399">
        <f>SUM(C53:F53)</f>
        <v>3414</v>
      </c>
      <c r="H53" s="159"/>
    </row>
    <row r="54" spans="1:8" s="51" customFormat="1" ht="13.5" outlineLevel="1" x14ac:dyDescent="0.25">
      <c r="A54" s="29" t="s">
        <v>1</v>
      </c>
      <c r="B54" s="315">
        <f t="shared" si="4"/>
        <v>43554</v>
      </c>
      <c r="C54" s="390">
        <v>0</v>
      </c>
      <c r="D54" s="394">
        <v>434</v>
      </c>
      <c r="E54" s="390">
        <v>0</v>
      </c>
      <c r="F54" s="394">
        <v>524</v>
      </c>
      <c r="G54" s="399">
        <f>SUM(C54:F54)</f>
        <v>958</v>
      </c>
      <c r="H54" s="159"/>
    </row>
    <row r="55" spans="1:8" s="51" customFormat="1" ht="14.25" outlineLevel="1" thickBot="1" x14ac:dyDescent="0.3">
      <c r="A55" s="155" t="s">
        <v>2</v>
      </c>
      <c r="B55" s="315">
        <f t="shared" si="4"/>
        <v>43555</v>
      </c>
      <c r="C55" s="390">
        <v>0</v>
      </c>
      <c r="D55" s="394">
        <v>290</v>
      </c>
      <c r="E55" s="390">
        <v>0</v>
      </c>
      <c r="F55" s="394">
        <v>397</v>
      </c>
      <c r="G55" s="399">
        <f>SUM(C55:F55)</f>
        <v>687</v>
      </c>
    </row>
    <row r="56" spans="1:8" s="51" customFormat="1" ht="15" customHeight="1" outlineLevel="1" thickBot="1" x14ac:dyDescent="0.3">
      <c r="A56" s="164" t="s">
        <v>21</v>
      </c>
      <c r="B56" s="493" t="s">
        <v>28</v>
      </c>
      <c r="C56" s="391">
        <f>SUM(C49:C55)</f>
        <v>5425</v>
      </c>
      <c r="D56" s="395">
        <f>SUM(D49:D55)</f>
        <v>6489</v>
      </c>
      <c r="E56" s="391">
        <f>SUM(E49:E55)</f>
        <v>4399</v>
      </c>
      <c r="F56" s="395">
        <f>SUM(F49:F55)</f>
        <v>5332</v>
      </c>
      <c r="G56" s="400">
        <f>SUM(G49:G55)</f>
        <v>21645</v>
      </c>
    </row>
    <row r="57" spans="1:8" s="51" customFormat="1" ht="15" customHeight="1" outlineLevel="1" thickBot="1" x14ac:dyDescent="0.3">
      <c r="A57" s="114" t="s">
        <v>23</v>
      </c>
      <c r="B57" s="494"/>
      <c r="C57" s="391">
        <f>AVERAGE(C49:C55)</f>
        <v>775</v>
      </c>
      <c r="D57" s="395">
        <f>AVERAGE(D49:D55)</f>
        <v>927</v>
      </c>
      <c r="E57" s="391">
        <f>AVERAGE(E49:E55)</f>
        <v>628.42857142857144</v>
      </c>
      <c r="F57" s="395">
        <f>AVERAGE(F49:F55)</f>
        <v>761.71428571428567</v>
      </c>
      <c r="G57" s="400">
        <f>AVERAGE(G49:G55)</f>
        <v>3092.1428571428573</v>
      </c>
    </row>
    <row r="58" spans="1:8" s="51" customFormat="1" ht="15" customHeight="1" thickBot="1" x14ac:dyDescent="0.3">
      <c r="A58" s="30" t="s">
        <v>20</v>
      </c>
      <c r="B58" s="494"/>
      <c r="C58" s="392">
        <f>SUM(C49:C53)</f>
        <v>5425</v>
      </c>
      <c r="D58" s="396">
        <f>SUM(D49:D53)</f>
        <v>5765</v>
      </c>
      <c r="E58" s="392">
        <f>SUM(E49:E53)</f>
        <v>4399</v>
      </c>
      <c r="F58" s="396">
        <f>SUM(F49:F53)</f>
        <v>4411</v>
      </c>
      <c r="G58" s="401">
        <f>SUM(G49:G53)</f>
        <v>20000</v>
      </c>
    </row>
    <row r="59" spans="1:8" s="51" customFormat="1" ht="14.25" thickBot="1" x14ac:dyDescent="0.3">
      <c r="A59" s="30" t="s">
        <v>22</v>
      </c>
      <c r="B59" s="502"/>
      <c r="C59" s="330">
        <f>AVERAGE(C49:C53)</f>
        <v>1085</v>
      </c>
      <c r="D59" s="398">
        <f>AVERAGE(D49:D53)</f>
        <v>1153</v>
      </c>
      <c r="E59" s="330">
        <f>AVERAGE(E49:E53)</f>
        <v>879.8</v>
      </c>
      <c r="F59" s="398">
        <f>AVERAGE(F49:F53)</f>
        <v>882.2</v>
      </c>
      <c r="G59" s="402">
        <f>AVERAGE(G49:G53)</f>
        <v>4000</v>
      </c>
    </row>
    <row r="60" spans="1:8" s="51" customFormat="1" ht="14.25" hidden="1" thickBot="1" x14ac:dyDescent="0.3">
      <c r="A60" s="155" t="s">
        <v>3</v>
      </c>
      <c r="B60" s="182">
        <f>B55+1</f>
        <v>43556</v>
      </c>
      <c r="C60" s="12"/>
      <c r="D60" s="67"/>
      <c r="E60" s="12"/>
      <c r="F60" s="13"/>
      <c r="G60" s="16">
        <f>SUM(C60:F60)</f>
        <v>0</v>
      </c>
    </row>
    <row r="61" spans="1:8" s="51" customFormat="1" ht="14.25" hidden="1" thickBot="1" x14ac:dyDescent="0.3">
      <c r="A61" s="155" t="s">
        <v>4</v>
      </c>
      <c r="B61" s="183">
        <f t="shared" ref="B61:B66" si="5">B60+1</f>
        <v>43557</v>
      </c>
      <c r="C61" s="12"/>
      <c r="D61" s="67"/>
      <c r="E61" s="19"/>
      <c r="F61" s="20"/>
      <c r="G61" s="18">
        <f>SUM(C61:F61)</f>
        <v>0</v>
      </c>
    </row>
    <row r="62" spans="1:8" s="51" customFormat="1" ht="14.25" hidden="1" thickBot="1" x14ac:dyDescent="0.3">
      <c r="A62" s="155"/>
      <c r="B62" s="183">
        <f t="shared" si="5"/>
        <v>43558</v>
      </c>
      <c r="C62" s="12"/>
      <c r="D62" s="67"/>
      <c r="E62" s="19"/>
      <c r="F62" s="20"/>
      <c r="G62" s="18"/>
    </row>
    <row r="63" spans="1:8" s="51" customFormat="1" ht="14.25" hidden="1" thickBot="1" x14ac:dyDescent="0.3">
      <c r="A63" s="155"/>
      <c r="B63" s="183">
        <f t="shared" si="5"/>
        <v>43559</v>
      </c>
      <c r="C63" s="12"/>
      <c r="D63" s="67"/>
      <c r="E63" s="19"/>
      <c r="F63" s="20"/>
      <c r="G63" s="18"/>
    </row>
    <row r="64" spans="1:8" s="51" customFormat="1" ht="14.25" hidden="1" thickBot="1" x14ac:dyDescent="0.3">
      <c r="A64" s="29"/>
      <c r="B64" s="183">
        <f t="shared" si="5"/>
        <v>43560</v>
      </c>
      <c r="C64" s="12"/>
      <c r="D64" s="67"/>
      <c r="E64" s="19"/>
      <c r="F64" s="20"/>
      <c r="G64" s="18"/>
    </row>
    <row r="65" spans="1:7" s="51" customFormat="1" ht="14.25" hidden="1" outlineLevel="1" thickBot="1" x14ac:dyDescent="0.3">
      <c r="A65" s="29"/>
      <c r="B65" s="183">
        <f t="shared" si="5"/>
        <v>43561</v>
      </c>
      <c r="C65" s="19"/>
      <c r="D65" s="68"/>
      <c r="E65" s="19"/>
      <c r="F65" s="20"/>
      <c r="G65" s="18"/>
    </row>
    <row r="66" spans="1:7" s="51" customFormat="1" ht="14.25" hidden="1" outlineLevel="1" thickBot="1" x14ac:dyDescent="0.3">
      <c r="A66" s="29"/>
      <c r="B66" s="183">
        <f t="shared" si="5"/>
        <v>43562</v>
      </c>
      <c r="C66" s="23"/>
      <c r="D66" s="69"/>
      <c r="E66" s="23"/>
      <c r="F66" s="24"/>
      <c r="G66" s="70"/>
    </row>
    <row r="67" spans="1:7" s="51" customFormat="1" ht="14.25" hidden="1" outlineLevel="1" thickBot="1" x14ac:dyDescent="0.3">
      <c r="A67" s="164" t="s">
        <v>21</v>
      </c>
      <c r="B67" s="503" t="s">
        <v>32</v>
      </c>
      <c r="C67" s="119">
        <f>SUM(C60:C66)</f>
        <v>0</v>
      </c>
      <c r="D67" s="119">
        <f>SUM(D60:D66)</f>
        <v>0</v>
      </c>
      <c r="E67" s="119">
        <f>SUM(E60:E66)</f>
        <v>0</v>
      </c>
      <c r="F67" s="119">
        <f>SUM(F60:F66)</f>
        <v>0</v>
      </c>
      <c r="G67" s="119">
        <f>SUM(G60:G66)</f>
        <v>0</v>
      </c>
    </row>
    <row r="68" spans="1:7" s="51" customFormat="1" ht="14.25" hidden="1" outlineLevel="1" thickBot="1" x14ac:dyDescent="0.3">
      <c r="A68" s="114" t="s">
        <v>23</v>
      </c>
      <c r="B68" s="504"/>
      <c r="C68" s="115" t="e">
        <f>AVERAGE(C60:C66)</f>
        <v>#DIV/0!</v>
      </c>
      <c r="D68" s="115" t="e">
        <f>AVERAGE(D60:D66)</f>
        <v>#DIV/0!</v>
      </c>
      <c r="E68" s="115" t="e">
        <f>AVERAGE(E60:E66)</f>
        <v>#DIV/0!</v>
      </c>
      <c r="F68" s="115" t="e">
        <f>AVERAGE(F60:F66)</f>
        <v>#DIV/0!</v>
      </c>
      <c r="G68" s="115">
        <f>AVERAGE(G60:G66)</f>
        <v>0</v>
      </c>
    </row>
    <row r="69" spans="1:7" s="51" customFormat="1" ht="14.25" hidden="1" thickBot="1" x14ac:dyDescent="0.3">
      <c r="A69" s="30" t="s">
        <v>20</v>
      </c>
      <c r="B69" s="504"/>
      <c r="C69" s="31">
        <f>SUM(C60:C64)</f>
        <v>0</v>
      </c>
      <c r="D69" s="31">
        <f>SUM(D60:D64)</f>
        <v>0</v>
      </c>
      <c r="E69" s="31">
        <f>SUM(E60:E64)</f>
        <v>0</v>
      </c>
      <c r="F69" s="31">
        <f>SUM(F60:F64)</f>
        <v>0</v>
      </c>
      <c r="G69" s="31">
        <f>SUM(G60:G64)</f>
        <v>0</v>
      </c>
    </row>
    <row r="70" spans="1:7" s="51" customFormat="1" ht="14.25" hidden="1" thickBot="1" x14ac:dyDescent="0.3">
      <c r="A70" s="30" t="s">
        <v>22</v>
      </c>
      <c r="B70" s="505"/>
      <c r="C70" s="35" t="e">
        <f>AVERAGE(C60:C64)</f>
        <v>#DIV/0!</v>
      </c>
      <c r="D70" s="35" t="e">
        <f>AVERAGE(D60:D64)</f>
        <v>#DIV/0!</v>
      </c>
      <c r="E70" s="35" t="e">
        <f>AVERAGE(E60:E64)</f>
        <v>#DIV/0!</v>
      </c>
      <c r="F70" s="35" t="e">
        <f>AVERAGE(F60:F64)</f>
        <v>#DIV/0!</v>
      </c>
      <c r="G70" s="35">
        <f>AVERAGE(G60:G64)</f>
        <v>0</v>
      </c>
    </row>
    <row r="71" spans="1:7" s="51" customFormat="1" ht="15" customHeight="1" x14ac:dyDescent="0.25">
      <c r="A71" s="4"/>
      <c r="B71" s="137"/>
      <c r="C71" s="54"/>
      <c r="D71" s="54"/>
      <c r="E71" s="54"/>
      <c r="F71" s="54"/>
      <c r="G71" s="54"/>
    </row>
    <row r="72" spans="1:7" s="51" customFormat="1" ht="30" customHeight="1" x14ac:dyDescent="0.25">
      <c r="A72" s="195"/>
      <c r="B72" s="43" t="s">
        <v>10</v>
      </c>
      <c r="C72" s="43" t="s">
        <v>14</v>
      </c>
      <c r="D72" s="54"/>
      <c r="E72" s="540" t="s">
        <v>60</v>
      </c>
      <c r="F72" s="541"/>
      <c r="G72" s="542"/>
    </row>
    <row r="73" spans="1:7" ht="30" customHeight="1" x14ac:dyDescent="0.25">
      <c r="A73" s="46" t="s">
        <v>30</v>
      </c>
      <c r="B73" s="197">
        <f>SUM(C58:D58, C47:D47, C36:D36, C25:D25, C14:D14, C69:D69)</f>
        <v>46433</v>
      </c>
      <c r="C73" s="41">
        <f>SUM(E69:F69, E58:F58, E47:F47, E36:F36, E25:F25, E14:F14)</f>
        <v>35602</v>
      </c>
      <c r="D73" s="123"/>
      <c r="E73" s="495" t="s">
        <v>30</v>
      </c>
      <c r="F73" s="496"/>
      <c r="G73" s="110">
        <f>SUM(G14, G25, G36, G47, G58, G69)</f>
        <v>82035</v>
      </c>
    </row>
    <row r="74" spans="1:7" ht="30" customHeight="1" x14ac:dyDescent="0.25">
      <c r="A74" s="46" t="s">
        <v>29</v>
      </c>
      <c r="B74" s="197">
        <f>SUM(C56:D56, C45:D45, C34:D34, C23:D23, C12:D12, C67:D67)</f>
        <v>49647</v>
      </c>
      <c r="C74" s="41">
        <f>SUM(E67:F67, E56:F56, E45:F45, E34:F34, E23:F23, E12:F12)</f>
        <v>39486</v>
      </c>
      <c r="D74" s="123"/>
      <c r="E74" s="495" t="s">
        <v>29</v>
      </c>
      <c r="F74" s="496"/>
      <c r="G74" s="111">
        <f>SUM(G56, G45, G34, G23, G12, G67)</f>
        <v>89133</v>
      </c>
    </row>
    <row r="75" spans="1:7" ht="30" customHeight="1" x14ac:dyDescent="0.25">
      <c r="E75" s="495" t="s">
        <v>22</v>
      </c>
      <c r="F75" s="496"/>
      <c r="G75" s="111">
        <f>AVERAGE(G14, G25, G36, G47, G58, G69)</f>
        <v>13672.5</v>
      </c>
    </row>
    <row r="76" spans="1:7" x14ac:dyDescent="0.25">
      <c r="E76" s="495" t="s">
        <v>62</v>
      </c>
      <c r="F76" s="496"/>
      <c r="G76" s="110">
        <f>AVERAGE(G56, G45, G34, G23, G12, G67)</f>
        <v>14855.5</v>
      </c>
    </row>
    <row r="78" spans="1:7" x14ac:dyDescent="0.25">
      <c r="C78" s="157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  <ignoredErrors>
    <ignoredError sqref="C24" emptyCellReference="1"/>
    <ignoredError sqref="C13 E13:F13" evalError="1" emptyCellReference="1"/>
    <ignoredError sqref="D34:F34 G24 C34 G26" formulaRange="1" emptyCellReference="1"/>
    <ignoredError sqref="G59 F26" formulaRange="1"/>
    <ignoredError sqref="D59:F59 D35:F35 G35 D46:F46 D57:F57 D15:E15 G13 G46 C46 C57 C35 C59 G15 C37 D37:F37 G37 C48 D48:F48 G48" evalError="1" formulaRange="1" emptyCellReference="1"/>
    <ignoredError sqref="G57" evalError="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S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N72" sqref="N72"/>
    </sheetView>
  </sheetViews>
  <sheetFormatPr defaultRowHeight="15" outlineLevelRow="1" x14ac:dyDescent="0.25"/>
  <cols>
    <col min="1" max="1" width="18.7109375" style="1" bestFit="1" customWidth="1"/>
    <col min="2" max="2" width="16.28515625" style="138" customWidth="1"/>
    <col min="3" max="11" width="15.7109375" style="11" customWidth="1"/>
    <col min="12" max="12" width="18.5703125" style="11" bestFit="1" customWidth="1"/>
    <col min="13" max="16384" width="9.140625" style="11"/>
  </cols>
  <sheetData>
    <row r="1" spans="1:12" ht="15" customHeight="1" x14ac:dyDescent="0.25">
      <c r="A1" s="27"/>
      <c r="B1" s="175"/>
      <c r="C1" s="512" t="s">
        <v>102</v>
      </c>
      <c r="D1" s="534"/>
      <c r="E1" s="534"/>
      <c r="F1" s="497"/>
      <c r="G1" s="512" t="s">
        <v>99</v>
      </c>
      <c r="H1" s="497"/>
      <c r="I1" s="512" t="s">
        <v>100</v>
      </c>
      <c r="J1" s="497"/>
      <c r="K1" s="552" t="s">
        <v>19</v>
      </c>
    </row>
    <row r="2" spans="1:12" ht="15" customHeight="1" thickBot="1" x14ac:dyDescent="0.3">
      <c r="A2" s="28"/>
      <c r="B2" s="176"/>
      <c r="C2" s="513"/>
      <c r="D2" s="535"/>
      <c r="E2" s="535"/>
      <c r="F2" s="498"/>
      <c r="G2" s="513"/>
      <c r="H2" s="498"/>
      <c r="I2" s="571"/>
      <c r="J2" s="572"/>
      <c r="K2" s="553"/>
    </row>
    <row r="3" spans="1:12" ht="13.5" customHeight="1" x14ac:dyDescent="0.25">
      <c r="A3" s="481" t="s">
        <v>52</v>
      </c>
      <c r="B3" s="509" t="s">
        <v>53</v>
      </c>
      <c r="C3" s="555" t="s">
        <v>7</v>
      </c>
      <c r="D3" s="555" t="s">
        <v>96</v>
      </c>
      <c r="E3" s="538" t="s">
        <v>97</v>
      </c>
      <c r="F3" s="537" t="s">
        <v>98</v>
      </c>
      <c r="G3" s="538" t="s">
        <v>93</v>
      </c>
      <c r="H3" s="411" t="s">
        <v>112</v>
      </c>
      <c r="I3" s="537" t="s">
        <v>10</v>
      </c>
      <c r="J3" s="507" t="s">
        <v>115</v>
      </c>
      <c r="K3" s="553"/>
    </row>
    <row r="4" spans="1:12" ht="15" customHeight="1" thickBot="1" x14ac:dyDescent="0.3">
      <c r="A4" s="518"/>
      <c r="B4" s="511"/>
      <c r="C4" s="559"/>
      <c r="D4" s="507"/>
      <c r="E4" s="539"/>
      <c r="F4" s="507"/>
      <c r="G4" s="539"/>
      <c r="H4" s="410" t="s">
        <v>113</v>
      </c>
      <c r="I4" s="507"/>
      <c r="J4" s="508"/>
      <c r="K4" s="554"/>
    </row>
    <row r="5" spans="1:12" s="50" customFormat="1" ht="14.25" hidden="1" thickBot="1" x14ac:dyDescent="0.3">
      <c r="A5" s="29" t="s">
        <v>3</v>
      </c>
      <c r="B5" s="375">
        <v>43521</v>
      </c>
      <c r="C5" s="321"/>
      <c r="D5" s="322"/>
      <c r="E5" s="57"/>
      <c r="F5" s="57"/>
      <c r="G5" s="322"/>
      <c r="H5" s="565"/>
      <c r="I5" s="56"/>
      <c r="J5" s="59"/>
      <c r="K5" s="59">
        <f t="shared" ref="K5" si="0">SUM(C5:I5)</f>
        <v>0</v>
      </c>
    </row>
    <row r="6" spans="1:12" s="50" customFormat="1" ht="14.25" hidden="1" thickBot="1" x14ac:dyDescent="0.3">
      <c r="A6" s="29" t="s">
        <v>4</v>
      </c>
      <c r="B6" s="305">
        <v>43522</v>
      </c>
      <c r="C6" s="246"/>
      <c r="D6" s="316"/>
      <c r="E6" s="21"/>
      <c r="F6" s="21"/>
      <c r="G6" s="316"/>
      <c r="H6" s="566"/>
      <c r="I6" s="20"/>
      <c r="J6" s="17"/>
      <c r="K6" s="59">
        <f t="shared" ref="K6:K11" si="1">SUM(C6:I6)</f>
        <v>0</v>
      </c>
    </row>
    <row r="7" spans="1:12" s="50" customFormat="1" ht="14.25" hidden="1" thickBot="1" x14ac:dyDescent="0.3">
      <c r="A7" s="29" t="s">
        <v>5</v>
      </c>
      <c r="B7" s="305">
        <v>43523</v>
      </c>
      <c r="C7" s="323"/>
      <c r="D7" s="316"/>
      <c r="E7" s="21"/>
      <c r="F7" s="21"/>
      <c r="G7" s="316"/>
      <c r="H7" s="566"/>
      <c r="I7" s="20"/>
      <c r="J7" s="17"/>
      <c r="K7" s="59">
        <f t="shared" si="1"/>
        <v>0</v>
      </c>
    </row>
    <row r="8" spans="1:12" s="50" customFormat="1" ht="14.25" hidden="1" thickBot="1" x14ac:dyDescent="0.3">
      <c r="A8" s="29" t="s">
        <v>6</v>
      </c>
      <c r="B8" s="305">
        <v>43524</v>
      </c>
      <c r="C8" s="406"/>
      <c r="D8" s="407"/>
      <c r="E8" s="25"/>
      <c r="F8" s="25"/>
      <c r="G8" s="408"/>
      <c r="H8" s="567"/>
      <c r="I8" s="24"/>
      <c r="J8" s="348"/>
      <c r="K8" s="59">
        <f t="shared" si="1"/>
        <v>0</v>
      </c>
      <c r="L8" s="156"/>
    </row>
    <row r="9" spans="1:12" s="50" customFormat="1" ht="14.25" thickBot="1" x14ac:dyDescent="0.3">
      <c r="A9" s="29" t="s">
        <v>0</v>
      </c>
      <c r="B9" s="305">
        <v>43525</v>
      </c>
      <c r="C9" s="321">
        <f>35+17</f>
        <v>52</v>
      </c>
      <c r="D9" s="349">
        <f>6+24</f>
        <v>30</v>
      </c>
      <c r="E9" s="57">
        <f>30+15</f>
        <v>45</v>
      </c>
      <c r="F9" s="127">
        <f>54+69</f>
        <v>123</v>
      </c>
      <c r="G9" s="321">
        <v>159</v>
      </c>
      <c r="H9" s="584">
        <v>171</v>
      </c>
      <c r="I9" s="579">
        <v>54</v>
      </c>
      <c r="J9" s="68">
        <v>46</v>
      </c>
      <c r="K9" s="18">
        <f>SUM(C9:J9)</f>
        <v>680</v>
      </c>
      <c r="L9" s="156"/>
    </row>
    <row r="10" spans="1:12" s="50" customFormat="1" ht="14.25" outlineLevel="1" thickBot="1" x14ac:dyDescent="0.3">
      <c r="A10" s="29" t="s">
        <v>1</v>
      </c>
      <c r="B10" s="305">
        <v>43526</v>
      </c>
      <c r="C10" s="246">
        <f>85+85</f>
        <v>170</v>
      </c>
      <c r="D10" s="317">
        <f>19+22</f>
        <v>41</v>
      </c>
      <c r="E10" s="21">
        <f>62+20</f>
        <v>82</v>
      </c>
      <c r="F10" s="68">
        <f>109+148</f>
        <v>257</v>
      </c>
      <c r="G10" s="246"/>
      <c r="H10" s="328"/>
      <c r="I10" s="142">
        <v>311</v>
      </c>
      <c r="J10" s="68">
        <v>243</v>
      </c>
      <c r="K10" s="18">
        <f>SUM(C10:J10)</f>
        <v>1104</v>
      </c>
      <c r="L10" s="156"/>
    </row>
    <row r="11" spans="1:12" s="50" customFormat="1" ht="15" customHeight="1" outlineLevel="1" thickBot="1" x14ac:dyDescent="0.3">
      <c r="A11" s="29" t="s">
        <v>2</v>
      </c>
      <c r="B11" s="305">
        <v>43527</v>
      </c>
      <c r="C11" s="246">
        <f>84+61</f>
        <v>145</v>
      </c>
      <c r="D11" s="317">
        <f>28+50</f>
        <v>78</v>
      </c>
      <c r="E11" s="21">
        <f>82+29</f>
        <v>111</v>
      </c>
      <c r="F11" s="68">
        <f>102+156</f>
        <v>258</v>
      </c>
      <c r="G11" s="246"/>
      <c r="H11" s="328"/>
      <c r="I11" s="142">
        <v>368</v>
      </c>
      <c r="J11" s="68">
        <v>322</v>
      </c>
      <c r="K11" s="18">
        <f>SUM(C11:J11)</f>
        <v>1282</v>
      </c>
      <c r="L11" s="156"/>
    </row>
    <row r="12" spans="1:12" s="51" customFormat="1" ht="15" customHeight="1" outlineLevel="1" thickBot="1" x14ac:dyDescent="0.3">
      <c r="A12" s="164" t="s">
        <v>21</v>
      </c>
      <c r="B12" s="493" t="s">
        <v>24</v>
      </c>
      <c r="C12" s="324">
        <f t="shared" ref="C12:K12" si="2">SUM(C5:C11)</f>
        <v>367</v>
      </c>
      <c r="D12" s="319">
        <f t="shared" si="2"/>
        <v>149</v>
      </c>
      <c r="E12" s="319">
        <f t="shared" si="2"/>
        <v>238</v>
      </c>
      <c r="F12" s="352">
        <f t="shared" si="2"/>
        <v>638</v>
      </c>
      <c r="G12" s="324">
        <f t="shared" si="2"/>
        <v>159</v>
      </c>
      <c r="H12" s="325">
        <f>SUM(H9:H11)</f>
        <v>171</v>
      </c>
      <c r="I12" s="580">
        <f>SUM(I5:I11)</f>
        <v>733</v>
      </c>
      <c r="J12" s="357">
        <f>SUM(J5:J11)</f>
        <v>611</v>
      </c>
      <c r="K12" s="122">
        <f t="shared" si="2"/>
        <v>3066</v>
      </c>
    </row>
    <row r="13" spans="1:12" s="51" customFormat="1" ht="15" customHeight="1" outlineLevel="1" thickBot="1" x14ac:dyDescent="0.3">
      <c r="A13" s="114" t="s">
        <v>23</v>
      </c>
      <c r="B13" s="494"/>
      <c r="C13" s="324">
        <f t="shared" ref="C13:J13" si="3">AVERAGE(C5:C11)</f>
        <v>122.33333333333333</v>
      </c>
      <c r="D13" s="319">
        <f t="shared" si="3"/>
        <v>49.666666666666664</v>
      </c>
      <c r="E13" s="319">
        <f t="shared" si="3"/>
        <v>79.333333333333329</v>
      </c>
      <c r="F13" s="352">
        <f t="shared" si="3"/>
        <v>212.66666666666666</v>
      </c>
      <c r="G13" s="324">
        <f t="shared" si="3"/>
        <v>159</v>
      </c>
      <c r="H13" s="325">
        <f>AVERAGE(H9:H11)</f>
        <v>171</v>
      </c>
      <c r="I13" s="580">
        <f t="shared" si="3"/>
        <v>244.33333333333334</v>
      </c>
      <c r="J13" s="357">
        <f t="shared" si="3"/>
        <v>203.66666666666666</v>
      </c>
      <c r="K13" s="118">
        <f>AVERAGE(K5:K11)</f>
        <v>438</v>
      </c>
    </row>
    <row r="14" spans="1:12" s="51" customFormat="1" ht="15" customHeight="1" thickBot="1" x14ac:dyDescent="0.3">
      <c r="A14" s="30" t="s">
        <v>20</v>
      </c>
      <c r="B14" s="494"/>
      <c r="C14" s="326">
        <f t="shared" ref="C14:K14" si="4">SUM(C5:C9)</f>
        <v>52</v>
      </c>
      <c r="D14" s="320">
        <f t="shared" si="4"/>
        <v>30</v>
      </c>
      <c r="E14" s="320">
        <f t="shared" si="4"/>
        <v>45</v>
      </c>
      <c r="F14" s="353">
        <f t="shared" si="4"/>
        <v>123</v>
      </c>
      <c r="G14" s="326">
        <f t="shared" si="4"/>
        <v>159</v>
      </c>
      <c r="H14" s="327">
        <f>SUM(H9)</f>
        <v>171</v>
      </c>
      <c r="I14" s="581">
        <f t="shared" si="4"/>
        <v>54</v>
      </c>
      <c r="J14" s="358">
        <f t="shared" si="4"/>
        <v>46</v>
      </c>
      <c r="K14" s="34">
        <f t="shared" si="4"/>
        <v>680</v>
      </c>
    </row>
    <row r="15" spans="1:12" s="51" customFormat="1" ht="15" customHeight="1" thickBot="1" x14ac:dyDescent="0.3">
      <c r="A15" s="30" t="s">
        <v>22</v>
      </c>
      <c r="B15" s="494"/>
      <c r="C15" s="326">
        <f t="shared" ref="C15:K15" si="5">AVERAGE(C5:C9)</f>
        <v>52</v>
      </c>
      <c r="D15" s="320">
        <f t="shared" si="5"/>
        <v>30</v>
      </c>
      <c r="E15" s="320">
        <f t="shared" si="5"/>
        <v>45</v>
      </c>
      <c r="F15" s="353">
        <f t="shared" si="5"/>
        <v>123</v>
      </c>
      <c r="G15" s="326">
        <f t="shared" si="5"/>
        <v>159</v>
      </c>
      <c r="H15" s="327">
        <f>AVERAGE(H9)</f>
        <v>171</v>
      </c>
      <c r="I15" s="581">
        <f t="shared" si="5"/>
        <v>54</v>
      </c>
      <c r="J15" s="358">
        <f t="shared" si="5"/>
        <v>46</v>
      </c>
      <c r="K15" s="39">
        <f t="shared" si="5"/>
        <v>136</v>
      </c>
    </row>
    <row r="16" spans="1:12" s="51" customFormat="1" ht="15" customHeight="1" thickBot="1" x14ac:dyDescent="0.3">
      <c r="A16" s="29" t="s">
        <v>3</v>
      </c>
      <c r="B16" s="309">
        <f>B11+1</f>
        <v>43528</v>
      </c>
      <c r="C16" s="246">
        <f>62+45</f>
        <v>107</v>
      </c>
      <c r="D16" s="316">
        <f>25+29</f>
        <v>54</v>
      </c>
      <c r="E16" s="40">
        <f>63+65</f>
        <v>128</v>
      </c>
      <c r="F16" s="355">
        <f>111+122</f>
        <v>233</v>
      </c>
      <c r="G16" s="246">
        <v>158</v>
      </c>
      <c r="H16" s="328">
        <v>159</v>
      </c>
      <c r="I16" s="582">
        <v>59</v>
      </c>
      <c r="J16" s="355">
        <v>34</v>
      </c>
      <c r="K16" s="16">
        <f>SUM(C16:J16)</f>
        <v>932</v>
      </c>
    </row>
    <row r="17" spans="1:11" s="51" customFormat="1" ht="15" customHeight="1" thickBot="1" x14ac:dyDescent="0.3">
      <c r="A17" s="29" t="s">
        <v>4</v>
      </c>
      <c r="B17" s="310">
        <f t="shared" ref="B17:B22" si="6">B16+1</f>
        <v>43529</v>
      </c>
      <c r="C17" s="246"/>
      <c r="D17" s="316"/>
      <c r="E17" s="40"/>
      <c r="F17" s="355"/>
      <c r="G17" s="246">
        <v>204</v>
      </c>
      <c r="H17" s="328">
        <v>186</v>
      </c>
      <c r="I17" s="582">
        <v>33</v>
      </c>
      <c r="J17" s="355">
        <v>28</v>
      </c>
      <c r="K17" s="18">
        <f>SUM(C17:J17)</f>
        <v>451</v>
      </c>
    </row>
    <row r="18" spans="1:11" s="51" customFormat="1" ht="15" customHeight="1" thickBot="1" x14ac:dyDescent="0.3">
      <c r="A18" s="29" t="s">
        <v>5</v>
      </c>
      <c r="B18" s="310">
        <f t="shared" si="6"/>
        <v>43530</v>
      </c>
      <c r="C18" s="246"/>
      <c r="D18" s="316"/>
      <c r="E18" s="40"/>
      <c r="F18" s="355"/>
      <c r="G18" s="246">
        <v>177</v>
      </c>
      <c r="H18" s="328">
        <v>179</v>
      </c>
      <c r="I18" s="582">
        <v>50</v>
      </c>
      <c r="J18" s="355">
        <v>38</v>
      </c>
      <c r="K18" s="18">
        <f>SUM(C18:J18)</f>
        <v>444</v>
      </c>
    </row>
    <row r="19" spans="1:11" s="51" customFormat="1" ht="15" customHeight="1" thickBot="1" x14ac:dyDescent="0.3">
      <c r="A19" s="29" t="s">
        <v>6</v>
      </c>
      <c r="B19" s="311">
        <f t="shared" si="6"/>
        <v>43531</v>
      </c>
      <c r="C19" s="246">
        <f>40+67</f>
        <v>107</v>
      </c>
      <c r="D19" s="316">
        <f>28+40</f>
        <v>68</v>
      </c>
      <c r="E19" s="304">
        <f>56+15</f>
        <v>71</v>
      </c>
      <c r="F19" s="68">
        <f>112+114</f>
        <v>226</v>
      </c>
      <c r="G19" s="246">
        <v>183</v>
      </c>
      <c r="H19" s="328">
        <v>176</v>
      </c>
      <c r="I19" s="142">
        <v>43</v>
      </c>
      <c r="J19" s="68">
        <v>25</v>
      </c>
      <c r="K19" s="18">
        <f>SUM(C19:J19)</f>
        <v>899</v>
      </c>
    </row>
    <row r="20" spans="1:11" s="51" customFormat="1" ht="15" customHeight="1" thickBot="1" x14ac:dyDescent="0.3">
      <c r="A20" s="29" t="s">
        <v>0</v>
      </c>
      <c r="B20" s="311">
        <f t="shared" si="6"/>
        <v>43532</v>
      </c>
      <c r="C20" s="246">
        <f>57+46</f>
        <v>103</v>
      </c>
      <c r="D20" s="316">
        <f>18+25</f>
        <v>43</v>
      </c>
      <c r="E20" s="304">
        <f>77+44</f>
        <v>121</v>
      </c>
      <c r="F20" s="68">
        <f>69+106</f>
        <v>175</v>
      </c>
      <c r="G20" s="246">
        <v>164</v>
      </c>
      <c r="H20" s="328">
        <v>171</v>
      </c>
      <c r="I20" s="142">
        <v>110</v>
      </c>
      <c r="J20" s="68">
        <v>47</v>
      </c>
      <c r="K20" s="18">
        <f>SUM(C20:J20)</f>
        <v>934</v>
      </c>
    </row>
    <row r="21" spans="1:11" s="51" customFormat="1" ht="15" customHeight="1" outlineLevel="1" thickBot="1" x14ac:dyDescent="0.3">
      <c r="A21" s="29" t="s">
        <v>1</v>
      </c>
      <c r="B21" s="305">
        <f t="shared" si="6"/>
        <v>43533</v>
      </c>
      <c r="C21" s="246">
        <f>70+82</f>
        <v>152</v>
      </c>
      <c r="D21" s="316">
        <f>23+43</f>
        <v>66</v>
      </c>
      <c r="E21" s="304">
        <f>141+75</f>
        <v>216</v>
      </c>
      <c r="F21" s="68">
        <f>118+152</f>
        <v>270</v>
      </c>
      <c r="G21" s="246"/>
      <c r="H21" s="328"/>
      <c r="I21" s="142">
        <v>611</v>
      </c>
      <c r="J21" s="68">
        <v>521</v>
      </c>
      <c r="K21" s="18">
        <f>SUM(C21:J21)</f>
        <v>1836</v>
      </c>
    </row>
    <row r="22" spans="1:11" s="51" customFormat="1" ht="15" customHeight="1" outlineLevel="1" thickBot="1" x14ac:dyDescent="0.3">
      <c r="A22" s="29" t="s">
        <v>2</v>
      </c>
      <c r="B22" s="310">
        <f t="shared" si="6"/>
        <v>43534</v>
      </c>
      <c r="C22" s="246">
        <f>2+13</f>
        <v>15</v>
      </c>
      <c r="D22" s="316">
        <f>2+6</f>
        <v>8</v>
      </c>
      <c r="E22" s="304">
        <f>30+6</f>
        <v>36</v>
      </c>
      <c r="F22" s="68">
        <f>22+31</f>
        <v>53</v>
      </c>
      <c r="G22" s="246"/>
      <c r="H22" s="328"/>
      <c r="I22" s="142">
        <v>226</v>
      </c>
      <c r="J22" s="68">
        <v>229</v>
      </c>
      <c r="K22" s="18">
        <f>SUM(C22:J22)</f>
        <v>567</v>
      </c>
    </row>
    <row r="23" spans="1:11" s="51" customFormat="1" ht="15" customHeight="1" outlineLevel="1" thickBot="1" x14ac:dyDescent="0.3">
      <c r="A23" s="164" t="s">
        <v>21</v>
      </c>
      <c r="B23" s="493" t="s">
        <v>25</v>
      </c>
      <c r="C23" s="324">
        <f>SUM(C16:C22)</f>
        <v>484</v>
      </c>
      <c r="D23" s="319">
        <f t="shared" ref="D23:I23" si="7">SUM(D16:D22)</f>
        <v>239</v>
      </c>
      <c r="E23" s="319">
        <f t="shared" si="7"/>
        <v>572</v>
      </c>
      <c r="F23" s="352">
        <f t="shared" si="7"/>
        <v>957</v>
      </c>
      <c r="G23" s="324">
        <f t="shared" si="7"/>
        <v>886</v>
      </c>
      <c r="H23" s="325">
        <f t="shared" ref="H23" si="8">SUM(H16:H22)</f>
        <v>871</v>
      </c>
      <c r="I23" s="580">
        <f>SUM(I16:I22)</f>
        <v>1132</v>
      </c>
      <c r="J23" s="357">
        <f>SUM(J16:J22)</f>
        <v>922</v>
      </c>
      <c r="K23" s="122">
        <f>SUM(K16:K22)</f>
        <v>6063</v>
      </c>
    </row>
    <row r="24" spans="1:11" s="51" customFormat="1" ht="15" customHeight="1" outlineLevel="1" thickBot="1" x14ac:dyDescent="0.3">
      <c r="A24" s="114" t="s">
        <v>23</v>
      </c>
      <c r="B24" s="494"/>
      <c r="C24" s="324">
        <f>AVERAGE(C16:C22)</f>
        <v>96.8</v>
      </c>
      <c r="D24" s="319">
        <f t="shared" ref="D24:I24" si="9">AVERAGE(D16:D22)</f>
        <v>47.8</v>
      </c>
      <c r="E24" s="319">
        <f>AVERAGE(E16:E22)</f>
        <v>114.4</v>
      </c>
      <c r="F24" s="352">
        <f>AVERAGE(F16:F22)</f>
        <v>191.4</v>
      </c>
      <c r="G24" s="324">
        <f t="shared" si="9"/>
        <v>177.2</v>
      </c>
      <c r="H24" s="325">
        <f t="shared" ref="H24" si="10">AVERAGE(H16:H22)</f>
        <v>174.2</v>
      </c>
      <c r="I24" s="580">
        <f t="shared" si="9"/>
        <v>161.71428571428572</v>
      </c>
      <c r="J24" s="357">
        <f t="shared" ref="J24" si="11">AVERAGE(J16:J22)</f>
        <v>131.71428571428572</v>
      </c>
      <c r="K24" s="118">
        <f>AVERAGE(K16:K22)</f>
        <v>866.14285714285711</v>
      </c>
    </row>
    <row r="25" spans="1:11" s="51" customFormat="1" ht="15" customHeight="1" thickBot="1" x14ac:dyDescent="0.3">
      <c r="A25" s="30" t="s">
        <v>20</v>
      </c>
      <c r="B25" s="494"/>
      <c r="C25" s="326">
        <f t="shared" ref="C25:I25" si="12">SUM(C16:C20)</f>
        <v>317</v>
      </c>
      <c r="D25" s="320">
        <f t="shared" si="12"/>
        <v>165</v>
      </c>
      <c r="E25" s="320">
        <f t="shared" si="12"/>
        <v>320</v>
      </c>
      <c r="F25" s="353">
        <f t="shared" si="12"/>
        <v>634</v>
      </c>
      <c r="G25" s="326">
        <f t="shared" si="12"/>
        <v>886</v>
      </c>
      <c r="H25" s="327">
        <f t="shared" ref="H25" si="13">SUM(H16:H20)</f>
        <v>871</v>
      </c>
      <c r="I25" s="581">
        <f t="shared" si="12"/>
        <v>295</v>
      </c>
      <c r="J25" s="358">
        <f t="shared" ref="J25" si="14">SUM(J16:J20)</f>
        <v>172</v>
      </c>
      <c r="K25" s="34">
        <f t="shared" ref="K25" si="15">SUM(K16:K20)</f>
        <v>3660</v>
      </c>
    </row>
    <row r="26" spans="1:11" s="51" customFormat="1" ht="15" customHeight="1" thickBot="1" x14ac:dyDescent="0.3">
      <c r="A26" s="30" t="s">
        <v>22</v>
      </c>
      <c r="B26" s="502"/>
      <c r="C26" s="326">
        <f t="shared" ref="C26:I26" si="16">AVERAGE(C16:C20)</f>
        <v>105.66666666666667</v>
      </c>
      <c r="D26" s="320">
        <f t="shared" si="16"/>
        <v>55</v>
      </c>
      <c r="E26" s="320">
        <f t="shared" si="16"/>
        <v>106.66666666666667</v>
      </c>
      <c r="F26" s="353">
        <f t="shared" si="16"/>
        <v>211.33333333333334</v>
      </c>
      <c r="G26" s="326">
        <f t="shared" si="16"/>
        <v>177.2</v>
      </c>
      <c r="H26" s="327">
        <f t="shared" ref="H26" si="17">AVERAGE(H16:H20)</f>
        <v>174.2</v>
      </c>
      <c r="I26" s="581">
        <f t="shared" si="16"/>
        <v>59</v>
      </c>
      <c r="J26" s="358">
        <f t="shared" ref="J26" si="18">AVERAGE(J16:J20)</f>
        <v>34.4</v>
      </c>
      <c r="K26" s="576">
        <f t="shared" ref="K26" si="19">AVERAGE(K16:K20)</f>
        <v>732</v>
      </c>
    </row>
    <row r="27" spans="1:11" s="51" customFormat="1" ht="15" customHeight="1" thickBot="1" x14ac:dyDescent="0.3">
      <c r="A27" s="29" t="s">
        <v>3</v>
      </c>
      <c r="B27" s="312">
        <f>B22+1</f>
        <v>43535</v>
      </c>
      <c r="C27" s="246">
        <f>111+104</f>
        <v>215</v>
      </c>
      <c r="D27" s="316">
        <f>54+58</f>
        <v>112</v>
      </c>
      <c r="E27" s="40">
        <f>102+64</f>
        <v>166</v>
      </c>
      <c r="F27" s="355">
        <f>173+211</f>
        <v>384</v>
      </c>
      <c r="G27" s="246">
        <v>170</v>
      </c>
      <c r="H27" s="328">
        <v>159</v>
      </c>
      <c r="I27" s="582">
        <v>53</v>
      </c>
      <c r="J27" s="355">
        <v>36</v>
      </c>
      <c r="K27" s="16">
        <f>SUM(C27:J27)</f>
        <v>1295</v>
      </c>
    </row>
    <row r="28" spans="1:11" s="51" customFormat="1" ht="15" customHeight="1" thickBot="1" x14ac:dyDescent="0.3">
      <c r="A28" s="29" t="s">
        <v>4</v>
      </c>
      <c r="B28" s="299">
        <f t="shared" ref="B28:B33" si="20">B27+1</f>
        <v>43536</v>
      </c>
      <c r="C28" s="246"/>
      <c r="D28" s="316"/>
      <c r="E28" s="40"/>
      <c r="F28" s="355"/>
      <c r="G28" s="246">
        <v>209</v>
      </c>
      <c r="H28" s="328">
        <v>196</v>
      </c>
      <c r="I28" s="582">
        <v>85</v>
      </c>
      <c r="J28" s="355">
        <v>28</v>
      </c>
      <c r="K28" s="18">
        <f>SUM(C28:J28)</f>
        <v>518</v>
      </c>
    </row>
    <row r="29" spans="1:11" s="51" customFormat="1" ht="15" customHeight="1" thickBot="1" x14ac:dyDescent="0.3">
      <c r="A29" s="29" t="s">
        <v>5</v>
      </c>
      <c r="B29" s="299">
        <f t="shared" si="20"/>
        <v>43537</v>
      </c>
      <c r="C29" s="246"/>
      <c r="D29" s="316"/>
      <c r="E29" s="40"/>
      <c r="F29" s="355"/>
      <c r="G29" s="246">
        <v>195</v>
      </c>
      <c r="H29" s="328">
        <v>213</v>
      </c>
      <c r="I29" s="582">
        <v>54</v>
      </c>
      <c r="J29" s="355">
        <v>49</v>
      </c>
      <c r="K29" s="18">
        <f>SUM(C29:J29)</f>
        <v>511</v>
      </c>
    </row>
    <row r="30" spans="1:11" s="51" customFormat="1" ht="15" customHeight="1" thickBot="1" x14ac:dyDescent="0.3">
      <c r="A30" s="29" t="s">
        <v>6</v>
      </c>
      <c r="B30" s="299">
        <f t="shared" si="20"/>
        <v>43538</v>
      </c>
      <c r="C30" s="246">
        <f>83+106</f>
        <v>189</v>
      </c>
      <c r="D30" s="316">
        <f>32+34</f>
        <v>66</v>
      </c>
      <c r="E30" s="21">
        <f>112+30</f>
        <v>142</v>
      </c>
      <c r="F30" s="68">
        <f>135+192</f>
        <v>327</v>
      </c>
      <c r="G30" s="246">
        <v>169</v>
      </c>
      <c r="H30" s="328">
        <v>185</v>
      </c>
      <c r="I30" s="142">
        <v>80</v>
      </c>
      <c r="J30" s="68">
        <v>61</v>
      </c>
      <c r="K30" s="18">
        <f>SUM(C30:J30)</f>
        <v>1219</v>
      </c>
    </row>
    <row r="31" spans="1:11" s="51" customFormat="1" ht="15" customHeight="1" thickBot="1" x14ac:dyDescent="0.3">
      <c r="A31" s="29" t="s">
        <v>0</v>
      </c>
      <c r="B31" s="299">
        <f t="shared" si="20"/>
        <v>43539</v>
      </c>
      <c r="C31" s="246">
        <f>79+60</f>
        <v>139</v>
      </c>
      <c r="D31" s="316">
        <f>12+16</f>
        <v>28</v>
      </c>
      <c r="E31" s="21">
        <f>53+39</f>
        <v>92</v>
      </c>
      <c r="F31" s="68">
        <f>98+127</f>
        <v>225</v>
      </c>
      <c r="G31" s="246">
        <v>157</v>
      </c>
      <c r="H31" s="328">
        <v>151</v>
      </c>
      <c r="I31" s="142">
        <v>92</v>
      </c>
      <c r="J31" s="68">
        <v>72</v>
      </c>
      <c r="K31" s="18">
        <f>SUM(C31:J31)</f>
        <v>956</v>
      </c>
    </row>
    <row r="32" spans="1:11" s="51" customFormat="1" ht="15" customHeight="1" outlineLevel="1" thickBot="1" x14ac:dyDescent="0.3">
      <c r="A32" s="29" t="s">
        <v>1</v>
      </c>
      <c r="B32" s="299">
        <f t="shared" si="20"/>
        <v>43540</v>
      </c>
      <c r="C32" s="246">
        <f>126+107</f>
        <v>233</v>
      </c>
      <c r="D32" s="316">
        <f>33+52</f>
        <v>85</v>
      </c>
      <c r="E32" s="21">
        <f>67+35</f>
        <v>102</v>
      </c>
      <c r="F32" s="68">
        <f>94+126</f>
        <v>220</v>
      </c>
      <c r="G32" s="246"/>
      <c r="H32" s="328"/>
      <c r="I32" s="142">
        <v>647</v>
      </c>
      <c r="J32" s="68">
        <v>543</v>
      </c>
      <c r="K32" s="18">
        <f>SUM(C32:J32)</f>
        <v>1830</v>
      </c>
    </row>
    <row r="33" spans="1:12" s="51" customFormat="1" ht="15" customHeight="1" outlineLevel="1" thickBot="1" x14ac:dyDescent="0.3">
      <c r="A33" s="29" t="s">
        <v>2</v>
      </c>
      <c r="B33" s="299">
        <f t="shared" si="20"/>
        <v>43541</v>
      </c>
      <c r="C33" s="246">
        <f>110+91</f>
        <v>201</v>
      </c>
      <c r="D33" s="316">
        <f>40+46</f>
        <v>86</v>
      </c>
      <c r="E33" s="21">
        <f>86+45</f>
        <v>131</v>
      </c>
      <c r="F33" s="68">
        <f>109+163</f>
        <v>272</v>
      </c>
      <c r="G33" s="246"/>
      <c r="H33" s="328"/>
      <c r="I33" s="142">
        <v>499</v>
      </c>
      <c r="J33" s="68">
        <v>488</v>
      </c>
      <c r="K33" s="70">
        <f>SUM(C33:J33)</f>
        <v>1677</v>
      </c>
    </row>
    <row r="34" spans="1:12" s="51" customFormat="1" ht="15" customHeight="1" outlineLevel="1" thickBot="1" x14ac:dyDescent="0.3">
      <c r="A34" s="164" t="s">
        <v>21</v>
      </c>
      <c r="B34" s="493" t="s">
        <v>26</v>
      </c>
      <c r="C34" s="324">
        <f t="shared" ref="C34:J34" si="21">SUM(C27:C33)</f>
        <v>977</v>
      </c>
      <c r="D34" s="319">
        <f t="shared" si="21"/>
        <v>377</v>
      </c>
      <c r="E34" s="319">
        <f t="shared" si="21"/>
        <v>633</v>
      </c>
      <c r="F34" s="352">
        <f t="shared" si="21"/>
        <v>1428</v>
      </c>
      <c r="G34" s="324">
        <f t="shared" si="21"/>
        <v>900</v>
      </c>
      <c r="H34" s="325">
        <f t="shared" si="21"/>
        <v>904</v>
      </c>
      <c r="I34" s="580">
        <f>SUM(I27:I33)</f>
        <v>1510</v>
      </c>
      <c r="J34" s="357">
        <f t="shared" si="21"/>
        <v>1277</v>
      </c>
      <c r="K34" s="122">
        <f t="shared" ref="K34" si="22">SUM(K27:K33)</f>
        <v>8006</v>
      </c>
    </row>
    <row r="35" spans="1:12" s="51" customFormat="1" ht="15" customHeight="1" outlineLevel="1" thickBot="1" x14ac:dyDescent="0.3">
      <c r="A35" s="114" t="s">
        <v>23</v>
      </c>
      <c r="B35" s="494"/>
      <c r="C35" s="324">
        <f t="shared" ref="C35:K35" si="23">AVERAGE(C27:C33)</f>
        <v>195.4</v>
      </c>
      <c r="D35" s="319">
        <f t="shared" si="23"/>
        <v>75.400000000000006</v>
      </c>
      <c r="E35" s="319">
        <f t="shared" si="23"/>
        <v>126.6</v>
      </c>
      <c r="F35" s="352">
        <f>AVERAGE(F27:F33)</f>
        <v>285.60000000000002</v>
      </c>
      <c r="G35" s="324">
        <f t="shared" si="23"/>
        <v>180</v>
      </c>
      <c r="H35" s="325">
        <f t="shared" ref="H35" si="24">AVERAGE(H27:H33)</f>
        <v>180.8</v>
      </c>
      <c r="I35" s="580">
        <f t="shared" si="23"/>
        <v>215.71428571428572</v>
      </c>
      <c r="J35" s="357">
        <f t="shared" ref="J35" si="25">AVERAGE(J27:J33)</f>
        <v>182.42857142857142</v>
      </c>
      <c r="K35" s="118">
        <f t="shared" si="23"/>
        <v>1143.7142857142858</v>
      </c>
    </row>
    <row r="36" spans="1:12" s="51" customFormat="1" ht="15" customHeight="1" thickBot="1" x14ac:dyDescent="0.3">
      <c r="A36" s="30" t="s">
        <v>20</v>
      </c>
      <c r="B36" s="494"/>
      <c r="C36" s="326">
        <f>SUM(C27:C31)</f>
        <v>543</v>
      </c>
      <c r="D36" s="320">
        <f t="shared" ref="D36:K36" si="26">SUM(D27:D31)</f>
        <v>206</v>
      </c>
      <c r="E36" s="320">
        <f t="shared" si="26"/>
        <v>400</v>
      </c>
      <c r="F36" s="353">
        <f>SUM(F27:F31)</f>
        <v>936</v>
      </c>
      <c r="G36" s="326">
        <f>SUM(G27:G31)</f>
        <v>900</v>
      </c>
      <c r="H36" s="327">
        <f>SUM(H27:H31)</f>
        <v>904</v>
      </c>
      <c r="I36" s="581">
        <f t="shared" si="26"/>
        <v>364</v>
      </c>
      <c r="J36" s="358">
        <f t="shared" ref="J36" si="27">SUM(J27:J31)</f>
        <v>246</v>
      </c>
      <c r="K36" s="34">
        <f t="shared" si="26"/>
        <v>4499</v>
      </c>
    </row>
    <row r="37" spans="1:12" s="51" customFormat="1" ht="15" customHeight="1" thickBot="1" x14ac:dyDescent="0.3">
      <c r="A37" s="30" t="s">
        <v>22</v>
      </c>
      <c r="B37" s="502"/>
      <c r="C37" s="326">
        <f>AVERAGE(C27:C31)</f>
        <v>181</v>
      </c>
      <c r="D37" s="320">
        <f t="shared" ref="D37:K37" si="28">AVERAGE(D27:D31)</f>
        <v>68.666666666666671</v>
      </c>
      <c r="E37" s="320">
        <f t="shared" si="28"/>
        <v>133.33333333333334</v>
      </c>
      <c r="F37" s="353">
        <f>AVERAGE(F27:F31)</f>
        <v>312</v>
      </c>
      <c r="G37" s="326">
        <f t="shared" si="28"/>
        <v>180</v>
      </c>
      <c r="H37" s="327">
        <f t="shared" ref="H37" si="29">AVERAGE(H27:H31)</f>
        <v>180.8</v>
      </c>
      <c r="I37" s="581">
        <f t="shared" si="28"/>
        <v>72.8</v>
      </c>
      <c r="J37" s="358">
        <f t="shared" ref="J37" si="30">AVERAGE(J27:J31)</f>
        <v>49.2</v>
      </c>
      <c r="K37" s="39">
        <f t="shared" si="28"/>
        <v>899.8</v>
      </c>
    </row>
    <row r="38" spans="1:12" s="51" customFormat="1" ht="15" customHeight="1" thickBot="1" x14ac:dyDescent="0.3">
      <c r="A38" s="29" t="s">
        <v>3</v>
      </c>
      <c r="B38" s="313">
        <f>B33+1</f>
        <v>43542</v>
      </c>
      <c r="C38" s="246">
        <f>73+45</f>
        <v>118</v>
      </c>
      <c r="D38" s="316">
        <f>29+35</f>
        <v>64</v>
      </c>
      <c r="E38" s="316">
        <f>86+39</f>
        <v>125</v>
      </c>
      <c r="F38" s="566">
        <f>89+158</f>
        <v>247</v>
      </c>
      <c r="G38" s="246">
        <v>177</v>
      </c>
      <c r="H38" s="328">
        <v>162</v>
      </c>
      <c r="I38" s="583">
        <v>77</v>
      </c>
      <c r="J38" s="566">
        <v>56</v>
      </c>
      <c r="K38" s="16">
        <f>SUM(C38:J38)</f>
        <v>1026</v>
      </c>
    </row>
    <row r="39" spans="1:12" s="51" customFormat="1" ht="15" customHeight="1" thickBot="1" x14ac:dyDescent="0.3">
      <c r="A39" s="29" t="s">
        <v>4</v>
      </c>
      <c r="B39" s="314">
        <f t="shared" ref="B39:B44" si="31">B38+1</f>
        <v>43543</v>
      </c>
      <c r="C39" s="246"/>
      <c r="D39" s="316"/>
      <c r="E39" s="316"/>
      <c r="F39" s="566"/>
      <c r="G39" s="246">
        <v>215</v>
      </c>
      <c r="H39" s="328">
        <v>230</v>
      </c>
      <c r="I39" s="583">
        <v>74</v>
      </c>
      <c r="J39" s="566">
        <v>48</v>
      </c>
      <c r="K39" s="18">
        <f>SUM(C39:J39)</f>
        <v>567</v>
      </c>
    </row>
    <row r="40" spans="1:12" s="51" customFormat="1" ht="15" customHeight="1" thickBot="1" x14ac:dyDescent="0.3">
      <c r="A40" s="29" t="s">
        <v>5</v>
      </c>
      <c r="B40" s="314">
        <f t="shared" si="31"/>
        <v>43544</v>
      </c>
      <c r="C40" s="246"/>
      <c r="D40" s="316"/>
      <c r="E40" s="316"/>
      <c r="F40" s="566"/>
      <c r="G40" s="246">
        <v>190</v>
      </c>
      <c r="H40" s="328">
        <v>192</v>
      </c>
      <c r="I40" s="583">
        <v>66</v>
      </c>
      <c r="J40" s="566">
        <v>51</v>
      </c>
      <c r="K40" s="18">
        <f>SUM(C40:J40)</f>
        <v>499</v>
      </c>
    </row>
    <row r="41" spans="1:12" s="51" customFormat="1" ht="15" customHeight="1" thickBot="1" x14ac:dyDescent="0.3">
      <c r="A41" s="29" t="s">
        <v>6</v>
      </c>
      <c r="B41" s="314">
        <f t="shared" si="31"/>
        <v>43545</v>
      </c>
      <c r="C41" s="246">
        <f>7+17</f>
        <v>24</v>
      </c>
      <c r="D41" s="316">
        <f>6+8</f>
        <v>14</v>
      </c>
      <c r="E41" s="318">
        <f>16+5</f>
        <v>21</v>
      </c>
      <c r="F41" s="566">
        <f>21+20</f>
        <v>41</v>
      </c>
      <c r="G41" s="246">
        <v>175</v>
      </c>
      <c r="H41" s="328">
        <v>172</v>
      </c>
      <c r="I41" s="583">
        <v>33</v>
      </c>
      <c r="J41" s="566">
        <v>30</v>
      </c>
      <c r="K41" s="18">
        <f>SUM(C41:J41)</f>
        <v>510</v>
      </c>
    </row>
    <row r="42" spans="1:12" s="51" customFormat="1" ht="15" customHeight="1" thickBot="1" x14ac:dyDescent="0.3">
      <c r="A42" s="29" t="s">
        <v>0</v>
      </c>
      <c r="B42" s="314">
        <f t="shared" si="31"/>
        <v>43546</v>
      </c>
      <c r="C42" s="290">
        <f>21+39</f>
        <v>60</v>
      </c>
      <c r="D42" s="316">
        <f>20+28</f>
        <v>48</v>
      </c>
      <c r="E42" s="316">
        <f>43+10</f>
        <v>53</v>
      </c>
      <c r="F42" s="566">
        <f>74+81</f>
        <v>155</v>
      </c>
      <c r="G42" s="246">
        <v>150</v>
      </c>
      <c r="H42" s="328">
        <v>160</v>
      </c>
      <c r="I42" s="583">
        <v>49</v>
      </c>
      <c r="J42" s="566">
        <v>40</v>
      </c>
      <c r="K42" s="18">
        <f>SUM(C42:J42)</f>
        <v>715</v>
      </c>
    </row>
    <row r="43" spans="1:12" s="51" customFormat="1" ht="15" customHeight="1" outlineLevel="1" thickBot="1" x14ac:dyDescent="0.3">
      <c r="A43" s="29" t="s">
        <v>1</v>
      </c>
      <c r="B43" s="314">
        <f t="shared" si="31"/>
        <v>43547</v>
      </c>
      <c r="C43" s="290">
        <f>102+110</f>
        <v>212</v>
      </c>
      <c r="D43" s="316">
        <f>34+51</f>
        <v>85</v>
      </c>
      <c r="E43" s="316">
        <f>136+59</f>
        <v>195</v>
      </c>
      <c r="F43" s="566">
        <f>115+167</f>
        <v>282</v>
      </c>
      <c r="G43" s="246"/>
      <c r="H43" s="328"/>
      <c r="I43" s="583">
        <v>508</v>
      </c>
      <c r="J43" s="566">
        <v>440</v>
      </c>
      <c r="K43" s="18">
        <f>SUM(C43:J43)</f>
        <v>1722</v>
      </c>
      <c r="L43" s="128"/>
    </row>
    <row r="44" spans="1:12" s="51" customFormat="1" ht="15" customHeight="1" outlineLevel="1" thickBot="1" x14ac:dyDescent="0.3">
      <c r="A44" s="29" t="s">
        <v>2</v>
      </c>
      <c r="B44" s="314">
        <f t="shared" si="31"/>
        <v>43548</v>
      </c>
      <c r="C44" s="246">
        <f>98+125</f>
        <v>223</v>
      </c>
      <c r="D44" s="316">
        <f>54+75</f>
        <v>129</v>
      </c>
      <c r="E44" s="316">
        <f>239+73</f>
        <v>312</v>
      </c>
      <c r="F44" s="566">
        <f>135+253</f>
        <v>388</v>
      </c>
      <c r="G44" s="246"/>
      <c r="H44" s="328"/>
      <c r="I44" s="583">
        <v>636</v>
      </c>
      <c r="J44" s="566">
        <v>596</v>
      </c>
      <c r="K44" s="70">
        <f>SUM(C44:J44)</f>
        <v>2284</v>
      </c>
      <c r="L44" s="128"/>
    </row>
    <row r="45" spans="1:12" s="51" customFormat="1" ht="15" customHeight="1" outlineLevel="1" thickBot="1" x14ac:dyDescent="0.3">
      <c r="A45" s="164" t="s">
        <v>21</v>
      </c>
      <c r="B45" s="493" t="s">
        <v>27</v>
      </c>
      <c r="C45" s="324">
        <f t="shared" ref="C45:I45" si="32">SUM(C38:C44)</f>
        <v>637</v>
      </c>
      <c r="D45" s="319">
        <f t="shared" si="32"/>
        <v>340</v>
      </c>
      <c r="E45" s="319">
        <f t="shared" si="32"/>
        <v>706</v>
      </c>
      <c r="F45" s="352">
        <f>SUM(F38:F44)</f>
        <v>1113</v>
      </c>
      <c r="G45" s="324">
        <f>SUM(G38:G44)</f>
        <v>907</v>
      </c>
      <c r="H45" s="325">
        <f>SUM(H38:H44)</f>
        <v>916</v>
      </c>
      <c r="I45" s="580">
        <f t="shared" si="32"/>
        <v>1443</v>
      </c>
      <c r="J45" s="357">
        <f>SUM(J38:J44)</f>
        <v>1261</v>
      </c>
      <c r="K45" s="122">
        <f>SUM(K38:K44)</f>
        <v>7323</v>
      </c>
    </row>
    <row r="46" spans="1:12" s="51" customFormat="1" ht="15" customHeight="1" outlineLevel="1" thickBot="1" x14ac:dyDescent="0.3">
      <c r="A46" s="114" t="s">
        <v>23</v>
      </c>
      <c r="B46" s="494"/>
      <c r="C46" s="324">
        <f t="shared" ref="C46:I46" si="33">AVERAGE(C38:C44)</f>
        <v>127.4</v>
      </c>
      <c r="D46" s="319">
        <f t="shared" si="33"/>
        <v>68</v>
      </c>
      <c r="E46" s="319">
        <f t="shared" si="33"/>
        <v>141.19999999999999</v>
      </c>
      <c r="F46" s="352">
        <f>AVERAGE(F38:F44)</f>
        <v>222.6</v>
      </c>
      <c r="G46" s="324">
        <f t="shared" si="33"/>
        <v>181.4</v>
      </c>
      <c r="H46" s="325">
        <f t="shared" ref="H46" si="34">AVERAGE(H38:H44)</f>
        <v>183.2</v>
      </c>
      <c r="I46" s="580">
        <f t="shared" si="33"/>
        <v>206.14285714285714</v>
      </c>
      <c r="J46" s="357">
        <f t="shared" ref="J46" si="35">AVERAGE(J38:J44)</f>
        <v>180.14285714285714</v>
      </c>
      <c r="K46" s="118">
        <f>AVERAGE(K38:K44)</f>
        <v>1046.1428571428571</v>
      </c>
    </row>
    <row r="47" spans="1:12" s="51" customFormat="1" ht="15" customHeight="1" thickBot="1" x14ac:dyDescent="0.3">
      <c r="A47" s="30" t="s">
        <v>20</v>
      </c>
      <c r="B47" s="494"/>
      <c r="C47" s="326">
        <f>SUM(C38:C42)</f>
        <v>202</v>
      </c>
      <c r="D47" s="320">
        <f t="shared" ref="D47:I47" si="36">SUM(D38:D42)</f>
        <v>126</v>
      </c>
      <c r="E47" s="320">
        <f t="shared" si="36"/>
        <v>199</v>
      </c>
      <c r="F47" s="353">
        <f>SUM(F38:F42)</f>
        <v>443</v>
      </c>
      <c r="G47" s="326">
        <f t="shared" si="36"/>
        <v>907</v>
      </c>
      <c r="H47" s="327">
        <f t="shared" ref="H47" si="37">SUM(H38:H42)</f>
        <v>916</v>
      </c>
      <c r="I47" s="581">
        <f t="shared" si="36"/>
        <v>299</v>
      </c>
      <c r="J47" s="358">
        <f t="shared" ref="J47" si="38">SUM(J38:J42)</f>
        <v>225</v>
      </c>
      <c r="K47" s="34">
        <f>SUM(K38:K42)</f>
        <v>3317</v>
      </c>
    </row>
    <row r="48" spans="1:12" s="51" customFormat="1" ht="15" customHeight="1" thickBot="1" x14ac:dyDescent="0.3">
      <c r="A48" s="30" t="s">
        <v>22</v>
      </c>
      <c r="B48" s="502"/>
      <c r="C48" s="326">
        <f>AVERAGE(C38:C42)</f>
        <v>67.333333333333329</v>
      </c>
      <c r="D48" s="320">
        <f t="shared" ref="D48:K48" si="39">AVERAGE(D38:D42)</f>
        <v>42</v>
      </c>
      <c r="E48" s="320">
        <f t="shared" si="39"/>
        <v>66.333333333333329</v>
      </c>
      <c r="F48" s="353">
        <f>AVERAGE(F38:F42)</f>
        <v>147.66666666666666</v>
      </c>
      <c r="G48" s="326">
        <f t="shared" si="39"/>
        <v>181.4</v>
      </c>
      <c r="H48" s="327">
        <f t="shared" ref="H48" si="40">AVERAGE(H38:H42)</f>
        <v>183.2</v>
      </c>
      <c r="I48" s="581">
        <f t="shared" si="39"/>
        <v>59.8</v>
      </c>
      <c r="J48" s="358">
        <f t="shared" ref="J48" si="41">AVERAGE(J38:J42)</f>
        <v>45</v>
      </c>
      <c r="K48" s="39">
        <f t="shared" si="39"/>
        <v>663.4</v>
      </c>
    </row>
    <row r="49" spans="1:12" s="51" customFormat="1" ht="15" customHeight="1" thickBot="1" x14ac:dyDescent="0.3">
      <c r="A49" s="29" t="s">
        <v>3</v>
      </c>
      <c r="B49" s="313">
        <f>B44+1</f>
        <v>43549</v>
      </c>
      <c r="C49" s="246">
        <f>50+75</f>
        <v>125</v>
      </c>
      <c r="D49" s="316">
        <f>59+53</f>
        <v>112</v>
      </c>
      <c r="E49" s="304">
        <f>51+27</f>
        <v>78</v>
      </c>
      <c r="F49" s="577">
        <f>100+105</f>
        <v>205</v>
      </c>
      <c r="G49" s="246">
        <v>159</v>
      </c>
      <c r="H49" s="328">
        <v>159</v>
      </c>
      <c r="I49" s="583">
        <v>49</v>
      </c>
      <c r="J49" s="566">
        <v>40</v>
      </c>
      <c r="K49" s="63">
        <f>SUM(C49:J49)</f>
        <v>927</v>
      </c>
      <c r="L49" s="159"/>
    </row>
    <row r="50" spans="1:12" s="51" customFormat="1" ht="15" customHeight="1" thickBot="1" x14ac:dyDescent="0.3">
      <c r="A50" s="155" t="s">
        <v>4</v>
      </c>
      <c r="B50" s="314">
        <f t="shared" ref="B50:B55" si="42">B49+1</f>
        <v>43550</v>
      </c>
      <c r="C50" s="246"/>
      <c r="D50" s="316"/>
      <c r="E50" s="316"/>
      <c r="F50" s="566"/>
      <c r="G50" s="246">
        <v>195</v>
      </c>
      <c r="H50" s="328">
        <v>195</v>
      </c>
      <c r="I50" s="583">
        <v>68</v>
      </c>
      <c r="J50" s="566">
        <v>55</v>
      </c>
      <c r="K50" s="63">
        <f>SUM(C50:J50)</f>
        <v>513</v>
      </c>
      <c r="L50" s="159"/>
    </row>
    <row r="51" spans="1:12" s="51" customFormat="1" ht="14.25" customHeight="1" thickBot="1" x14ac:dyDescent="0.3">
      <c r="A51" s="155" t="s">
        <v>5</v>
      </c>
      <c r="B51" s="314">
        <f t="shared" si="42"/>
        <v>43551</v>
      </c>
      <c r="C51" s="246"/>
      <c r="D51" s="316"/>
      <c r="E51" s="316"/>
      <c r="F51" s="566"/>
      <c r="G51" s="246">
        <v>197</v>
      </c>
      <c r="H51" s="328">
        <v>201</v>
      </c>
      <c r="I51" s="583">
        <v>63</v>
      </c>
      <c r="J51" s="566">
        <v>61</v>
      </c>
      <c r="K51" s="63">
        <f>SUM(C51:J51)</f>
        <v>522</v>
      </c>
      <c r="L51" s="159"/>
    </row>
    <row r="52" spans="1:12" s="51" customFormat="1" ht="14.25" thickBot="1" x14ac:dyDescent="0.3">
      <c r="A52" s="155" t="s">
        <v>6</v>
      </c>
      <c r="B52" s="314">
        <f t="shared" si="42"/>
        <v>43552</v>
      </c>
      <c r="C52" s="246">
        <f>63+57</f>
        <v>120</v>
      </c>
      <c r="D52" s="316">
        <f>29+56</f>
        <v>85</v>
      </c>
      <c r="E52" s="316">
        <f>103+28</f>
        <v>131</v>
      </c>
      <c r="F52" s="566">
        <f>112+166</f>
        <v>278</v>
      </c>
      <c r="G52" s="246">
        <v>178</v>
      </c>
      <c r="H52" s="328">
        <v>180</v>
      </c>
      <c r="I52" s="583">
        <v>52</v>
      </c>
      <c r="J52" s="566">
        <v>44</v>
      </c>
      <c r="K52" s="63">
        <f>SUM(C52:J52)</f>
        <v>1068</v>
      </c>
      <c r="L52" s="159"/>
    </row>
    <row r="53" spans="1:12" s="51" customFormat="1" ht="14.25" thickBot="1" x14ac:dyDescent="0.3">
      <c r="A53" s="29" t="s">
        <v>0</v>
      </c>
      <c r="B53" s="315">
        <f t="shared" si="42"/>
        <v>43553</v>
      </c>
      <c r="C53" s="232">
        <f>43+90</f>
        <v>133</v>
      </c>
      <c r="D53" s="316">
        <f>31+40</f>
        <v>71</v>
      </c>
      <c r="E53" s="316">
        <f>134+43</f>
        <v>177</v>
      </c>
      <c r="F53" s="566">
        <f>104+139</f>
        <v>243</v>
      </c>
      <c r="G53" s="246">
        <v>150</v>
      </c>
      <c r="H53" s="328">
        <v>156</v>
      </c>
      <c r="I53" s="583">
        <v>49</v>
      </c>
      <c r="J53" s="566">
        <v>48</v>
      </c>
      <c r="K53" s="63">
        <f>SUM(C53:J53)</f>
        <v>1027</v>
      </c>
      <c r="L53" s="159"/>
    </row>
    <row r="54" spans="1:12" s="51" customFormat="1" ht="14.25" outlineLevel="1" thickBot="1" x14ac:dyDescent="0.3">
      <c r="A54" s="29" t="s">
        <v>1</v>
      </c>
      <c r="B54" s="315">
        <f t="shared" si="42"/>
        <v>43554</v>
      </c>
      <c r="C54" s="232">
        <f>142+95</f>
        <v>237</v>
      </c>
      <c r="D54" s="316">
        <f>55+77</f>
        <v>132</v>
      </c>
      <c r="E54" s="316">
        <f>190+73</f>
        <v>263</v>
      </c>
      <c r="F54" s="566">
        <f>150+292</f>
        <v>442</v>
      </c>
      <c r="G54" s="246"/>
      <c r="H54" s="328"/>
      <c r="I54" s="583">
        <v>773</v>
      </c>
      <c r="J54" s="566">
        <v>616</v>
      </c>
      <c r="K54" s="63">
        <f>SUM(C54:J54)</f>
        <v>2463</v>
      </c>
      <c r="L54" s="159"/>
    </row>
    <row r="55" spans="1:12" s="51" customFormat="1" ht="14.25" outlineLevel="1" thickBot="1" x14ac:dyDescent="0.3">
      <c r="A55" s="155" t="s">
        <v>2</v>
      </c>
      <c r="B55" s="315">
        <f t="shared" si="42"/>
        <v>43555</v>
      </c>
      <c r="C55" s="232">
        <f>21+28</f>
        <v>49</v>
      </c>
      <c r="D55" s="316">
        <f>12+18</f>
        <v>30</v>
      </c>
      <c r="E55" s="316">
        <f>34+15</f>
        <v>49</v>
      </c>
      <c r="F55" s="566">
        <f>49+55</f>
        <v>104</v>
      </c>
      <c r="G55" s="246"/>
      <c r="H55" s="328"/>
      <c r="I55" s="583">
        <v>366</v>
      </c>
      <c r="J55" s="566">
        <v>330</v>
      </c>
      <c r="K55" s="63">
        <f>SUM(C55:J55)</f>
        <v>928</v>
      </c>
    </row>
    <row r="56" spans="1:12" s="51" customFormat="1" ht="15" customHeight="1" outlineLevel="1" thickBot="1" x14ac:dyDescent="0.3">
      <c r="A56" s="164" t="s">
        <v>21</v>
      </c>
      <c r="B56" s="493" t="s">
        <v>28</v>
      </c>
      <c r="C56" s="324">
        <f t="shared" ref="C56:K56" si="43">SUM(C49:C55)</f>
        <v>664</v>
      </c>
      <c r="D56" s="319">
        <f t="shared" si="43"/>
        <v>430</v>
      </c>
      <c r="E56" s="319">
        <f>SUM(E49:E55)</f>
        <v>698</v>
      </c>
      <c r="F56" s="352">
        <f>SUM(F49:F55)</f>
        <v>1272</v>
      </c>
      <c r="G56" s="324">
        <f t="shared" si="43"/>
        <v>879</v>
      </c>
      <c r="H56" s="325">
        <f t="shared" ref="H56" si="44">SUM(H49:H55)</f>
        <v>891</v>
      </c>
      <c r="I56" s="580">
        <f>SUM(I49:I55)</f>
        <v>1420</v>
      </c>
      <c r="J56" s="357">
        <f>SUM(J49:J55)</f>
        <v>1194</v>
      </c>
      <c r="K56" s="122">
        <f t="shared" si="43"/>
        <v>7448</v>
      </c>
    </row>
    <row r="57" spans="1:12" s="51" customFormat="1" ht="15" customHeight="1" outlineLevel="1" thickBot="1" x14ac:dyDescent="0.3">
      <c r="A57" s="114" t="s">
        <v>23</v>
      </c>
      <c r="B57" s="494"/>
      <c r="C57" s="324">
        <f t="shared" ref="C57:K57" si="45">AVERAGE(C49:C55)</f>
        <v>132.80000000000001</v>
      </c>
      <c r="D57" s="319">
        <f t="shared" si="45"/>
        <v>86</v>
      </c>
      <c r="E57" s="319">
        <f>AVERAGE(E50:E55)</f>
        <v>155</v>
      </c>
      <c r="F57" s="352">
        <f>AVERAGE(F50:F55)</f>
        <v>266.75</v>
      </c>
      <c r="G57" s="324">
        <f t="shared" si="45"/>
        <v>175.8</v>
      </c>
      <c r="H57" s="325">
        <f t="shared" ref="H57" si="46">AVERAGE(H49:H55)</f>
        <v>178.2</v>
      </c>
      <c r="I57" s="580">
        <f t="shared" si="45"/>
        <v>202.85714285714286</v>
      </c>
      <c r="J57" s="357">
        <f t="shared" ref="J57" si="47">AVERAGE(J49:J55)</f>
        <v>170.57142857142858</v>
      </c>
      <c r="K57" s="118">
        <f t="shared" si="45"/>
        <v>1064</v>
      </c>
    </row>
    <row r="58" spans="1:12" s="51" customFormat="1" ht="15" customHeight="1" thickBot="1" x14ac:dyDescent="0.3">
      <c r="A58" s="30" t="s">
        <v>20</v>
      </c>
      <c r="B58" s="494"/>
      <c r="C58" s="326">
        <f t="shared" ref="C58:K58" si="48">SUM(C49:C53)</f>
        <v>378</v>
      </c>
      <c r="D58" s="320">
        <f t="shared" si="48"/>
        <v>268</v>
      </c>
      <c r="E58" s="320">
        <f t="shared" si="48"/>
        <v>386</v>
      </c>
      <c r="F58" s="353">
        <f t="shared" si="48"/>
        <v>726</v>
      </c>
      <c r="G58" s="326">
        <f t="shared" si="48"/>
        <v>879</v>
      </c>
      <c r="H58" s="327">
        <f t="shared" ref="H58" si="49">SUM(H49:H53)</f>
        <v>891</v>
      </c>
      <c r="I58" s="581">
        <f>SUM(I49:I53)</f>
        <v>281</v>
      </c>
      <c r="J58" s="358">
        <f>SUM(J49:J53)</f>
        <v>248</v>
      </c>
      <c r="K58" s="34">
        <f t="shared" si="48"/>
        <v>4057</v>
      </c>
    </row>
    <row r="59" spans="1:12" s="51" customFormat="1" ht="14.25" thickBot="1" x14ac:dyDescent="0.3">
      <c r="A59" s="30" t="s">
        <v>22</v>
      </c>
      <c r="B59" s="502"/>
      <c r="C59" s="35">
        <f t="shared" ref="C59:K59" si="50">AVERAGE(C49:C53)</f>
        <v>126</v>
      </c>
      <c r="D59" s="37">
        <f t="shared" si="50"/>
        <v>89.333333333333329</v>
      </c>
      <c r="E59" s="37">
        <f>AVERAGE(E50:E54)</f>
        <v>190.33333333333334</v>
      </c>
      <c r="F59" s="578">
        <f>AVERAGE(F50:F54)</f>
        <v>321</v>
      </c>
      <c r="G59" s="35">
        <f t="shared" si="50"/>
        <v>175.8</v>
      </c>
      <c r="H59" s="36">
        <f t="shared" ref="H59" si="51">AVERAGE(H49:H53)</f>
        <v>178.2</v>
      </c>
      <c r="I59" s="569">
        <f>AVERAGE(I49:I53)</f>
        <v>56.2</v>
      </c>
      <c r="J59" s="38">
        <f>AVERAGE(J49:J53)</f>
        <v>49.6</v>
      </c>
      <c r="K59" s="39">
        <f t="shared" si="50"/>
        <v>811.4</v>
      </c>
    </row>
    <row r="60" spans="1:12" s="51" customFormat="1" ht="14.25" hidden="1" thickBot="1" x14ac:dyDescent="0.3">
      <c r="A60" s="155" t="s">
        <v>3</v>
      </c>
      <c r="B60" s="313">
        <f>B55+1</f>
        <v>43556</v>
      </c>
      <c r="C60" s="55"/>
      <c r="D60" s="57"/>
      <c r="E60" s="57"/>
      <c r="F60" s="57"/>
      <c r="G60" s="14"/>
      <c r="H60" s="67"/>
      <c r="I60" s="127"/>
      <c r="J60" s="21"/>
      <c r="K60" s="194">
        <f>SUM(C60:I60)</f>
        <v>0</v>
      </c>
    </row>
    <row r="61" spans="1:12" s="51" customFormat="1" ht="14.25" hidden="1" thickBot="1" x14ac:dyDescent="0.3">
      <c r="A61" s="155" t="s">
        <v>4</v>
      </c>
      <c r="B61" s="314">
        <f t="shared" ref="B61:B66" si="52">B60+1</f>
        <v>43557</v>
      </c>
      <c r="C61" s="19"/>
      <c r="D61" s="21"/>
      <c r="E61" s="21"/>
      <c r="F61" s="21"/>
      <c r="G61" s="21"/>
      <c r="H61" s="68"/>
      <c r="I61" s="68"/>
      <c r="J61" s="21"/>
      <c r="K61" s="194">
        <f>SUM(C61:I61)</f>
        <v>0</v>
      </c>
    </row>
    <row r="62" spans="1:12" s="51" customFormat="1" ht="14.25" hidden="1" thickBot="1" x14ac:dyDescent="0.3">
      <c r="A62" s="155"/>
      <c r="B62" s="314">
        <f t="shared" si="52"/>
        <v>43558</v>
      </c>
      <c r="C62" s="19"/>
      <c r="D62" s="21"/>
      <c r="E62" s="21"/>
      <c r="F62" s="21"/>
      <c r="G62" s="21"/>
      <c r="H62" s="68"/>
      <c r="I62" s="68"/>
      <c r="J62" s="21"/>
      <c r="K62" s="59"/>
    </row>
    <row r="63" spans="1:12" s="51" customFormat="1" ht="14.25" hidden="1" thickBot="1" x14ac:dyDescent="0.3">
      <c r="A63" s="155"/>
      <c r="B63" s="314">
        <f t="shared" si="52"/>
        <v>43559</v>
      </c>
      <c r="C63" s="19"/>
      <c r="D63" s="21"/>
      <c r="E63" s="21"/>
      <c r="F63" s="21"/>
      <c r="G63" s="21"/>
      <c r="H63" s="68"/>
      <c r="I63" s="68"/>
      <c r="J63" s="21"/>
      <c r="K63" s="59"/>
    </row>
    <row r="64" spans="1:12" s="51" customFormat="1" ht="14.25" hidden="1" thickBot="1" x14ac:dyDescent="0.3">
      <c r="A64" s="29"/>
      <c r="B64" s="314">
        <f t="shared" si="52"/>
        <v>43560</v>
      </c>
      <c r="C64" s="19"/>
      <c r="D64" s="21"/>
      <c r="E64" s="21"/>
      <c r="F64" s="21"/>
      <c r="G64" s="21"/>
      <c r="H64" s="68"/>
      <c r="I64" s="68"/>
      <c r="J64" s="21"/>
      <c r="K64" s="59"/>
    </row>
    <row r="65" spans="1:19" s="51" customFormat="1" ht="14.25" hidden="1" outlineLevel="1" thickBot="1" x14ac:dyDescent="0.3">
      <c r="A65" s="29"/>
      <c r="B65" s="314">
        <f t="shared" si="52"/>
        <v>43561</v>
      </c>
      <c r="C65" s="19"/>
      <c r="D65" s="21"/>
      <c r="E65" s="21"/>
      <c r="F65" s="21"/>
      <c r="G65" s="21"/>
      <c r="H65" s="68"/>
      <c r="I65" s="68"/>
      <c r="J65" s="21"/>
      <c r="K65" s="59"/>
    </row>
    <row r="66" spans="1:19" s="51" customFormat="1" ht="14.25" hidden="1" outlineLevel="1" thickBot="1" x14ac:dyDescent="0.3">
      <c r="A66" s="29"/>
      <c r="B66" s="314">
        <f t="shared" si="52"/>
        <v>43562</v>
      </c>
      <c r="C66" s="60"/>
      <c r="D66" s="62"/>
      <c r="E66" s="62"/>
      <c r="F66" s="62"/>
      <c r="G66" s="62"/>
      <c r="H66" s="568"/>
      <c r="I66" s="568"/>
      <c r="J66" s="21"/>
      <c r="K66" s="143"/>
    </row>
    <row r="67" spans="1:19" s="51" customFormat="1" ht="14.25" hidden="1" outlineLevel="1" thickBot="1" x14ac:dyDescent="0.3">
      <c r="A67" s="164" t="s">
        <v>21</v>
      </c>
      <c r="B67" s="503" t="s">
        <v>32</v>
      </c>
      <c r="C67" s="403">
        <f>SUM(C60:C66)</f>
        <v>0</v>
      </c>
      <c r="D67" s="403">
        <f t="shared" ref="D67:K67" si="53">SUM(D60:D66)</f>
        <v>0</v>
      </c>
      <c r="E67" s="403">
        <f t="shared" si="53"/>
        <v>0</v>
      </c>
      <c r="F67" s="403"/>
      <c r="G67" s="403">
        <f t="shared" si="53"/>
        <v>0</v>
      </c>
      <c r="H67" s="403">
        <f t="shared" ref="H67" si="54">SUM(H60:H66)</f>
        <v>0</v>
      </c>
      <c r="I67" s="573">
        <f t="shared" si="53"/>
        <v>0</v>
      </c>
      <c r="J67" s="573">
        <f t="shared" ref="J67" si="55">SUM(J60:J66)</f>
        <v>0</v>
      </c>
      <c r="K67" s="171">
        <f t="shared" si="53"/>
        <v>0</v>
      </c>
    </row>
    <row r="68" spans="1:19" s="51" customFormat="1" ht="14.25" hidden="1" outlineLevel="1" thickBot="1" x14ac:dyDescent="0.3">
      <c r="A68" s="114" t="s">
        <v>23</v>
      </c>
      <c r="B68" s="504"/>
      <c r="C68" s="115" t="e">
        <f>AVERAGE(C60:C66)</f>
        <v>#DIV/0!</v>
      </c>
      <c r="D68" s="115" t="e">
        <f t="shared" ref="D68:K68" si="56">AVERAGE(D60:D66)</f>
        <v>#DIV/0!</v>
      </c>
      <c r="E68" s="115" t="e">
        <f t="shared" si="56"/>
        <v>#DIV/0!</v>
      </c>
      <c r="F68" s="115"/>
      <c r="G68" s="115" t="e">
        <f t="shared" si="56"/>
        <v>#DIV/0!</v>
      </c>
      <c r="H68" s="115" t="e">
        <f t="shared" ref="H68" si="57">AVERAGE(H60:H66)</f>
        <v>#DIV/0!</v>
      </c>
      <c r="I68" s="574" t="e">
        <f t="shared" si="56"/>
        <v>#DIV/0!</v>
      </c>
      <c r="J68" s="574" t="e">
        <f t="shared" ref="J68" si="58">AVERAGE(J60:J66)</f>
        <v>#DIV/0!</v>
      </c>
      <c r="K68" s="172">
        <f t="shared" si="56"/>
        <v>0</v>
      </c>
    </row>
    <row r="69" spans="1:19" s="51" customFormat="1" ht="14.25" hidden="1" thickBot="1" x14ac:dyDescent="0.3">
      <c r="A69" s="30" t="s">
        <v>20</v>
      </c>
      <c r="B69" s="504"/>
      <c r="C69" s="31">
        <f>SUM(C60:C64)</f>
        <v>0</v>
      </c>
      <c r="D69" s="31">
        <f t="shared" ref="D69:K69" si="59">SUM(D60:D64)</f>
        <v>0</v>
      </c>
      <c r="E69" s="31">
        <f t="shared" si="59"/>
        <v>0</v>
      </c>
      <c r="F69" s="31"/>
      <c r="G69" s="31">
        <f t="shared" si="59"/>
        <v>0</v>
      </c>
      <c r="H69" s="31">
        <f t="shared" ref="H69" si="60">SUM(H60:H64)</f>
        <v>0</v>
      </c>
      <c r="I69" s="575">
        <f t="shared" si="59"/>
        <v>0</v>
      </c>
      <c r="J69" s="575">
        <f t="shared" ref="J69" si="61">SUM(J60:J64)</f>
        <v>0</v>
      </c>
      <c r="K69" s="173">
        <f t="shared" si="59"/>
        <v>0</v>
      </c>
    </row>
    <row r="70" spans="1:19" s="51" customFormat="1" ht="14.25" hidden="1" thickBot="1" x14ac:dyDescent="0.3">
      <c r="A70" s="30" t="s">
        <v>22</v>
      </c>
      <c r="B70" s="505"/>
      <c r="C70" s="35" t="e">
        <f>AVERAGE(C60:C64)</f>
        <v>#DIV/0!</v>
      </c>
      <c r="D70" s="35" t="e">
        <f t="shared" ref="D70:K70" si="62">AVERAGE(D60:D64)</f>
        <v>#DIV/0!</v>
      </c>
      <c r="E70" s="35" t="e">
        <f t="shared" si="62"/>
        <v>#DIV/0!</v>
      </c>
      <c r="F70" s="35"/>
      <c r="G70" s="35" t="e">
        <f t="shared" si="62"/>
        <v>#DIV/0!</v>
      </c>
      <c r="H70" s="35" t="e">
        <f t="shared" ref="H70" si="63">AVERAGE(H60:H64)</f>
        <v>#DIV/0!</v>
      </c>
      <c r="I70" s="38" t="e">
        <f t="shared" si="62"/>
        <v>#DIV/0!</v>
      </c>
      <c r="J70" s="38" t="e">
        <f t="shared" ref="J70" si="64">AVERAGE(J60:J64)</f>
        <v>#DIV/0!</v>
      </c>
      <c r="K70" s="174">
        <f t="shared" si="62"/>
        <v>0</v>
      </c>
    </row>
    <row r="71" spans="1:19" s="51" customFormat="1" ht="15" customHeight="1" x14ac:dyDescent="0.25">
      <c r="A71" s="4"/>
      <c r="B71" s="137"/>
      <c r="C71" s="54"/>
      <c r="D71" s="54"/>
      <c r="E71" s="54"/>
      <c r="F71" s="54"/>
      <c r="G71" s="54"/>
      <c r="H71" s="54"/>
      <c r="I71" s="54"/>
      <c r="J71" s="54"/>
      <c r="K71" s="54"/>
    </row>
    <row r="72" spans="1:19" s="51" customFormat="1" ht="38.25" x14ac:dyDescent="0.25">
      <c r="A72" s="195"/>
      <c r="B72" s="195"/>
      <c r="C72" s="43" t="s">
        <v>7</v>
      </c>
      <c r="D72" s="43" t="s">
        <v>96</v>
      </c>
      <c r="E72" s="43" t="s">
        <v>97</v>
      </c>
      <c r="F72" s="43" t="s">
        <v>98</v>
      </c>
      <c r="G72" s="43" t="s">
        <v>103</v>
      </c>
      <c r="H72" s="43" t="s">
        <v>114</v>
      </c>
      <c r="I72" s="43" t="s">
        <v>10</v>
      </c>
      <c r="J72" s="253" t="s">
        <v>116</v>
      </c>
      <c r="K72" s="540" t="s">
        <v>58</v>
      </c>
      <c r="L72" s="541"/>
      <c r="M72" s="542"/>
      <c r="N72" s="64"/>
      <c r="O72" s="64"/>
      <c r="P72" s="64"/>
      <c r="Q72" s="54"/>
      <c r="R72" s="54"/>
      <c r="S72" s="54"/>
    </row>
    <row r="73" spans="1:19" ht="13.5" x14ac:dyDescent="0.25">
      <c r="A73" s="46" t="s">
        <v>30</v>
      </c>
      <c r="B73" s="46"/>
      <c r="C73" s="197">
        <f t="shared" ref="C73:I73" si="65">SUM(C14+C25+C36+C47+C58)</f>
        <v>1492</v>
      </c>
      <c r="D73" s="197">
        <f t="shared" si="65"/>
        <v>795</v>
      </c>
      <c r="E73" s="197">
        <f t="shared" si="65"/>
        <v>1350</v>
      </c>
      <c r="F73" s="197">
        <f t="shared" si="65"/>
        <v>2862</v>
      </c>
      <c r="G73" s="197">
        <f t="shared" si="65"/>
        <v>3731</v>
      </c>
      <c r="H73" s="197">
        <f>SUM(H58,H47,H36,H25,H14)</f>
        <v>3753</v>
      </c>
      <c r="I73" s="197">
        <f t="shared" si="65"/>
        <v>1293</v>
      </c>
      <c r="J73" s="254">
        <f>SUM(J58,J47,J36,J25,J14)</f>
        <v>937</v>
      </c>
      <c r="K73" s="495" t="s">
        <v>30</v>
      </c>
      <c r="L73" s="496"/>
      <c r="M73" s="110">
        <f>SUM(K14, K25, K36, K47, K58, K69)</f>
        <v>16213</v>
      </c>
      <c r="N73" s="65"/>
      <c r="O73" s="65"/>
      <c r="P73" s="65"/>
    </row>
    <row r="74" spans="1:19" ht="13.5" x14ac:dyDescent="0.25">
      <c r="A74" s="46" t="s">
        <v>29</v>
      </c>
      <c r="B74" s="46"/>
      <c r="C74" s="197">
        <f>SUM(C12+C23+C34+C45+C56)</f>
        <v>3129</v>
      </c>
      <c r="D74" s="197">
        <f>SUM(D12+D23+D34+D45+D56)</f>
        <v>1535</v>
      </c>
      <c r="E74" s="197">
        <f>SUM(E12+E23+E34+E45+E56)</f>
        <v>2847</v>
      </c>
      <c r="F74" s="197">
        <f>SUM(F12+F23+F34+F45+F56)</f>
        <v>5408</v>
      </c>
      <c r="G74" s="197">
        <f t="shared" ref="G74" si="66">SUM(G12+G23+G34+G45+G56)</f>
        <v>3731</v>
      </c>
      <c r="H74" s="197">
        <f>SUM(H56,H45,H23,H34,H12)</f>
        <v>3753</v>
      </c>
      <c r="I74" s="197">
        <f>SUM(I12+I23+I34+I45+I56)</f>
        <v>6238</v>
      </c>
      <c r="J74" s="254">
        <f>SUM(J56,J45,J34,J23,J12)</f>
        <v>5265</v>
      </c>
      <c r="K74" s="495" t="s">
        <v>29</v>
      </c>
      <c r="L74" s="496"/>
      <c r="M74" s="111">
        <f>SUM(K56, K45, K34, K23, K12, K67)</f>
        <v>31906</v>
      </c>
      <c r="N74" s="65"/>
      <c r="O74" s="65"/>
      <c r="P74" s="65"/>
    </row>
    <row r="75" spans="1:19" x14ac:dyDescent="0.25">
      <c r="I75" s="495" t="s">
        <v>22</v>
      </c>
      <c r="J75" s="570"/>
      <c r="K75" s="496"/>
      <c r="L75" s="111">
        <f>AVERAGE(K14, K25, K36, K47, K58, K69)</f>
        <v>2702.1666666666665</v>
      </c>
    </row>
    <row r="76" spans="1:19" x14ac:dyDescent="0.25">
      <c r="I76" s="495" t="s">
        <v>62</v>
      </c>
      <c r="J76" s="570"/>
      <c r="K76" s="496"/>
      <c r="L76" s="110">
        <f>AVERAGE(K56, K45, K34, K23, K12, K67)</f>
        <v>5317.666666666667</v>
      </c>
    </row>
  </sheetData>
  <mergeCells count="24">
    <mergeCell ref="K73:L73"/>
    <mergeCell ref="K74:L74"/>
    <mergeCell ref="I75:K75"/>
    <mergeCell ref="I76:K76"/>
    <mergeCell ref="K72:M72"/>
    <mergeCell ref="C1:F2"/>
    <mergeCell ref="K1:K4"/>
    <mergeCell ref="A3:A4"/>
    <mergeCell ref="B3:B4"/>
    <mergeCell ref="C3:C4"/>
    <mergeCell ref="D3:D4"/>
    <mergeCell ref="E3:E4"/>
    <mergeCell ref="G3:G4"/>
    <mergeCell ref="I3:I4"/>
    <mergeCell ref="F3:F4"/>
    <mergeCell ref="G1:H2"/>
    <mergeCell ref="I1:J2"/>
    <mergeCell ref="J3:J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scale="5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8" sqref="A5:XFD8"/>
    </sheetView>
  </sheetViews>
  <sheetFormatPr defaultRowHeight="15" outlineLevelRow="1" x14ac:dyDescent="0.25"/>
  <cols>
    <col min="1" max="1" width="18.7109375" style="1" bestFit="1" customWidth="1"/>
    <col min="2" max="2" width="10.7109375" style="138" bestFit="1" customWidth="1"/>
    <col min="3" max="3" width="15.7109375" style="11" customWidth="1"/>
    <col min="4" max="4" width="10.7109375" style="11" customWidth="1"/>
    <col min="5" max="5" width="18.5703125" style="11" bestFit="1" customWidth="1"/>
    <col min="6" max="6" width="15.42578125" style="11" bestFit="1" customWidth="1"/>
    <col min="7" max="16384" width="9.140625" style="11"/>
  </cols>
  <sheetData>
    <row r="1" spans="1:4" ht="15" customHeight="1" x14ac:dyDescent="0.25">
      <c r="A1" s="27"/>
      <c r="B1" s="175"/>
      <c r="C1" s="557" t="s">
        <v>9</v>
      </c>
      <c r="D1" s="552" t="s">
        <v>19</v>
      </c>
    </row>
    <row r="2" spans="1:4" ht="15" customHeight="1" thickBot="1" x14ac:dyDescent="0.3">
      <c r="A2" s="28"/>
      <c r="B2" s="176"/>
      <c r="C2" s="560"/>
      <c r="D2" s="553"/>
    </row>
    <row r="3" spans="1:4" ht="15" customHeight="1" x14ac:dyDescent="0.25">
      <c r="A3" s="481" t="s">
        <v>52</v>
      </c>
      <c r="B3" s="509" t="s">
        <v>53</v>
      </c>
      <c r="C3" s="555" t="s">
        <v>33</v>
      </c>
      <c r="D3" s="553"/>
    </row>
    <row r="4" spans="1:4" ht="14.25" thickBot="1" x14ac:dyDescent="0.3">
      <c r="A4" s="518"/>
      <c r="B4" s="511"/>
      <c r="C4" s="556"/>
      <c r="D4" s="553"/>
    </row>
    <row r="5" spans="1:4" s="50" customFormat="1" ht="14.25" hidden="1" thickBot="1" x14ac:dyDescent="0.3">
      <c r="A5" s="29" t="s">
        <v>3</v>
      </c>
      <c r="B5" s="177">
        <v>43521</v>
      </c>
      <c r="C5" s="12"/>
      <c r="D5" s="18">
        <f t="shared" ref="D5:D11" si="0">SUM(C5)</f>
        <v>0</v>
      </c>
    </row>
    <row r="6" spans="1:4" s="50" customFormat="1" ht="14.25" hidden="1" thickBot="1" x14ac:dyDescent="0.3">
      <c r="A6" s="29" t="s">
        <v>4</v>
      </c>
      <c r="B6" s="177">
        <v>43522</v>
      </c>
      <c r="C6" s="12"/>
      <c r="D6" s="18">
        <f t="shared" si="0"/>
        <v>0</v>
      </c>
    </row>
    <row r="7" spans="1:4" s="50" customFormat="1" ht="14.25" hidden="1" thickBot="1" x14ac:dyDescent="0.3">
      <c r="A7" s="29" t="s">
        <v>5</v>
      </c>
      <c r="B7" s="177">
        <v>43523</v>
      </c>
      <c r="C7" s="12"/>
      <c r="D7" s="18">
        <f t="shared" si="0"/>
        <v>0</v>
      </c>
    </row>
    <row r="8" spans="1:4" s="50" customFormat="1" ht="14.25" hidden="1" thickBot="1" x14ac:dyDescent="0.3">
      <c r="A8" s="29" t="s">
        <v>6</v>
      </c>
      <c r="B8" s="177">
        <v>43524</v>
      </c>
      <c r="C8" s="12"/>
      <c r="D8" s="18">
        <f t="shared" si="0"/>
        <v>0</v>
      </c>
    </row>
    <row r="9" spans="1:4" s="50" customFormat="1" ht="14.25" thickBot="1" x14ac:dyDescent="0.3">
      <c r="A9" s="29" t="s">
        <v>0</v>
      </c>
      <c r="B9" s="177">
        <v>43525</v>
      </c>
      <c r="C9" s="12">
        <v>514</v>
      </c>
      <c r="D9" s="18">
        <f t="shared" si="0"/>
        <v>514</v>
      </c>
    </row>
    <row r="10" spans="1:4" s="50" customFormat="1" ht="14.25" outlineLevel="1" thickBot="1" x14ac:dyDescent="0.3">
      <c r="A10" s="29" t="s">
        <v>1</v>
      </c>
      <c r="B10" s="177">
        <v>43526</v>
      </c>
      <c r="C10" s="218">
        <v>288</v>
      </c>
      <c r="D10" s="18">
        <f t="shared" si="0"/>
        <v>288</v>
      </c>
    </row>
    <row r="11" spans="1:4" s="50" customFormat="1" ht="15" customHeight="1" outlineLevel="1" thickBot="1" x14ac:dyDescent="0.3">
      <c r="A11" s="29" t="s">
        <v>2</v>
      </c>
      <c r="B11" s="177">
        <v>43527</v>
      </c>
      <c r="C11" s="219">
        <v>284</v>
      </c>
      <c r="D11" s="18">
        <f t="shared" si="0"/>
        <v>284</v>
      </c>
    </row>
    <row r="12" spans="1:4" s="51" customFormat="1" ht="15" customHeight="1" outlineLevel="1" thickBot="1" x14ac:dyDescent="0.3">
      <c r="A12" s="164" t="s">
        <v>21</v>
      </c>
      <c r="B12" s="503" t="s">
        <v>24</v>
      </c>
      <c r="C12" s="220">
        <f>SUM(C5:C11)</f>
        <v>1086</v>
      </c>
      <c r="D12" s="119">
        <f>SUM(D5:D11)</f>
        <v>1086</v>
      </c>
    </row>
    <row r="13" spans="1:4" s="51" customFormat="1" ht="15" customHeight="1" outlineLevel="1" thickBot="1" x14ac:dyDescent="0.3">
      <c r="A13" s="114" t="s">
        <v>23</v>
      </c>
      <c r="B13" s="504"/>
      <c r="C13" s="221">
        <f>AVERAGE(C5:C11)</f>
        <v>362</v>
      </c>
      <c r="D13" s="115">
        <f>AVERAGE(D5:D11)</f>
        <v>155.14285714285714</v>
      </c>
    </row>
    <row r="14" spans="1:4" s="51" customFormat="1" ht="15" customHeight="1" thickBot="1" x14ac:dyDescent="0.3">
      <c r="A14" s="30" t="s">
        <v>20</v>
      </c>
      <c r="B14" s="504"/>
      <c r="C14" s="222">
        <f>SUM(C5:C9)</f>
        <v>514</v>
      </c>
      <c r="D14" s="31">
        <f>SUM(D5:D9)</f>
        <v>514</v>
      </c>
    </row>
    <row r="15" spans="1:4" s="51" customFormat="1" ht="15" customHeight="1" thickBot="1" x14ac:dyDescent="0.3">
      <c r="A15" s="30" t="s">
        <v>22</v>
      </c>
      <c r="B15" s="504"/>
      <c r="C15" s="223">
        <f>AVERAGE(C5:C9)</f>
        <v>514</v>
      </c>
      <c r="D15" s="35">
        <f>AVERAGE(D5:D9)</f>
        <v>102.8</v>
      </c>
    </row>
    <row r="16" spans="1:4" s="51" customFormat="1" ht="15" customHeight="1" thickBot="1" x14ac:dyDescent="0.3">
      <c r="A16" s="29" t="s">
        <v>3</v>
      </c>
      <c r="B16" s="177">
        <f>B11+1</f>
        <v>43528</v>
      </c>
      <c r="C16" s="216">
        <v>313</v>
      </c>
      <c r="D16" s="191">
        <f>SUM(C16)</f>
        <v>313</v>
      </c>
    </row>
    <row r="17" spans="1:5" s="51" customFormat="1" ht="15" customHeight="1" thickBot="1" x14ac:dyDescent="0.3">
      <c r="A17" s="29" t="s">
        <v>4</v>
      </c>
      <c r="B17" s="178">
        <f t="shared" ref="B17:B22" si="1">B16+1</f>
        <v>43529</v>
      </c>
      <c r="C17" s="216">
        <v>738</v>
      </c>
      <c r="D17" s="63">
        <f t="shared" ref="D17:D22" si="2">SUM(C17)</f>
        <v>738</v>
      </c>
    </row>
    <row r="18" spans="1:5" s="51" customFormat="1" ht="15" customHeight="1" thickBot="1" x14ac:dyDescent="0.3">
      <c r="A18" s="29" t="s">
        <v>5</v>
      </c>
      <c r="B18" s="178">
        <f t="shared" si="1"/>
        <v>43530</v>
      </c>
      <c r="C18" s="216">
        <v>658</v>
      </c>
      <c r="D18" s="191">
        <f t="shared" si="2"/>
        <v>658</v>
      </c>
    </row>
    <row r="19" spans="1:5" s="51" customFormat="1" ht="15" customHeight="1" thickBot="1" x14ac:dyDescent="0.3">
      <c r="A19" s="29" t="s">
        <v>6</v>
      </c>
      <c r="B19" s="179">
        <f t="shared" si="1"/>
        <v>43531</v>
      </c>
      <c r="C19" s="216">
        <v>595</v>
      </c>
      <c r="D19" s="63">
        <f t="shared" si="2"/>
        <v>595</v>
      </c>
    </row>
    <row r="20" spans="1:5" s="51" customFormat="1" ht="15" customHeight="1" thickBot="1" x14ac:dyDescent="0.3">
      <c r="A20" s="29" t="s">
        <v>0</v>
      </c>
      <c r="B20" s="179">
        <f t="shared" si="1"/>
        <v>43532</v>
      </c>
      <c r="C20" s="216">
        <v>678</v>
      </c>
      <c r="D20" s="191">
        <f t="shared" si="2"/>
        <v>678</v>
      </c>
    </row>
    <row r="21" spans="1:5" s="51" customFormat="1" ht="15" customHeight="1" outlineLevel="1" thickBot="1" x14ac:dyDescent="0.3">
      <c r="A21" s="29" t="s">
        <v>1</v>
      </c>
      <c r="B21" s="192">
        <f t="shared" si="1"/>
        <v>43533</v>
      </c>
      <c r="C21" s="218">
        <v>650</v>
      </c>
      <c r="D21" s="63">
        <f t="shared" si="2"/>
        <v>650</v>
      </c>
      <c r="E21" s="159"/>
    </row>
    <row r="22" spans="1:5" s="51" customFormat="1" ht="15" customHeight="1" outlineLevel="1" thickBot="1" x14ac:dyDescent="0.3">
      <c r="A22" s="29" t="s">
        <v>2</v>
      </c>
      <c r="B22" s="178">
        <f t="shared" si="1"/>
        <v>43534</v>
      </c>
      <c r="C22" s="219">
        <v>177</v>
      </c>
      <c r="D22" s="16">
        <f t="shared" si="2"/>
        <v>177</v>
      </c>
    </row>
    <row r="23" spans="1:5" s="51" customFormat="1" ht="15" customHeight="1" outlineLevel="1" thickBot="1" x14ac:dyDescent="0.3">
      <c r="A23" s="164" t="s">
        <v>21</v>
      </c>
      <c r="B23" s="503" t="s">
        <v>25</v>
      </c>
      <c r="C23" s="220">
        <f>SUM(C16:C22)</f>
        <v>3809</v>
      </c>
      <c r="D23" s="119">
        <f>SUM(D16:D22)</f>
        <v>3809</v>
      </c>
    </row>
    <row r="24" spans="1:5" s="51" customFormat="1" ht="15" customHeight="1" outlineLevel="1" thickBot="1" x14ac:dyDescent="0.3">
      <c r="A24" s="114" t="s">
        <v>23</v>
      </c>
      <c r="B24" s="504"/>
      <c r="C24" s="221">
        <f>AVERAGE(C16:C22)</f>
        <v>544.14285714285711</v>
      </c>
      <c r="D24" s="115">
        <f>AVERAGE(D16:D22)</f>
        <v>544.14285714285711</v>
      </c>
    </row>
    <row r="25" spans="1:5" s="51" customFormat="1" ht="15" customHeight="1" thickBot="1" x14ac:dyDescent="0.3">
      <c r="A25" s="30" t="s">
        <v>20</v>
      </c>
      <c r="B25" s="504"/>
      <c r="C25" s="222">
        <f>SUM(C16:C20)</f>
        <v>2982</v>
      </c>
      <c r="D25" s="31">
        <f>SUM(D16:D20)</f>
        <v>2982</v>
      </c>
    </row>
    <row r="26" spans="1:5" s="51" customFormat="1" ht="15" customHeight="1" thickBot="1" x14ac:dyDescent="0.3">
      <c r="A26" s="30" t="s">
        <v>22</v>
      </c>
      <c r="B26" s="505"/>
      <c r="C26" s="223">
        <f>AVERAGE(C16:C20)</f>
        <v>596.4</v>
      </c>
      <c r="D26" s="35">
        <f>AVERAGE(D16:D20)</f>
        <v>596.4</v>
      </c>
    </row>
    <row r="27" spans="1:5" s="51" customFormat="1" ht="15" customHeight="1" thickBot="1" x14ac:dyDescent="0.3">
      <c r="A27" s="29" t="s">
        <v>3</v>
      </c>
      <c r="B27" s="180">
        <f>B22+1</f>
        <v>43535</v>
      </c>
      <c r="C27" s="216">
        <v>463</v>
      </c>
      <c r="D27" s="191">
        <f>SUM(C27)</f>
        <v>463</v>
      </c>
    </row>
    <row r="28" spans="1:5" s="51" customFormat="1" ht="15" customHeight="1" thickBot="1" x14ac:dyDescent="0.3">
      <c r="A28" s="29" t="s">
        <v>4</v>
      </c>
      <c r="B28" s="181">
        <f t="shared" ref="B28:B33" si="3">B27+1</f>
        <v>43536</v>
      </c>
      <c r="C28" s="216">
        <v>651</v>
      </c>
      <c r="D28" s="63">
        <f t="shared" ref="D28:D33" si="4">SUM(C28)</f>
        <v>651</v>
      </c>
    </row>
    <row r="29" spans="1:5" s="51" customFormat="1" ht="15" customHeight="1" thickBot="1" x14ac:dyDescent="0.3">
      <c r="A29" s="29" t="s">
        <v>5</v>
      </c>
      <c r="B29" s="181">
        <f t="shared" si="3"/>
        <v>43537</v>
      </c>
      <c r="C29" s="216">
        <v>700</v>
      </c>
      <c r="D29" s="191">
        <f t="shared" si="4"/>
        <v>700</v>
      </c>
    </row>
    <row r="30" spans="1:5" s="51" customFormat="1" ht="15" customHeight="1" thickBot="1" x14ac:dyDescent="0.3">
      <c r="A30" s="29" t="s">
        <v>6</v>
      </c>
      <c r="B30" s="181">
        <f t="shared" si="3"/>
        <v>43538</v>
      </c>
      <c r="C30" s="216">
        <v>712</v>
      </c>
      <c r="D30" s="63">
        <f t="shared" si="4"/>
        <v>712</v>
      </c>
    </row>
    <row r="31" spans="1:5" s="51" customFormat="1" ht="15" customHeight="1" thickBot="1" x14ac:dyDescent="0.3">
      <c r="A31" s="29" t="s">
        <v>0</v>
      </c>
      <c r="B31" s="181">
        <f t="shared" si="3"/>
        <v>43539</v>
      </c>
      <c r="C31" s="216">
        <v>722</v>
      </c>
      <c r="D31" s="191">
        <f t="shared" si="4"/>
        <v>722</v>
      </c>
    </row>
    <row r="32" spans="1:5" s="51" customFormat="1" ht="15" customHeight="1" outlineLevel="1" thickBot="1" x14ac:dyDescent="0.3">
      <c r="A32" s="29" t="s">
        <v>1</v>
      </c>
      <c r="B32" s="181">
        <f t="shared" si="3"/>
        <v>43540</v>
      </c>
      <c r="C32" s="218">
        <v>558</v>
      </c>
      <c r="D32" s="63">
        <f t="shared" si="4"/>
        <v>558</v>
      </c>
    </row>
    <row r="33" spans="1:5" s="51" customFormat="1" ht="15" customHeight="1" outlineLevel="1" thickBot="1" x14ac:dyDescent="0.3">
      <c r="A33" s="29" t="s">
        <v>2</v>
      </c>
      <c r="B33" s="181">
        <f t="shared" si="3"/>
        <v>43541</v>
      </c>
      <c r="C33" s="219">
        <v>516</v>
      </c>
      <c r="D33" s="16">
        <f t="shared" si="4"/>
        <v>516</v>
      </c>
    </row>
    <row r="34" spans="1:5" s="51" customFormat="1" ht="15" customHeight="1" outlineLevel="1" thickBot="1" x14ac:dyDescent="0.3">
      <c r="A34" s="164" t="s">
        <v>21</v>
      </c>
      <c r="B34" s="503" t="s">
        <v>26</v>
      </c>
      <c r="C34" s="220">
        <f>SUM(C27:C33)</f>
        <v>4322</v>
      </c>
      <c r="D34" s="119">
        <f>SUM(D27:D33)</f>
        <v>4322</v>
      </c>
    </row>
    <row r="35" spans="1:5" s="51" customFormat="1" ht="15" customHeight="1" outlineLevel="1" thickBot="1" x14ac:dyDescent="0.3">
      <c r="A35" s="114" t="s">
        <v>23</v>
      </c>
      <c r="B35" s="504"/>
      <c r="C35" s="221">
        <f>AVERAGE(C27:C33)</f>
        <v>617.42857142857144</v>
      </c>
      <c r="D35" s="115">
        <f>AVERAGE(D27:D33)</f>
        <v>617.42857142857144</v>
      </c>
    </row>
    <row r="36" spans="1:5" s="51" customFormat="1" ht="15" customHeight="1" thickBot="1" x14ac:dyDescent="0.3">
      <c r="A36" s="30" t="s">
        <v>20</v>
      </c>
      <c r="B36" s="504"/>
      <c r="C36" s="224">
        <f>SUM(C27:C31)</f>
        <v>3248</v>
      </c>
      <c r="D36" s="34">
        <f>SUM(D27:D31)</f>
        <v>3248</v>
      </c>
    </row>
    <row r="37" spans="1:5" s="51" customFormat="1" ht="15" customHeight="1" thickBot="1" x14ac:dyDescent="0.3">
      <c r="A37" s="30" t="s">
        <v>22</v>
      </c>
      <c r="B37" s="505"/>
      <c r="C37" s="225">
        <f>AVERAGE(C27:C31)</f>
        <v>649.6</v>
      </c>
      <c r="D37" s="39">
        <f>AVERAGE(D27:D31)</f>
        <v>649.6</v>
      </c>
    </row>
    <row r="38" spans="1:5" s="51" customFormat="1" ht="15" customHeight="1" thickBot="1" x14ac:dyDescent="0.3">
      <c r="A38" s="29" t="s">
        <v>3</v>
      </c>
      <c r="B38" s="182">
        <f>B33+1</f>
        <v>43542</v>
      </c>
      <c r="C38" s="216">
        <v>706</v>
      </c>
      <c r="D38" s="191">
        <f>SUM(C38)</f>
        <v>706</v>
      </c>
    </row>
    <row r="39" spans="1:5" s="51" customFormat="1" ht="15" customHeight="1" thickBot="1" x14ac:dyDescent="0.3">
      <c r="A39" s="29" t="s">
        <v>4</v>
      </c>
      <c r="B39" s="183">
        <f t="shared" ref="B39:B44" si="5">B38+1</f>
        <v>43543</v>
      </c>
      <c r="C39" s="216">
        <v>715</v>
      </c>
      <c r="D39" s="63">
        <f t="shared" ref="D39:D44" si="6">SUM(C39)</f>
        <v>715</v>
      </c>
    </row>
    <row r="40" spans="1:5" s="51" customFormat="1" ht="15" customHeight="1" thickBot="1" x14ac:dyDescent="0.3">
      <c r="A40" s="29" t="s">
        <v>5</v>
      </c>
      <c r="B40" s="183">
        <f t="shared" si="5"/>
        <v>43544</v>
      </c>
      <c r="C40" s="216">
        <v>674</v>
      </c>
      <c r="D40" s="191">
        <f t="shared" si="6"/>
        <v>674</v>
      </c>
    </row>
    <row r="41" spans="1:5" s="51" customFormat="1" ht="15" customHeight="1" thickBot="1" x14ac:dyDescent="0.3">
      <c r="A41" s="29" t="s">
        <v>6</v>
      </c>
      <c r="B41" s="183">
        <f t="shared" si="5"/>
        <v>43545</v>
      </c>
      <c r="C41" s="216">
        <v>608</v>
      </c>
      <c r="D41" s="63">
        <f t="shared" si="6"/>
        <v>608</v>
      </c>
    </row>
    <row r="42" spans="1:5" s="51" customFormat="1" ht="15" customHeight="1" thickBot="1" x14ac:dyDescent="0.3">
      <c r="A42" s="29" t="s">
        <v>0</v>
      </c>
      <c r="B42" s="183">
        <f t="shared" si="5"/>
        <v>43546</v>
      </c>
      <c r="C42" s="216">
        <v>657</v>
      </c>
      <c r="D42" s="191">
        <f t="shared" si="6"/>
        <v>657</v>
      </c>
    </row>
    <row r="43" spans="1:5" s="51" customFormat="1" ht="15" customHeight="1" outlineLevel="1" thickBot="1" x14ac:dyDescent="0.3">
      <c r="A43" s="29" t="s">
        <v>1</v>
      </c>
      <c r="B43" s="183">
        <f t="shared" si="5"/>
        <v>43547</v>
      </c>
      <c r="C43" s="218">
        <v>431</v>
      </c>
      <c r="D43" s="63">
        <f t="shared" si="6"/>
        <v>431</v>
      </c>
      <c r="E43" s="159"/>
    </row>
    <row r="44" spans="1:5" s="51" customFormat="1" ht="15" customHeight="1" outlineLevel="1" thickBot="1" x14ac:dyDescent="0.3">
      <c r="A44" s="29" t="s">
        <v>2</v>
      </c>
      <c r="B44" s="183">
        <f t="shared" si="5"/>
        <v>43548</v>
      </c>
      <c r="C44" s="219">
        <v>650</v>
      </c>
      <c r="D44" s="16">
        <f t="shared" si="6"/>
        <v>650</v>
      </c>
      <c r="E44" s="159"/>
    </row>
    <row r="45" spans="1:5" s="51" customFormat="1" ht="15" customHeight="1" outlineLevel="1" thickBot="1" x14ac:dyDescent="0.3">
      <c r="A45" s="164" t="s">
        <v>21</v>
      </c>
      <c r="B45" s="503" t="s">
        <v>27</v>
      </c>
      <c r="C45" s="220">
        <f>SUM(C38:C44)</f>
        <v>4441</v>
      </c>
      <c r="D45" s="119">
        <f>SUM(D38:D44)</f>
        <v>4441</v>
      </c>
      <c r="E45" s="159"/>
    </row>
    <row r="46" spans="1:5" s="51" customFormat="1" ht="15" customHeight="1" outlineLevel="1" thickBot="1" x14ac:dyDescent="0.3">
      <c r="A46" s="114" t="s">
        <v>23</v>
      </c>
      <c r="B46" s="504"/>
      <c r="C46" s="221">
        <f>AVERAGE(C38:C44)</f>
        <v>634.42857142857144</v>
      </c>
      <c r="D46" s="115">
        <f>AVERAGE(D38:D44)</f>
        <v>634.42857142857144</v>
      </c>
      <c r="E46" s="159"/>
    </row>
    <row r="47" spans="1:5" s="51" customFormat="1" ht="15" customHeight="1" thickBot="1" x14ac:dyDescent="0.3">
      <c r="A47" s="30" t="s">
        <v>20</v>
      </c>
      <c r="B47" s="504"/>
      <c r="C47" s="224">
        <f>SUM(C38:C42)</f>
        <v>3360</v>
      </c>
      <c r="D47" s="34">
        <f>SUM(D38:D42)</f>
        <v>3360</v>
      </c>
      <c r="E47" s="159"/>
    </row>
    <row r="48" spans="1:5" s="51" customFormat="1" ht="15" customHeight="1" thickBot="1" x14ac:dyDescent="0.3">
      <c r="A48" s="30" t="s">
        <v>22</v>
      </c>
      <c r="B48" s="505"/>
      <c r="C48" s="225">
        <f>AVERAGE(C38:C42)</f>
        <v>672</v>
      </c>
      <c r="D48" s="39">
        <f>AVERAGE(D38:D42)</f>
        <v>672</v>
      </c>
      <c r="E48" s="159"/>
    </row>
    <row r="49" spans="1:5" s="51" customFormat="1" ht="15" customHeight="1" thickBot="1" x14ac:dyDescent="0.3">
      <c r="A49" s="29" t="s">
        <v>3</v>
      </c>
      <c r="B49" s="182">
        <f>B44+1</f>
        <v>43549</v>
      </c>
      <c r="C49" s="226">
        <v>662</v>
      </c>
      <c r="D49" s="18">
        <f t="shared" ref="D49:D55" si="7">SUM(C49)</f>
        <v>662</v>
      </c>
      <c r="E49" s="159"/>
    </row>
    <row r="50" spans="1:5" s="51" customFormat="1" ht="15" customHeight="1" thickBot="1" x14ac:dyDescent="0.3">
      <c r="A50" s="155" t="s">
        <v>4</v>
      </c>
      <c r="B50" s="183">
        <f t="shared" ref="B50:B55" si="8">B49+1</f>
        <v>43550</v>
      </c>
      <c r="C50" s="216">
        <v>718</v>
      </c>
      <c r="D50" s="18">
        <f t="shared" si="7"/>
        <v>718</v>
      </c>
      <c r="E50" s="159"/>
    </row>
    <row r="51" spans="1:5" s="51" customFormat="1" ht="14.25" thickBot="1" x14ac:dyDescent="0.3">
      <c r="A51" s="155" t="s">
        <v>5</v>
      </c>
      <c r="B51" s="183">
        <f t="shared" si="8"/>
        <v>43551</v>
      </c>
      <c r="C51" s="227">
        <v>665</v>
      </c>
      <c r="D51" s="18">
        <f t="shared" si="7"/>
        <v>665</v>
      </c>
      <c r="E51" s="159"/>
    </row>
    <row r="52" spans="1:5" s="51" customFormat="1" ht="14.25" thickBot="1" x14ac:dyDescent="0.3">
      <c r="A52" s="155" t="s">
        <v>6</v>
      </c>
      <c r="B52" s="183">
        <f t="shared" si="8"/>
        <v>43552</v>
      </c>
      <c r="C52" s="216">
        <v>742</v>
      </c>
      <c r="D52" s="18">
        <f t="shared" si="7"/>
        <v>742</v>
      </c>
      <c r="E52" s="159"/>
    </row>
    <row r="53" spans="1:5" s="51" customFormat="1" ht="14.25" thickBot="1" x14ac:dyDescent="0.3">
      <c r="A53" s="29" t="s">
        <v>0</v>
      </c>
      <c r="B53" s="185">
        <f t="shared" si="8"/>
        <v>43553</v>
      </c>
      <c r="C53" s="216">
        <v>720</v>
      </c>
      <c r="D53" s="18">
        <f t="shared" si="7"/>
        <v>720</v>
      </c>
      <c r="E53" s="159"/>
    </row>
    <row r="54" spans="1:5" s="51" customFormat="1" ht="14.25" outlineLevel="1" thickBot="1" x14ac:dyDescent="0.3">
      <c r="A54" s="29" t="s">
        <v>1</v>
      </c>
      <c r="B54" s="185">
        <f t="shared" si="8"/>
        <v>43554</v>
      </c>
      <c r="C54" s="218">
        <v>0</v>
      </c>
      <c r="D54" s="18">
        <f t="shared" si="7"/>
        <v>0</v>
      </c>
      <c r="E54" s="159"/>
    </row>
    <row r="55" spans="1:5" s="51" customFormat="1" ht="14.25" outlineLevel="1" thickBot="1" x14ac:dyDescent="0.3">
      <c r="A55" s="155" t="s">
        <v>2</v>
      </c>
      <c r="B55" s="185">
        <f t="shared" si="8"/>
        <v>43555</v>
      </c>
      <c r="C55" s="219">
        <v>0</v>
      </c>
      <c r="D55" s="18">
        <f t="shared" si="7"/>
        <v>0</v>
      </c>
    </row>
    <row r="56" spans="1:5" s="51" customFormat="1" ht="15" customHeight="1" outlineLevel="1" thickBot="1" x14ac:dyDescent="0.3">
      <c r="A56" s="164" t="s">
        <v>21</v>
      </c>
      <c r="B56" s="503" t="s">
        <v>28</v>
      </c>
      <c r="C56" s="220">
        <f>SUM(C49:C55)</f>
        <v>3507</v>
      </c>
      <c r="D56" s="119">
        <f>SUM(C56)</f>
        <v>3507</v>
      </c>
    </row>
    <row r="57" spans="1:5" s="51" customFormat="1" ht="15" customHeight="1" outlineLevel="1" thickBot="1" x14ac:dyDescent="0.3">
      <c r="A57" s="114" t="s">
        <v>23</v>
      </c>
      <c r="B57" s="504"/>
      <c r="C57" s="221">
        <f>AVERAGE(C49:C55)</f>
        <v>501</v>
      </c>
      <c r="D57" s="119">
        <f t="shared" ref="D57:D70" si="9">SUM(C57)</f>
        <v>501</v>
      </c>
    </row>
    <row r="58" spans="1:5" s="51" customFormat="1" ht="15" customHeight="1" thickBot="1" x14ac:dyDescent="0.3">
      <c r="A58" s="30" t="s">
        <v>20</v>
      </c>
      <c r="B58" s="504"/>
      <c r="C58" s="222">
        <f>SUM(C49:C53)</f>
        <v>3507</v>
      </c>
      <c r="D58" s="31">
        <f t="shared" si="9"/>
        <v>3507</v>
      </c>
    </row>
    <row r="59" spans="1:5" s="51" customFormat="1" ht="14.25" thickBot="1" x14ac:dyDescent="0.3">
      <c r="A59" s="30" t="s">
        <v>22</v>
      </c>
      <c r="B59" s="505"/>
      <c r="C59" s="223">
        <f>AVERAGE(C49:C53)</f>
        <v>701.4</v>
      </c>
      <c r="D59" s="35">
        <f t="shared" si="9"/>
        <v>701.4</v>
      </c>
    </row>
    <row r="60" spans="1:5" s="51" customFormat="1" ht="14.25" hidden="1" thickBot="1" x14ac:dyDescent="0.3">
      <c r="A60" s="155" t="s">
        <v>3</v>
      </c>
      <c r="B60" s="182">
        <f>B55+1</f>
        <v>43556</v>
      </c>
      <c r="C60" s="216"/>
      <c r="D60" s="18"/>
    </row>
    <row r="61" spans="1:5" s="51" customFormat="1" ht="14.25" hidden="1" thickBot="1" x14ac:dyDescent="0.3">
      <c r="A61" s="155" t="s">
        <v>4</v>
      </c>
      <c r="B61" s="183">
        <f t="shared" ref="B61:B66" si="10">B60+1</f>
        <v>43557</v>
      </c>
      <c r="C61" s="216"/>
      <c r="D61" s="18"/>
    </row>
    <row r="62" spans="1:5" s="51" customFormat="1" ht="14.25" hidden="1" thickBot="1" x14ac:dyDescent="0.3">
      <c r="A62" s="155" t="s">
        <v>5</v>
      </c>
      <c r="B62" s="183">
        <f t="shared" si="10"/>
        <v>43558</v>
      </c>
      <c r="C62" s="217"/>
      <c r="D62" s="18"/>
    </row>
    <row r="63" spans="1:5" s="51" customFormat="1" ht="14.25" hidden="1" thickBot="1" x14ac:dyDescent="0.3">
      <c r="A63" s="155" t="s">
        <v>6</v>
      </c>
      <c r="B63" s="183">
        <f t="shared" si="10"/>
        <v>43559</v>
      </c>
      <c r="C63" s="217"/>
      <c r="D63" s="18"/>
    </row>
    <row r="64" spans="1:5" s="51" customFormat="1" ht="14.25" hidden="1" thickBot="1" x14ac:dyDescent="0.3">
      <c r="A64" s="155" t="s">
        <v>0</v>
      </c>
      <c r="B64" s="183">
        <f t="shared" si="10"/>
        <v>43560</v>
      </c>
      <c r="C64" s="217"/>
      <c r="D64" s="18"/>
    </row>
    <row r="65" spans="1:6" s="51" customFormat="1" ht="14.25" hidden="1" outlineLevel="1" thickBot="1" x14ac:dyDescent="0.3">
      <c r="A65" s="155" t="s">
        <v>1</v>
      </c>
      <c r="B65" s="183">
        <f t="shared" si="10"/>
        <v>43561</v>
      </c>
      <c r="C65" s="228"/>
      <c r="D65" s="18"/>
    </row>
    <row r="66" spans="1:6" s="51" customFormat="1" ht="14.25" hidden="1" outlineLevel="1" thickBot="1" x14ac:dyDescent="0.3">
      <c r="A66" s="155" t="s">
        <v>2</v>
      </c>
      <c r="B66" s="183">
        <f t="shared" si="10"/>
        <v>43562</v>
      </c>
      <c r="C66" s="229"/>
      <c r="D66" s="18"/>
    </row>
    <row r="67" spans="1:6" s="51" customFormat="1" ht="14.25" hidden="1" outlineLevel="1" thickBot="1" x14ac:dyDescent="0.3">
      <c r="A67" s="164" t="s">
        <v>21</v>
      </c>
      <c r="B67" s="504" t="s">
        <v>32</v>
      </c>
      <c r="C67" s="220">
        <f>SUM(C60:C66)</f>
        <v>0</v>
      </c>
      <c r="D67" s="119">
        <f t="shared" si="9"/>
        <v>0</v>
      </c>
    </row>
    <row r="68" spans="1:6" s="51" customFormat="1" ht="14.25" hidden="1" outlineLevel="1" thickBot="1" x14ac:dyDescent="0.3">
      <c r="A68" s="114" t="s">
        <v>23</v>
      </c>
      <c r="B68" s="504"/>
      <c r="C68" s="221" t="e">
        <f>AVERAGE(C60:C66)</f>
        <v>#DIV/0!</v>
      </c>
      <c r="D68" s="115" t="e">
        <f t="shared" si="9"/>
        <v>#DIV/0!</v>
      </c>
    </row>
    <row r="69" spans="1:6" s="51" customFormat="1" ht="14.25" hidden="1" thickBot="1" x14ac:dyDescent="0.3">
      <c r="A69" s="30" t="s">
        <v>20</v>
      </c>
      <c r="B69" s="504"/>
      <c r="C69" s="222">
        <f>SUM(C60:C64)</f>
        <v>0</v>
      </c>
      <c r="D69" s="31">
        <f t="shared" si="9"/>
        <v>0</v>
      </c>
    </row>
    <row r="70" spans="1:6" s="51" customFormat="1" ht="14.25" hidden="1" thickBot="1" x14ac:dyDescent="0.3">
      <c r="A70" s="30" t="s">
        <v>22</v>
      </c>
      <c r="B70" s="505"/>
      <c r="C70" s="223" t="e">
        <f>AVERAGE(C60:C64)</f>
        <v>#DIV/0!</v>
      </c>
      <c r="D70" s="35" t="e">
        <f t="shared" si="9"/>
        <v>#DIV/0!</v>
      </c>
    </row>
    <row r="71" spans="1:6" s="51" customFormat="1" ht="15" customHeight="1" x14ac:dyDescent="0.25">
      <c r="A71" s="4"/>
      <c r="B71" s="137"/>
      <c r="C71" s="54"/>
      <c r="D71" s="54"/>
    </row>
    <row r="72" spans="1:6" s="51" customFormat="1" ht="42" customHeight="1" x14ac:dyDescent="0.25">
      <c r="A72" s="195"/>
      <c r="B72" s="196" t="s">
        <v>9</v>
      </c>
      <c r="D72" s="540" t="s">
        <v>57</v>
      </c>
      <c r="E72" s="541"/>
      <c r="F72" s="542"/>
    </row>
    <row r="73" spans="1:6" ht="30" customHeight="1" x14ac:dyDescent="0.25">
      <c r="A73" s="46" t="s">
        <v>30</v>
      </c>
      <c r="B73" s="197">
        <f>SUM(C58:C58, C47:C47, C36:C36, C25:C25, C14:C14, C69:C69)</f>
        <v>13611</v>
      </c>
      <c r="D73" s="495" t="s">
        <v>30</v>
      </c>
      <c r="E73" s="496"/>
      <c r="F73" s="110">
        <f>SUM(D14, D25, D36, D47, D58, D69)</f>
        <v>13611</v>
      </c>
    </row>
    <row r="74" spans="1:6" ht="30" customHeight="1" x14ac:dyDescent="0.25">
      <c r="A74" s="46" t="s">
        <v>29</v>
      </c>
      <c r="B74" s="197">
        <f>SUM(C56:C56, C45:C45, C34:C34, C23:C23, C12:C12, C67:C67 )</f>
        <v>17165</v>
      </c>
      <c r="D74" s="495" t="s">
        <v>29</v>
      </c>
      <c r="E74" s="496"/>
      <c r="F74" s="111">
        <f>SUM(D56, D45, D34, D23, D12, D67)</f>
        <v>17165</v>
      </c>
    </row>
    <row r="75" spans="1:6" ht="30" customHeight="1" x14ac:dyDescent="0.25">
      <c r="D75" s="495" t="s">
        <v>22</v>
      </c>
      <c r="E75" s="496"/>
      <c r="F75" s="111">
        <f>AVERAGE(D14, D25, D36, D47, D58, D69)</f>
        <v>2268.5</v>
      </c>
    </row>
    <row r="76" spans="1:6" ht="30" customHeight="1" x14ac:dyDescent="0.25">
      <c r="D76" s="495" t="s">
        <v>62</v>
      </c>
      <c r="E76" s="496"/>
      <c r="F76" s="110">
        <f>AVERAGE(D56, D45, D34, D23, D12, D67)</f>
        <v>2860.8333333333335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  <ignoredErrors>
    <ignoredError sqref="C37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CFE2BF-487A-459C-AA82-4A0BCAB68391}"/>
</file>

<file path=customXml/itemProps2.xml><?xml version="1.0" encoding="utf-8"?>
<ds:datastoreItem xmlns:ds="http://schemas.openxmlformats.org/officeDocument/2006/customXml" ds:itemID="{C3FF6339-791E-4BE8-8B20-F8CF3320A9A1}"/>
</file>

<file path=customXml/itemProps3.xml><?xml version="1.0" encoding="utf-8"?>
<ds:datastoreItem xmlns:ds="http://schemas.openxmlformats.org/officeDocument/2006/customXml" ds:itemID="{0E92D513-871F-459A-A030-AD2D6FE269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Monthly Totals</vt:lpstr>
      <vt:lpstr>Sheet2</vt:lpstr>
      <vt:lpstr>NYC Ferry</vt:lpstr>
      <vt:lpstr>NY Waterway-(Port Imperial FC)</vt:lpstr>
      <vt:lpstr>NY Waterway-(Billy Bey FC)</vt:lpstr>
      <vt:lpstr>SeaStreak</vt:lpstr>
      <vt:lpstr>New York Water Taxi</vt:lpstr>
      <vt:lpstr>Liberty Landing Ferry</vt:lpstr>
      <vt:lpstr>Water Tours</vt:lpstr>
      <vt:lpstr>Baseball</vt:lpstr>
      <vt:lpstr>Sheet1</vt:lpstr>
      <vt:lpstr>Baseball!Print_Area</vt:lpstr>
      <vt:lpstr>'Monthly Totals'!Print_Area</vt:lpstr>
      <vt:lpstr>'NY Waterway-(Billy Bey FC)'!Print_Area</vt:lpstr>
      <vt:lpstr>'Weekday Totals'!Print_Area</vt:lpstr>
    </vt:vector>
  </TitlesOfParts>
  <Company>NYC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 Bergin</dc:creator>
  <cp:lastModifiedBy>Bergin, York</cp:lastModifiedBy>
  <cp:lastPrinted>2017-04-19T14:04:01Z</cp:lastPrinted>
  <dcterms:created xsi:type="dcterms:W3CDTF">2011-07-28T13:02:07Z</dcterms:created>
  <dcterms:modified xsi:type="dcterms:W3CDTF">2019-04-15T19:31:51Z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