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Ridership Statistics\Private Ferries\2019\"/>
    </mc:Choice>
  </mc:AlternateContent>
  <bookViews>
    <workbookView xWindow="0" yWindow="0" windowWidth="28800" windowHeight="12135" tabRatio="673"/>
  </bookViews>
  <sheets>
    <sheet name="Weekday Totals" sheetId="6" r:id="rId1"/>
    <sheet name="Sheet2" sheetId="12" state="hidden" r:id="rId2"/>
    <sheet name="Monthly Totals" sheetId="14" r:id="rId3"/>
    <sheet name="NYC Ferry" sheetId="10" r:id="rId4"/>
    <sheet name="NY Waterway-(Port Imperial FC)" sheetId="1" r:id="rId5"/>
    <sheet name="NY Waterway-(Billy Bey FC)" sheetId="3" r:id="rId6"/>
    <sheet name="SeaStreak" sheetId="4" r:id="rId7"/>
    <sheet name="New York Water Taxi" sheetId="2" r:id="rId8"/>
    <sheet name="Liberty Landing Ferry" sheetId="5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2">'Monthly Totals'!$A$1:$B$79</definedName>
    <definedName name="_xlnm.Print_Area" localSheetId="5">'NY Waterway-(Billy Bey FC)'!$A$1:$M$81</definedName>
    <definedName name="_xlnm.Print_Area" localSheetId="0">'Weekday Totals'!$A$1:$Q$79</definedName>
  </definedNames>
  <calcPr calcId="152511"/>
</workbook>
</file>

<file path=xl/calcChain.xml><?xml version="1.0" encoding="utf-8"?>
<calcChain xmlns="http://schemas.openxmlformats.org/spreadsheetml/2006/main">
  <c r="N62" i="6" l="1"/>
  <c r="F17" i="2" l="1"/>
  <c r="E28" i="2"/>
  <c r="H17" i="10" l="1"/>
  <c r="G50" i="10"/>
  <c r="G39" i="10"/>
  <c r="G17" i="10"/>
  <c r="G28" i="10"/>
  <c r="F60" i="10"/>
  <c r="F50" i="10"/>
  <c r="F39" i="10"/>
  <c r="F28" i="10"/>
  <c r="F17" i="10"/>
  <c r="E50" i="10"/>
  <c r="E39" i="10"/>
  <c r="E28" i="10"/>
  <c r="E17" i="10"/>
  <c r="D60" i="10"/>
  <c r="D50" i="10"/>
  <c r="D39" i="10"/>
  <c r="D28" i="10"/>
  <c r="D17" i="10"/>
  <c r="C6" i="10"/>
  <c r="C17" i="10"/>
  <c r="C28" i="10"/>
  <c r="C39" i="10"/>
  <c r="C60" i="10"/>
  <c r="C50" i="10"/>
  <c r="AJ38" i="10"/>
  <c r="AJ37" i="10"/>
  <c r="AJ36" i="10"/>
  <c r="AJ35" i="10"/>
  <c r="AJ34" i="10"/>
  <c r="AJ33" i="10"/>
  <c r="AJ32" i="10"/>
  <c r="AJ27" i="10"/>
  <c r="AJ26" i="10"/>
  <c r="AJ25" i="10"/>
  <c r="AJ24" i="10"/>
  <c r="AJ23" i="10"/>
  <c r="AJ22" i="10"/>
  <c r="AJ21" i="10"/>
  <c r="AJ16" i="10"/>
  <c r="AJ15" i="10"/>
  <c r="AJ14" i="10"/>
  <c r="AJ13" i="10"/>
  <c r="AJ12" i="10"/>
  <c r="AJ11" i="10"/>
  <c r="AJ10" i="10"/>
  <c r="AJ5" i="10"/>
  <c r="AJ6" i="10" s="1"/>
  <c r="B16" i="14"/>
  <c r="K54" i="1"/>
  <c r="K5" i="1"/>
  <c r="AJ54" i="10"/>
  <c r="M5" i="3"/>
  <c r="M6" i="3" s="1"/>
  <c r="AJ20" i="10" l="1"/>
  <c r="AJ19" i="10"/>
  <c r="AJ30" i="10"/>
  <c r="AJ28" i="10"/>
  <c r="AJ29" i="10"/>
  <c r="AJ18" i="10"/>
  <c r="AJ17" i="10"/>
  <c r="C7" i="5" l="1"/>
  <c r="C6" i="5"/>
  <c r="E7" i="2"/>
  <c r="F7" i="2"/>
  <c r="G7" i="2"/>
  <c r="H7" i="2"/>
  <c r="I7" i="2"/>
  <c r="J7" i="2"/>
  <c r="K7" i="2"/>
  <c r="E6" i="2"/>
  <c r="F6" i="2"/>
  <c r="G6" i="2"/>
  <c r="H6" i="2"/>
  <c r="I6" i="2"/>
  <c r="J6" i="2"/>
  <c r="K6" i="2"/>
  <c r="D7" i="2"/>
  <c r="D6" i="2"/>
  <c r="L5" i="2"/>
  <c r="L7" i="2" s="1"/>
  <c r="D7" i="4"/>
  <c r="E7" i="4"/>
  <c r="F7" i="4"/>
  <c r="C7" i="4"/>
  <c r="D6" i="4"/>
  <c r="E6" i="4"/>
  <c r="F6" i="4"/>
  <c r="C6" i="4"/>
  <c r="M7" i="3"/>
  <c r="D7" i="3"/>
  <c r="E7" i="3"/>
  <c r="F7" i="3"/>
  <c r="G7" i="3"/>
  <c r="H7" i="3"/>
  <c r="I7" i="3"/>
  <c r="J7" i="3"/>
  <c r="K7" i="3"/>
  <c r="L7" i="3"/>
  <c r="D6" i="3"/>
  <c r="E6" i="3"/>
  <c r="F6" i="3"/>
  <c r="G6" i="3"/>
  <c r="H6" i="3"/>
  <c r="I6" i="3"/>
  <c r="J6" i="3"/>
  <c r="K6" i="3"/>
  <c r="L6" i="3"/>
  <c r="C7" i="3"/>
  <c r="C6" i="3"/>
  <c r="D7" i="1"/>
  <c r="E7" i="1"/>
  <c r="F7" i="1"/>
  <c r="G7" i="1"/>
  <c r="H7" i="1"/>
  <c r="I7" i="1"/>
  <c r="J7" i="1"/>
  <c r="D6" i="1"/>
  <c r="E6" i="1"/>
  <c r="F6" i="1"/>
  <c r="G6" i="1"/>
  <c r="H6" i="1"/>
  <c r="I6" i="1"/>
  <c r="J6" i="1"/>
  <c r="K7" i="1"/>
  <c r="C7" i="1"/>
  <c r="K6" i="1"/>
  <c r="C6" i="1"/>
  <c r="AJ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C8" i="10"/>
  <c r="C7" i="10"/>
  <c r="P6" i="10"/>
  <c r="O6" i="10"/>
  <c r="N6" i="10"/>
  <c r="M6" i="10"/>
  <c r="L6" i="10"/>
  <c r="K6" i="10"/>
  <c r="J6" i="10"/>
  <c r="I6" i="10"/>
  <c r="H6" i="10"/>
  <c r="G6" i="10"/>
  <c r="F6" i="10"/>
  <c r="J77" i="10" s="1"/>
  <c r="B42" i="14" s="1"/>
  <c r="E6" i="10"/>
  <c r="D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C9" i="5"/>
  <c r="C8" i="5"/>
  <c r="L9" i="2"/>
  <c r="K9" i="2"/>
  <c r="J9" i="2"/>
  <c r="I9" i="2"/>
  <c r="H9" i="2"/>
  <c r="G9" i="2"/>
  <c r="F9" i="2"/>
  <c r="E9" i="2"/>
  <c r="D9" i="2"/>
  <c r="C9" i="2"/>
  <c r="L8" i="2"/>
  <c r="K8" i="2"/>
  <c r="J8" i="2"/>
  <c r="I8" i="2"/>
  <c r="H8" i="2"/>
  <c r="G8" i="2"/>
  <c r="F8" i="2"/>
  <c r="E8" i="2"/>
  <c r="D8" i="2"/>
  <c r="C8" i="2"/>
  <c r="C7" i="2"/>
  <c r="C6" i="2"/>
  <c r="G9" i="4"/>
  <c r="F9" i="4"/>
  <c r="E9" i="4"/>
  <c r="D9" i="4"/>
  <c r="C9" i="4"/>
  <c r="G8" i="4"/>
  <c r="F8" i="4"/>
  <c r="E8" i="4"/>
  <c r="D8" i="4"/>
  <c r="C8" i="4"/>
  <c r="M9" i="3"/>
  <c r="L9" i="3"/>
  <c r="K9" i="3"/>
  <c r="J9" i="3"/>
  <c r="I9" i="3"/>
  <c r="H9" i="3"/>
  <c r="G9" i="3"/>
  <c r="F9" i="3"/>
  <c r="E9" i="3"/>
  <c r="D9" i="3"/>
  <c r="C9" i="3"/>
  <c r="M8" i="3"/>
  <c r="L8" i="3"/>
  <c r="K8" i="3"/>
  <c r="J8" i="3"/>
  <c r="I8" i="3"/>
  <c r="H8" i="3"/>
  <c r="G8" i="3"/>
  <c r="F8" i="3"/>
  <c r="E8" i="3"/>
  <c r="D8" i="3"/>
  <c r="C8" i="3"/>
  <c r="K9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E8" i="1"/>
  <c r="D8" i="1"/>
  <c r="C8" i="1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L6" i="2" l="1"/>
  <c r="AJ49" i="10"/>
  <c r="AJ48" i="10"/>
  <c r="AI19" i="10"/>
  <c r="AH19" i="10"/>
  <c r="M43" i="3" l="1"/>
  <c r="F39" i="2" l="1"/>
  <c r="F40" i="2"/>
  <c r="G39" i="2"/>
  <c r="G5" i="4" l="1"/>
  <c r="G7" i="4" l="1"/>
  <c r="G6" i="4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I62" i="10"/>
  <c r="J62" i="10"/>
  <c r="K62" i="10"/>
  <c r="L62" i="10"/>
  <c r="N66" i="6" s="1"/>
  <c r="M62" i="10"/>
  <c r="N62" i="10"/>
  <c r="O62" i="10"/>
  <c r="N60" i="6" s="1"/>
  <c r="P62" i="10"/>
  <c r="N46" i="6" s="1"/>
  <c r="Q62" i="10"/>
  <c r="R62" i="10"/>
  <c r="N64" i="6" s="1"/>
  <c r="S62" i="10"/>
  <c r="T62" i="10"/>
  <c r="N72" i="6" s="1"/>
  <c r="U62" i="10"/>
  <c r="V62" i="10"/>
  <c r="W62" i="10"/>
  <c r="N70" i="6" s="1"/>
  <c r="X62" i="10"/>
  <c r="N68" i="6" s="1"/>
  <c r="Y62" i="10"/>
  <c r="Z62" i="10"/>
  <c r="AA62" i="10"/>
  <c r="N58" i="6" s="1"/>
  <c r="AB62" i="10"/>
  <c r="N56" i="6" s="1"/>
  <c r="AC62" i="10"/>
  <c r="AD62" i="10"/>
  <c r="N54" i="6" s="1"/>
  <c r="AE62" i="10"/>
  <c r="N52" i="6" s="1"/>
  <c r="AF62" i="10"/>
  <c r="AG62" i="10"/>
  <c r="AH62" i="10"/>
  <c r="AI62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I52" i="10"/>
  <c r="J52" i="10"/>
  <c r="K52" i="10"/>
  <c r="L52" i="10"/>
  <c r="K66" i="6" s="1"/>
  <c r="M52" i="10"/>
  <c r="N52" i="10"/>
  <c r="O52" i="10"/>
  <c r="K60" i="6" s="1"/>
  <c r="P52" i="10"/>
  <c r="Q52" i="10"/>
  <c r="R52" i="10"/>
  <c r="K64" i="6" s="1"/>
  <c r="S52" i="10"/>
  <c r="T52" i="10"/>
  <c r="K72" i="6" s="1"/>
  <c r="U52" i="10"/>
  <c r="V52" i="10"/>
  <c r="W52" i="10"/>
  <c r="K70" i="6" s="1"/>
  <c r="X52" i="10"/>
  <c r="K68" i="6" s="1"/>
  <c r="Y52" i="10"/>
  <c r="Z52" i="10"/>
  <c r="AA52" i="10"/>
  <c r="AB52" i="10"/>
  <c r="K56" i="6" s="1"/>
  <c r="AC52" i="10"/>
  <c r="AD52" i="10"/>
  <c r="K54" i="6" s="1"/>
  <c r="AE52" i="10"/>
  <c r="AF52" i="10"/>
  <c r="AG52" i="10"/>
  <c r="AH52" i="10"/>
  <c r="AI52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I41" i="10"/>
  <c r="J41" i="10"/>
  <c r="K41" i="10"/>
  <c r="L41" i="10"/>
  <c r="H66" i="6" s="1"/>
  <c r="M41" i="10"/>
  <c r="N41" i="10"/>
  <c r="O41" i="10"/>
  <c r="H60" i="6" s="1"/>
  <c r="P41" i="10"/>
  <c r="Q41" i="10"/>
  <c r="R41" i="10"/>
  <c r="H64" i="6" s="1"/>
  <c r="S41" i="10"/>
  <c r="T41" i="10"/>
  <c r="H72" i="6" s="1"/>
  <c r="U41" i="10"/>
  <c r="V41" i="10"/>
  <c r="W41" i="10"/>
  <c r="H70" i="6" s="1"/>
  <c r="X41" i="10"/>
  <c r="H68" i="6" s="1"/>
  <c r="Y41" i="10"/>
  <c r="Z41" i="10"/>
  <c r="AA41" i="10"/>
  <c r="AB41" i="10"/>
  <c r="H56" i="6" s="1"/>
  <c r="AC41" i="10"/>
  <c r="AD41" i="10"/>
  <c r="H54" i="6" s="1"/>
  <c r="AE41" i="10"/>
  <c r="AF41" i="10"/>
  <c r="AG41" i="10"/>
  <c r="AH41" i="10"/>
  <c r="AI41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I30" i="10"/>
  <c r="J30" i="10"/>
  <c r="K30" i="10"/>
  <c r="L30" i="10"/>
  <c r="E66" i="6" s="1"/>
  <c r="M30" i="10"/>
  <c r="N30" i="10"/>
  <c r="O30" i="10"/>
  <c r="E60" i="6" s="1"/>
  <c r="P30" i="10"/>
  <c r="Q30" i="10"/>
  <c r="R30" i="10"/>
  <c r="E64" i="6" s="1"/>
  <c r="S30" i="10"/>
  <c r="T30" i="10"/>
  <c r="E72" i="6" s="1"/>
  <c r="U30" i="10"/>
  <c r="V30" i="10"/>
  <c r="W30" i="10"/>
  <c r="E70" i="6" s="1"/>
  <c r="X30" i="10"/>
  <c r="E68" i="6" s="1"/>
  <c r="Y30" i="10"/>
  <c r="Z30" i="10"/>
  <c r="AA30" i="10"/>
  <c r="AB30" i="10"/>
  <c r="E56" i="6" s="1"/>
  <c r="AC30" i="10"/>
  <c r="AD30" i="10"/>
  <c r="E54" i="6" s="1"/>
  <c r="AE30" i="10"/>
  <c r="AF30" i="10"/>
  <c r="AG30" i="10"/>
  <c r="AH30" i="10"/>
  <c r="AI30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S78" i="10" s="1"/>
  <c r="AB19" i="10"/>
  <c r="AC19" i="10"/>
  <c r="AD19" i="10"/>
  <c r="AE19" i="10"/>
  <c r="AF19" i="10"/>
  <c r="AG19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I17" i="10"/>
  <c r="J17" i="10"/>
  <c r="K17" i="10"/>
  <c r="L17" i="10"/>
  <c r="M17" i="10"/>
  <c r="N17" i="10"/>
  <c r="E77" i="10" s="1"/>
  <c r="O17" i="10"/>
  <c r="M77" i="10" s="1"/>
  <c r="B64" i="14" s="1"/>
  <c r="P17" i="10"/>
  <c r="Q17" i="10"/>
  <c r="R17" i="10"/>
  <c r="S17" i="10"/>
  <c r="T17" i="10"/>
  <c r="U17" i="10"/>
  <c r="V17" i="10"/>
  <c r="W17" i="10"/>
  <c r="Q77" i="10" s="1"/>
  <c r="B72" i="14" s="1"/>
  <c r="X17" i="10"/>
  <c r="Y17" i="10"/>
  <c r="Z17" i="10"/>
  <c r="AA17" i="10"/>
  <c r="AB17" i="10"/>
  <c r="AC17" i="10"/>
  <c r="AD17" i="10"/>
  <c r="U77" i="10" s="1"/>
  <c r="B58" i="14" s="1"/>
  <c r="AE17" i="10"/>
  <c r="V77" i="10" s="1"/>
  <c r="B56" i="14" s="1"/>
  <c r="AF17" i="10"/>
  <c r="AG17" i="10"/>
  <c r="AH17" i="10"/>
  <c r="AI17" i="10"/>
  <c r="N74" i="6" l="1"/>
  <c r="P77" i="10"/>
  <c r="B74" i="14" s="1"/>
  <c r="S77" i="10"/>
  <c r="B62" i="14" s="1"/>
  <c r="T77" i="10"/>
  <c r="B60" i="14" s="1"/>
  <c r="W77" i="10"/>
  <c r="B48" i="14" s="1"/>
  <c r="O77" i="10"/>
  <c r="B66" i="14" s="1"/>
  <c r="L77" i="10"/>
  <c r="B68" i="14" s="1"/>
  <c r="F77" i="10"/>
  <c r="B76" i="14" s="1"/>
  <c r="K77" i="10"/>
  <c r="R77" i="10"/>
  <c r="B70" i="14" s="1"/>
  <c r="N77" i="10"/>
  <c r="B50" i="14" s="1"/>
  <c r="C77" i="10"/>
  <c r="D77" i="10"/>
  <c r="B64" i="6"/>
  <c r="O78" i="10"/>
  <c r="E74" i="6"/>
  <c r="K74" i="6"/>
  <c r="B68" i="6"/>
  <c r="R78" i="10"/>
  <c r="N78" i="10"/>
  <c r="B72" i="6"/>
  <c r="P78" i="10"/>
  <c r="V78" i="10"/>
  <c r="B70" i="6"/>
  <c r="Q78" i="10"/>
  <c r="B60" i="6"/>
  <c r="M78" i="10"/>
  <c r="W78" i="10"/>
  <c r="B56" i="6"/>
  <c r="T78" i="10"/>
  <c r="B66" i="6"/>
  <c r="L78" i="10"/>
  <c r="K78" i="10"/>
  <c r="D78" i="10"/>
  <c r="B54" i="6"/>
  <c r="U78" i="10"/>
  <c r="B74" i="6"/>
  <c r="F78" i="10"/>
  <c r="H74" i="6"/>
  <c r="D64" i="2"/>
  <c r="E64" i="2"/>
  <c r="F64" i="2"/>
  <c r="G64" i="2"/>
  <c r="H64" i="2"/>
  <c r="I64" i="2"/>
  <c r="J64" i="2"/>
  <c r="K64" i="2"/>
  <c r="K63" i="2"/>
  <c r="N48" i="6" s="1"/>
  <c r="J63" i="2"/>
  <c r="I63" i="2"/>
  <c r="N50" i="6" s="1"/>
  <c r="H63" i="2"/>
  <c r="G63" i="2"/>
  <c r="N34" i="6" s="1"/>
  <c r="F63" i="2"/>
  <c r="N32" i="6" s="1"/>
  <c r="E63" i="2"/>
  <c r="D63" i="2"/>
  <c r="N30" i="6" s="1"/>
  <c r="D62" i="2"/>
  <c r="E62" i="2"/>
  <c r="F62" i="2"/>
  <c r="G62" i="2"/>
  <c r="H62" i="2"/>
  <c r="I62" i="2"/>
  <c r="J62" i="2"/>
  <c r="K62" i="2"/>
  <c r="K61" i="2"/>
  <c r="J61" i="2"/>
  <c r="I61" i="2"/>
  <c r="H61" i="2"/>
  <c r="G61" i="2"/>
  <c r="F61" i="2"/>
  <c r="E61" i="2"/>
  <c r="D61" i="2"/>
  <c r="H52" i="2"/>
  <c r="I51" i="2" l="1"/>
  <c r="H51" i="2"/>
  <c r="H50" i="2"/>
  <c r="I50" i="2"/>
  <c r="I52" i="2"/>
  <c r="K50" i="6" s="1"/>
  <c r="H53" i="2"/>
  <c r="I53" i="2"/>
  <c r="K53" i="2"/>
  <c r="J53" i="2"/>
  <c r="K52" i="2"/>
  <c r="J52" i="2"/>
  <c r="J51" i="2"/>
  <c r="K51" i="2"/>
  <c r="K50" i="2"/>
  <c r="J50" i="2"/>
  <c r="F41" i="2"/>
  <c r="E41" i="2"/>
  <c r="D39" i="2"/>
  <c r="D53" i="2"/>
  <c r="D52" i="2"/>
  <c r="D51" i="2"/>
  <c r="D50" i="2"/>
  <c r="E53" i="2"/>
  <c r="E52" i="2"/>
  <c r="E51" i="2"/>
  <c r="E50" i="2"/>
  <c r="F53" i="2"/>
  <c r="F52" i="2"/>
  <c r="F51" i="2"/>
  <c r="F50" i="2"/>
  <c r="G53" i="2"/>
  <c r="G52" i="2"/>
  <c r="G51" i="2"/>
  <c r="G50" i="2"/>
  <c r="G41" i="2"/>
  <c r="G40" i="2"/>
  <c r="K43" i="1" l="1"/>
  <c r="K32" i="1" l="1"/>
  <c r="J17" i="2" l="1"/>
  <c r="C63" i="5"/>
  <c r="N12" i="6" s="1"/>
  <c r="C61" i="5"/>
  <c r="AJ58" i="10"/>
  <c r="AJ57" i="10"/>
  <c r="AJ56" i="10"/>
  <c r="AJ55" i="10"/>
  <c r="AJ47" i="10"/>
  <c r="AJ46" i="10"/>
  <c r="AJ45" i="10"/>
  <c r="AJ44" i="10"/>
  <c r="AJ43" i="10"/>
  <c r="K55" i="1"/>
  <c r="C50" i="5"/>
  <c r="C39" i="5"/>
  <c r="C28" i="5"/>
  <c r="C17" i="5"/>
  <c r="C72" i="5"/>
  <c r="C19" i="5"/>
  <c r="C30" i="5"/>
  <c r="E12" i="6" s="1"/>
  <c r="C41" i="5"/>
  <c r="H12" i="6" s="1"/>
  <c r="C52" i="5"/>
  <c r="K12" i="6" s="1"/>
  <c r="C74" i="5"/>
  <c r="D74" i="5" s="1"/>
  <c r="C62" i="5"/>
  <c r="C64" i="5"/>
  <c r="D72" i="5"/>
  <c r="C73" i="5"/>
  <c r="D73" i="5" s="1"/>
  <c r="C75" i="5"/>
  <c r="D75" i="5" s="1"/>
  <c r="AJ59" i="10"/>
  <c r="K62" i="6"/>
  <c r="H62" i="6"/>
  <c r="E62" i="6"/>
  <c r="C41" i="10"/>
  <c r="C62" i="10"/>
  <c r="C19" i="10"/>
  <c r="C30" i="10"/>
  <c r="C52" i="10"/>
  <c r="C73" i="10"/>
  <c r="L73" i="10"/>
  <c r="R73" i="10"/>
  <c r="X73" i="10"/>
  <c r="AG73" i="10"/>
  <c r="AB73" i="10"/>
  <c r="B62" i="6"/>
  <c r="C71" i="10"/>
  <c r="L71" i="10"/>
  <c r="R71" i="10"/>
  <c r="X71" i="10"/>
  <c r="AG71" i="10"/>
  <c r="AB71" i="10"/>
  <c r="K17" i="2"/>
  <c r="L60" i="2"/>
  <c r="L59" i="2"/>
  <c r="L58" i="2"/>
  <c r="L57" i="2"/>
  <c r="L55" i="2"/>
  <c r="L54" i="2"/>
  <c r="L56" i="2"/>
  <c r="L49" i="2"/>
  <c r="L48" i="2"/>
  <c r="L47" i="2"/>
  <c r="L46" i="2"/>
  <c r="L45" i="2"/>
  <c r="L44" i="2"/>
  <c r="L38" i="2"/>
  <c r="L37" i="2"/>
  <c r="L36" i="2"/>
  <c r="L35" i="2"/>
  <c r="L34" i="2"/>
  <c r="L33" i="2"/>
  <c r="L32" i="2"/>
  <c r="L27" i="2"/>
  <c r="L26" i="2"/>
  <c r="L25" i="2"/>
  <c r="L24" i="2"/>
  <c r="L23" i="2"/>
  <c r="L22" i="2"/>
  <c r="L21" i="2"/>
  <c r="L16" i="2"/>
  <c r="L15" i="2"/>
  <c r="L14" i="2"/>
  <c r="L13" i="2"/>
  <c r="L12" i="2"/>
  <c r="L11" i="2"/>
  <c r="L10" i="2"/>
  <c r="D19" i="10"/>
  <c r="K19" i="2"/>
  <c r="B48" i="6" s="1"/>
  <c r="J19" i="2"/>
  <c r="I19" i="2"/>
  <c r="B50" i="6" s="1"/>
  <c r="H19" i="2"/>
  <c r="G19" i="2"/>
  <c r="B34" i="6" s="1"/>
  <c r="G17" i="2"/>
  <c r="I17" i="2"/>
  <c r="H17" i="2"/>
  <c r="F19" i="4"/>
  <c r="E19" i="4"/>
  <c r="D19" i="4"/>
  <c r="C19" i="4"/>
  <c r="G10" i="4"/>
  <c r="G11" i="4"/>
  <c r="G12" i="4"/>
  <c r="G13" i="4"/>
  <c r="G14" i="4"/>
  <c r="G15" i="4"/>
  <c r="G16" i="4"/>
  <c r="F17" i="4"/>
  <c r="E17" i="4"/>
  <c r="D17" i="4"/>
  <c r="C17" i="4"/>
  <c r="L19" i="3"/>
  <c r="K19" i="3"/>
  <c r="J19" i="3"/>
  <c r="I19" i="3"/>
  <c r="H19" i="3"/>
  <c r="G19" i="3"/>
  <c r="F19" i="3"/>
  <c r="E19" i="3"/>
  <c r="D19" i="3"/>
  <c r="C19" i="3"/>
  <c r="L17" i="3"/>
  <c r="K17" i="3"/>
  <c r="J17" i="3"/>
  <c r="I17" i="3"/>
  <c r="H17" i="3"/>
  <c r="G17" i="3"/>
  <c r="F17" i="3"/>
  <c r="E17" i="3"/>
  <c r="D17" i="3"/>
  <c r="C17" i="3"/>
  <c r="M16" i="3"/>
  <c r="M15" i="3"/>
  <c r="M14" i="3"/>
  <c r="M13" i="3"/>
  <c r="M12" i="3"/>
  <c r="M11" i="3"/>
  <c r="M10" i="3"/>
  <c r="J19" i="1"/>
  <c r="I19" i="1"/>
  <c r="H19" i="1"/>
  <c r="G19" i="1"/>
  <c r="F19" i="1"/>
  <c r="E19" i="1"/>
  <c r="D19" i="1"/>
  <c r="C19" i="1"/>
  <c r="K16" i="1"/>
  <c r="K15" i="1"/>
  <c r="K14" i="1"/>
  <c r="K12" i="1"/>
  <c r="K13" i="1"/>
  <c r="K11" i="1"/>
  <c r="K10" i="1"/>
  <c r="J17" i="1"/>
  <c r="I17" i="1"/>
  <c r="H17" i="1"/>
  <c r="G17" i="1"/>
  <c r="E17" i="1"/>
  <c r="F17" i="1"/>
  <c r="D17" i="1"/>
  <c r="C17" i="1"/>
  <c r="B58" i="6"/>
  <c r="B52" i="6"/>
  <c r="B46" i="6"/>
  <c r="H19" i="10"/>
  <c r="G19" i="10"/>
  <c r="F19" i="10"/>
  <c r="E19" i="10"/>
  <c r="H50" i="3"/>
  <c r="L43" i="2"/>
  <c r="C61" i="2"/>
  <c r="C62" i="2"/>
  <c r="C63" i="2"/>
  <c r="C64" i="2"/>
  <c r="C50" i="2"/>
  <c r="C51" i="2"/>
  <c r="C52" i="2"/>
  <c r="C53" i="2"/>
  <c r="C39" i="2"/>
  <c r="C40" i="2"/>
  <c r="C41" i="2"/>
  <c r="C42" i="2"/>
  <c r="C28" i="2"/>
  <c r="C29" i="2"/>
  <c r="C30" i="2"/>
  <c r="C31" i="2"/>
  <c r="C17" i="2"/>
  <c r="C18" i="2"/>
  <c r="C19" i="2"/>
  <c r="C20" i="2"/>
  <c r="G39" i="1"/>
  <c r="E20" i="4"/>
  <c r="F20" i="4"/>
  <c r="G21" i="4"/>
  <c r="J39" i="2"/>
  <c r="K72" i="2"/>
  <c r="K73" i="2"/>
  <c r="K74" i="2"/>
  <c r="K75" i="2"/>
  <c r="I72" i="2"/>
  <c r="I73" i="2"/>
  <c r="I74" i="2"/>
  <c r="I75" i="2"/>
  <c r="K48" i="6"/>
  <c r="K39" i="2"/>
  <c r="K40" i="2"/>
  <c r="K41" i="2"/>
  <c r="H48" i="6" s="1"/>
  <c r="K42" i="2"/>
  <c r="I39" i="2"/>
  <c r="I40" i="2"/>
  <c r="I41" i="2"/>
  <c r="H50" i="6" s="1"/>
  <c r="I42" i="2"/>
  <c r="K28" i="2"/>
  <c r="K29" i="2"/>
  <c r="K30" i="2"/>
  <c r="E48" i="6" s="1"/>
  <c r="K31" i="2"/>
  <c r="I28" i="2"/>
  <c r="I29" i="2"/>
  <c r="I30" i="2"/>
  <c r="E50" i="6" s="1"/>
  <c r="I31" i="2"/>
  <c r="K20" i="2"/>
  <c r="K18" i="2"/>
  <c r="I20" i="2"/>
  <c r="I18" i="2"/>
  <c r="J28" i="2"/>
  <c r="J29" i="2"/>
  <c r="E51" i="3"/>
  <c r="E50" i="3"/>
  <c r="E39" i="3"/>
  <c r="C61" i="4"/>
  <c r="D61" i="4"/>
  <c r="E61" i="4"/>
  <c r="F61" i="4"/>
  <c r="G60" i="4"/>
  <c r="G59" i="4"/>
  <c r="G58" i="4"/>
  <c r="G57" i="4"/>
  <c r="G56" i="4"/>
  <c r="G55" i="4"/>
  <c r="G54" i="4"/>
  <c r="C50" i="4"/>
  <c r="D50" i="4"/>
  <c r="E50" i="4"/>
  <c r="F50" i="4"/>
  <c r="G49" i="4"/>
  <c r="G48" i="4"/>
  <c r="G47" i="4"/>
  <c r="G46" i="4"/>
  <c r="G45" i="4"/>
  <c r="G44" i="4"/>
  <c r="G43" i="4"/>
  <c r="G32" i="4"/>
  <c r="C30" i="4"/>
  <c r="D30" i="4"/>
  <c r="E30" i="4"/>
  <c r="F30" i="4"/>
  <c r="C28" i="4"/>
  <c r="D28" i="4"/>
  <c r="E28" i="4"/>
  <c r="F28" i="4"/>
  <c r="G27" i="4"/>
  <c r="G26" i="4"/>
  <c r="G25" i="4"/>
  <c r="G24" i="4"/>
  <c r="G23" i="4"/>
  <c r="G22" i="4"/>
  <c r="D61" i="1"/>
  <c r="C61" i="1"/>
  <c r="G61" i="1"/>
  <c r="F61" i="1"/>
  <c r="E61" i="1"/>
  <c r="C50" i="1"/>
  <c r="D50" i="1"/>
  <c r="E50" i="1"/>
  <c r="F50" i="1"/>
  <c r="G50" i="1"/>
  <c r="F39" i="1"/>
  <c r="E39" i="1"/>
  <c r="D39" i="1"/>
  <c r="C39" i="1"/>
  <c r="G28" i="1"/>
  <c r="F28" i="1"/>
  <c r="E28" i="1"/>
  <c r="D28" i="1"/>
  <c r="C28" i="1"/>
  <c r="F63" i="4"/>
  <c r="E63" i="4"/>
  <c r="N26" i="6" s="1"/>
  <c r="D63" i="4"/>
  <c r="C63" i="4"/>
  <c r="F52" i="4"/>
  <c r="E52" i="4"/>
  <c r="D52" i="4"/>
  <c r="C52" i="4"/>
  <c r="E41" i="4"/>
  <c r="G38" i="4"/>
  <c r="G37" i="4"/>
  <c r="G36" i="4"/>
  <c r="G35" i="4"/>
  <c r="G34" i="4"/>
  <c r="G33" i="4"/>
  <c r="I31" i="3"/>
  <c r="I30" i="3"/>
  <c r="C63" i="3"/>
  <c r="D64" i="3"/>
  <c r="G63" i="3"/>
  <c r="E62" i="3"/>
  <c r="M54" i="3"/>
  <c r="M55" i="3"/>
  <c r="M56" i="3"/>
  <c r="M57" i="3"/>
  <c r="M58" i="3"/>
  <c r="M59" i="3"/>
  <c r="M60" i="3"/>
  <c r="D63" i="3"/>
  <c r="E63" i="3"/>
  <c r="F63" i="3"/>
  <c r="H63" i="3"/>
  <c r="I63" i="3"/>
  <c r="J63" i="3"/>
  <c r="K63" i="3"/>
  <c r="L63" i="3"/>
  <c r="N22" i="6" s="1"/>
  <c r="L61" i="3"/>
  <c r="K61" i="3"/>
  <c r="J61" i="3"/>
  <c r="I61" i="3"/>
  <c r="H61" i="3"/>
  <c r="G61" i="3"/>
  <c r="F61" i="3"/>
  <c r="E61" i="3"/>
  <c r="C61" i="3"/>
  <c r="D61" i="3"/>
  <c r="K60" i="1"/>
  <c r="K59" i="1"/>
  <c r="K58" i="1"/>
  <c r="K57" i="1"/>
  <c r="K56" i="1"/>
  <c r="C63" i="1"/>
  <c r="D63" i="1"/>
  <c r="E63" i="1"/>
  <c r="F63" i="1"/>
  <c r="H63" i="1"/>
  <c r="I63" i="1"/>
  <c r="J63" i="1"/>
  <c r="J61" i="1"/>
  <c r="I61" i="1"/>
  <c r="H61" i="1"/>
  <c r="G60" i="10"/>
  <c r="G77" i="10" s="1"/>
  <c r="B44" i="14" s="1"/>
  <c r="H60" i="10"/>
  <c r="H62" i="10"/>
  <c r="N44" i="6" s="1"/>
  <c r="G62" i="10"/>
  <c r="N42" i="6" s="1"/>
  <c r="D62" i="10"/>
  <c r="N36" i="6" s="1"/>
  <c r="E62" i="10"/>
  <c r="N38" i="6" s="1"/>
  <c r="F62" i="10"/>
  <c r="N40" i="6" s="1"/>
  <c r="E60" i="10"/>
  <c r="I77" i="10" s="1"/>
  <c r="B40" i="14" s="1"/>
  <c r="G52" i="3"/>
  <c r="I53" i="3"/>
  <c r="I52" i="3"/>
  <c r="E53" i="3"/>
  <c r="E52" i="3"/>
  <c r="E42" i="3"/>
  <c r="E41" i="3"/>
  <c r="D52" i="3"/>
  <c r="C52" i="3"/>
  <c r="J52" i="1"/>
  <c r="I52" i="1"/>
  <c r="H52" i="1"/>
  <c r="F52" i="1"/>
  <c r="E52" i="1"/>
  <c r="D52" i="1"/>
  <c r="C52" i="1"/>
  <c r="K58" i="6"/>
  <c r="K52" i="6"/>
  <c r="K46" i="6"/>
  <c r="H52" i="10"/>
  <c r="K44" i="6" s="1"/>
  <c r="G52" i="10"/>
  <c r="K42" i="6" s="1"/>
  <c r="F52" i="10"/>
  <c r="K40" i="6" s="1"/>
  <c r="E52" i="10"/>
  <c r="K38" i="6" s="1"/>
  <c r="D52" i="10"/>
  <c r="K36" i="6" s="1"/>
  <c r="H46" i="6"/>
  <c r="H41" i="10"/>
  <c r="H44" i="6" s="1"/>
  <c r="G41" i="10"/>
  <c r="H42" i="6" s="1"/>
  <c r="F41" i="10"/>
  <c r="H40" i="6" s="1"/>
  <c r="E41" i="10"/>
  <c r="H38" i="6" s="1"/>
  <c r="D41" i="10"/>
  <c r="H36" i="6" s="1"/>
  <c r="H39" i="2"/>
  <c r="E39" i="2"/>
  <c r="H41" i="2"/>
  <c r="F41" i="4"/>
  <c r="D41" i="4"/>
  <c r="C41" i="4"/>
  <c r="L41" i="3"/>
  <c r="H22" i="6" s="1"/>
  <c r="K41" i="3"/>
  <c r="J41" i="3"/>
  <c r="I41" i="3"/>
  <c r="H41" i="3"/>
  <c r="G41" i="3"/>
  <c r="F41" i="3"/>
  <c r="D41" i="3"/>
  <c r="C41" i="3"/>
  <c r="C40" i="3"/>
  <c r="D40" i="3"/>
  <c r="E40" i="3"/>
  <c r="F40" i="3"/>
  <c r="G40" i="3"/>
  <c r="H40" i="3"/>
  <c r="I40" i="3"/>
  <c r="J40" i="3"/>
  <c r="K40" i="3"/>
  <c r="L40" i="3"/>
  <c r="L39" i="3"/>
  <c r="K39" i="3"/>
  <c r="J39" i="3"/>
  <c r="I39" i="3"/>
  <c r="H39" i="3"/>
  <c r="G39" i="3"/>
  <c r="F39" i="3"/>
  <c r="D39" i="3"/>
  <c r="C39" i="3"/>
  <c r="J42" i="1"/>
  <c r="I42" i="1"/>
  <c r="H42" i="1"/>
  <c r="F42" i="1"/>
  <c r="E42" i="1"/>
  <c r="D42" i="1"/>
  <c r="C42" i="1"/>
  <c r="C41" i="1"/>
  <c r="D41" i="1"/>
  <c r="E41" i="1"/>
  <c r="F41" i="1"/>
  <c r="H41" i="1"/>
  <c r="I40" i="1"/>
  <c r="J40" i="1"/>
  <c r="J39" i="1"/>
  <c r="I39" i="1"/>
  <c r="H39" i="1"/>
  <c r="J30" i="1"/>
  <c r="I30" i="1"/>
  <c r="I28" i="1"/>
  <c r="E64" i="3"/>
  <c r="G42" i="1"/>
  <c r="G30" i="3"/>
  <c r="D29" i="3"/>
  <c r="E30" i="3"/>
  <c r="C30" i="3"/>
  <c r="D30" i="3"/>
  <c r="C28" i="3"/>
  <c r="D28" i="3"/>
  <c r="E39" i="4"/>
  <c r="C18" i="4"/>
  <c r="D18" i="4"/>
  <c r="E18" i="4"/>
  <c r="F18" i="4"/>
  <c r="C20" i="4"/>
  <c r="D20" i="4"/>
  <c r="D29" i="4"/>
  <c r="E29" i="4"/>
  <c r="C29" i="4"/>
  <c r="C42" i="4"/>
  <c r="D42" i="4"/>
  <c r="F42" i="4"/>
  <c r="E40" i="4"/>
  <c r="F40" i="4"/>
  <c r="C40" i="4"/>
  <c r="D40" i="4"/>
  <c r="D51" i="4"/>
  <c r="C51" i="4"/>
  <c r="C53" i="4"/>
  <c r="F53" i="4"/>
  <c r="D64" i="4"/>
  <c r="C62" i="4"/>
  <c r="D62" i="4"/>
  <c r="E64" i="4"/>
  <c r="F62" i="4"/>
  <c r="F64" i="4"/>
  <c r="G65" i="4"/>
  <c r="G66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G74" i="4"/>
  <c r="E53" i="4"/>
  <c r="D53" i="4"/>
  <c r="F51" i="4"/>
  <c r="F39" i="4"/>
  <c r="F31" i="4"/>
  <c r="E51" i="4"/>
  <c r="E31" i="4"/>
  <c r="C64" i="4"/>
  <c r="E62" i="4"/>
  <c r="E42" i="4"/>
  <c r="D39" i="4"/>
  <c r="D31" i="4"/>
  <c r="F29" i="4"/>
  <c r="C39" i="4"/>
  <c r="C31" i="4"/>
  <c r="F19" i="2"/>
  <c r="B32" i="6" s="1"/>
  <c r="E19" i="2"/>
  <c r="D19" i="2"/>
  <c r="B30" i="6" s="1"/>
  <c r="E17" i="2"/>
  <c r="D17" i="2"/>
  <c r="D18" i="3"/>
  <c r="C18" i="3"/>
  <c r="E58" i="6"/>
  <c r="E52" i="6"/>
  <c r="E46" i="6"/>
  <c r="H30" i="10"/>
  <c r="E44" i="6" s="1"/>
  <c r="G30" i="10"/>
  <c r="E42" i="6" s="1"/>
  <c r="F30" i="10"/>
  <c r="E40" i="6" s="1"/>
  <c r="E30" i="10"/>
  <c r="E38" i="6" s="1"/>
  <c r="D30" i="10"/>
  <c r="H28" i="10"/>
  <c r="H39" i="10"/>
  <c r="H50" i="10"/>
  <c r="J30" i="2"/>
  <c r="J31" i="2"/>
  <c r="H31" i="2"/>
  <c r="H30" i="2"/>
  <c r="G31" i="2"/>
  <c r="G30" i="2"/>
  <c r="E34" i="6" s="1"/>
  <c r="F31" i="2"/>
  <c r="F30" i="2"/>
  <c r="E32" i="6" s="1"/>
  <c r="E30" i="2"/>
  <c r="E31" i="2"/>
  <c r="D31" i="2"/>
  <c r="D30" i="2"/>
  <c r="E30" i="6" s="1"/>
  <c r="D29" i="2"/>
  <c r="D28" i="2"/>
  <c r="J20" i="2"/>
  <c r="H20" i="2"/>
  <c r="G20" i="2"/>
  <c r="F20" i="2"/>
  <c r="E20" i="2"/>
  <c r="D20" i="2"/>
  <c r="C53" i="10"/>
  <c r="C51" i="10"/>
  <c r="C42" i="10"/>
  <c r="C40" i="10"/>
  <c r="C31" i="10"/>
  <c r="C29" i="10"/>
  <c r="C20" i="10"/>
  <c r="K34" i="6"/>
  <c r="H34" i="6"/>
  <c r="G42" i="2"/>
  <c r="G18" i="2"/>
  <c r="F18" i="2"/>
  <c r="G29" i="2"/>
  <c r="G28" i="2"/>
  <c r="J18" i="2"/>
  <c r="J40" i="2"/>
  <c r="J41" i="2"/>
  <c r="J42" i="2"/>
  <c r="J72" i="2"/>
  <c r="J73" i="2"/>
  <c r="J74" i="2"/>
  <c r="J75" i="2"/>
  <c r="H28" i="1"/>
  <c r="AJ70" i="10"/>
  <c r="AJ69" i="10"/>
  <c r="AJ68" i="10"/>
  <c r="AJ67" i="10"/>
  <c r="AJ66" i="10"/>
  <c r="AJ65" i="10"/>
  <c r="AJ64" i="10"/>
  <c r="AE71" i="10"/>
  <c r="AF71" i="10"/>
  <c r="Z71" i="10"/>
  <c r="AA71" i="10"/>
  <c r="AE72" i="10"/>
  <c r="AF72" i="10"/>
  <c r="AG72" i="10"/>
  <c r="Z72" i="10"/>
  <c r="AA72" i="10"/>
  <c r="AB72" i="10"/>
  <c r="AE73" i="10"/>
  <c r="AF73" i="10"/>
  <c r="Z73" i="10"/>
  <c r="AA73" i="10"/>
  <c r="AE74" i="10"/>
  <c r="AF74" i="10"/>
  <c r="AG74" i="10"/>
  <c r="Z74" i="10"/>
  <c r="AA74" i="10"/>
  <c r="AB74" i="10"/>
  <c r="AD71" i="10"/>
  <c r="AD72" i="10"/>
  <c r="AD73" i="10"/>
  <c r="AD74" i="10"/>
  <c r="H58" i="6"/>
  <c r="H52" i="6"/>
  <c r="K46" i="1"/>
  <c r="B21" i="2"/>
  <c r="B22" i="2" s="1"/>
  <c r="B23" i="2" s="1"/>
  <c r="B24" i="2" s="1"/>
  <c r="B25" i="2" s="1"/>
  <c r="B26" i="2" s="1"/>
  <c r="B27" i="2" s="1"/>
  <c r="B32" i="2" s="1"/>
  <c r="B33" i="2" s="1"/>
  <c r="B34" i="2" s="1"/>
  <c r="B35" i="2" s="1"/>
  <c r="B36" i="2" s="1"/>
  <c r="B37" i="2" s="1"/>
  <c r="B38" i="2" s="1"/>
  <c r="B43" i="2" s="1"/>
  <c r="B44" i="2" s="1"/>
  <c r="B45" i="2" s="1"/>
  <c r="B46" i="2" s="1"/>
  <c r="B47" i="2" s="1"/>
  <c r="B48" i="2" s="1"/>
  <c r="B49" i="2" s="1"/>
  <c r="B54" i="2" s="1"/>
  <c r="B55" i="2" s="1"/>
  <c r="B56" i="2" s="1"/>
  <c r="B57" i="2" s="1"/>
  <c r="B58" i="2" s="1"/>
  <c r="B59" i="2" s="1"/>
  <c r="B60" i="2" s="1"/>
  <c r="B65" i="2" s="1"/>
  <c r="B66" i="2" s="1"/>
  <c r="B67" i="2" s="1"/>
  <c r="B68" i="2" s="1"/>
  <c r="B69" i="2" s="1"/>
  <c r="B70" i="2" s="1"/>
  <c r="B71" i="2" s="1"/>
  <c r="H72" i="3"/>
  <c r="H73" i="3"/>
  <c r="H74" i="3"/>
  <c r="H75" i="3"/>
  <c r="H62" i="3"/>
  <c r="H64" i="3"/>
  <c r="H51" i="3"/>
  <c r="H52" i="3"/>
  <c r="H53" i="3"/>
  <c r="H42" i="3"/>
  <c r="H28" i="3"/>
  <c r="H29" i="3"/>
  <c r="H30" i="3"/>
  <c r="H31" i="3"/>
  <c r="H18" i="3"/>
  <c r="H20" i="3"/>
  <c r="E18" i="3"/>
  <c r="E20" i="3"/>
  <c r="E28" i="3"/>
  <c r="E29" i="3"/>
  <c r="E31" i="3"/>
  <c r="E72" i="3"/>
  <c r="E73" i="3"/>
  <c r="E74" i="3"/>
  <c r="E75" i="3"/>
  <c r="D18" i="10"/>
  <c r="H18" i="2"/>
  <c r="K30" i="3"/>
  <c r="M26" i="3"/>
  <c r="M25" i="3"/>
  <c r="M24" i="3"/>
  <c r="M23" i="3"/>
  <c r="M22" i="3"/>
  <c r="M21" i="3"/>
  <c r="D18" i="2"/>
  <c r="C18" i="5"/>
  <c r="E11" i="11"/>
  <c r="E10" i="11"/>
  <c r="E9" i="11"/>
  <c r="E8" i="11"/>
  <c r="E7" i="11"/>
  <c r="E6" i="11"/>
  <c r="E5" i="11"/>
  <c r="E14" i="11"/>
  <c r="T71" i="10"/>
  <c r="U71" i="10"/>
  <c r="V71" i="10"/>
  <c r="T72" i="10"/>
  <c r="U72" i="10"/>
  <c r="V72" i="10"/>
  <c r="X72" i="10"/>
  <c r="T73" i="10"/>
  <c r="U73" i="10"/>
  <c r="V73" i="10"/>
  <c r="T74" i="10"/>
  <c r="U74" i="10"/>
  <c r="V74" i="10"/>
  <c r="X74" i="10"/>
  <c r="B8" i="11"/>
  <c r="B9" i="11"/>
  <c r="B10" i="11"/>
  <c r="B11" i="11"/>
  <c r="R74" i="10"/>
  <c r="Q74" i="10"/>
  <c r="P74" i="10"/>
  <c r="O74" i="10"/>
  <c r="N74" i="10"/>
  <c r="Q73" i="10"/>
  <c r="P73" i="10"/>
  <c r="O73" i="10"/>
  <c r="N73" i="10"/>
  <c r="R72" i="10"/>
  <c r="Q72" i="10"/>
  <c r="P72" i="10"/>
  <c r="O72" i="10"/>
  <c r="N72" i="10"/>
  <c r="Q71" i="10"/>
  <c r="P71" i="10"/>
  <c r="O71" i="10"/>
  <c r="N71" i="10"/>
  <c r="L74" i="10"/>
  <c r="K74" i="10"/>
  <c r="K73" i="10"/>
  <c r="L72" i="10"/>
  <c r="K72" i="10"/>
  <c r="K71" i="10"/>
  <c r="B7" i="11"/>
  <c r="C56" i="11"/>
  <c r="D56" i="11"/>
  <c r="H50" i="1"/>
  <c r="F50" i="3"/>
  <c r="D71" i="10"/>
  <c r="E71" i="10"/>
  <c r="F71" i="10"/>
  <c r="G71" i="10"/>
  <c r="H71" i="10"/>
  <c r="D73" i="10"/>
  <c r="E73" i="10"/>
  <c r="F73" i="10"/>
  <c r="G73" i="10"/>
  <c r="C58" i="11"/>
  <c r="D58" i="11"/>
  <c r="G63" i="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21" i="4"/>
  <c r="B22" i="4" s="1"/>
  <c r="B23" i="4" s="1"/>
  <c r="B24" i="4" s="1"/>
  <c r="B25" i="4" s="1"/>
  <c r="B26" i="4" s="1"/>
  <c r="B27" i="4" s="1"/>
  <c r="B32" i="4" s="1"/>
  <c r="B33" i="4" s="1"/>
  <c r="B34" i="4" s="1"/>
  <c r="B35" i="4" s="1"/>
  <c r="B36" i="4" s="1"/>
  <c r="B37" i="4" s="1"/>
  <c r="B38" i="4" s="1"/>
  <c r="B43" i="4" s="1"/>
  <c r="B44" i="4" s="1"/>
  <c r="B45" i="4" s="1"/>
  <c r="B46" i="4" s="1"/>
  <c r="B47" i="4" s="1"/>
  <c r="B48" i="4" s="1"/>
  <c r="B49" i="4" s="1"/>
  <c r="B54" i="4" s="1"/>
  <c r="B55" i="4" s="1"/>
  <c r="B56" i="4" s="1"/>
  <c r="B57" i="4" s="1"/>
  <c r="B58" i="4" s="1"/>
  <c r="B59" i="4" s="1"/>
  <c r="B60" i="4" s="1"/>
  <c r="B65" i="4" s="1"/>
  <c r="B66" i="4" s="1"/>
  <c r="B67" i="4" s="1"/>
  <c r="B68" i="4" s="1"/>
  <c r="B69" i="4" s="1"/>
  <c r="B70" i="4" s="1"/>
  <c r="B71" i="4" s="1"/>
  <c r="B21" i="5"/>
  <c r="B22" i="5" s="1"/>
  <c r="B23" i="5" s="1"/>
  <c r="B24" i="5" s="1"/>
  <c r="B25" i="5" s="1"/>
  <c r="B26" i="5" s="1"/>
  <c r="B27" i="5" s="1"/>
  <c r="B32" i="5" s="1"/>
  <c r="B33" i="5" s="1"/>
  <c r="B34" i="5" s="1"/>
  <c r="B35" i="5" s="1"/>
  <c r="B36" i="5" s="1"/>
  <c r="B37" i="5" s="1"/>
  <c r="B38" i="5" s="1"/>
  <c r="B43" i="5" s="1"/>
  <c r="B44" i="5" s="1"/>
  <c r="B45" i="5" s="1"/>
  <c r="B46" i="5" s="1"/>
  <c r="B47" i="5" s="1"/>
  <c r="B48" i="5" s="1"/>
  <c r="B49" i="5" s="1"/>
  <c r="B54" i="5" s="1"/>
  <c r="B55" i="5" s="1"/>
  <c r="B56" i="5" s="1"/>
  <c r="B57" i="5" s="1"/>
  <c r="B58" i="5" s="1"/>
  <c r="B59" i="5" s="1"/>
  <c r="B60" i="5" s="1"/>
  <c r="B65" i="5" s="1"/>
  <c r="B66" i="5" s="1"/>
  <c r="B67" i="5" s="1"/>
  <c r="B68" i="5" s="1"/>
  <c r="B69" i="5" s="1"/>
  <c r="B70" i="5" s="1"/>
  <c r="B71" i="5" s="1"/>
  <c r="B21" i="3"/>
  <c r="B22" i="3"/>
  <c r="B23" i="3" s="1"/>
  <c r="B24" i="3" s="1"/>
  <c r="B25" i="3" s="1"/>
  <c r="B26" i="3" s="1"/>
  <c r="B27" i="3" s="1"/>
  <c r="B32" i="3" s="1"/>
  <c r="B33" i="3" s="1"/>
  <c r="B34" i="3" s="1"/>
  <c r="B35" i="3" s="1"/>
  <c r="B36" i="3" s="1"/>
  <c r="B37" i="3" s="1"/>
  <c r="B38" i="3" s="1"/>
  <c r="B43" i="3" s="1"/>
  <c r="B44" i="3" s="1"/>
  <c r="B45" i="3" s="1"/>
  <c r="B46" i="3" s="1"/>
  <c r="B47" i="3" s="1"/>
  <c r="B48" i="3" s="1"/>
  <c r="B49" i="3" s="1"/>
  <c r="B54" i="3" s="1"/>
  <c r="B55" i="3" s="1"/>
  <c r="B56" i="3" s="1"/>
  <c r="B57" i="3" s="1"/>
  <c r="B58" i="3" s="1"/>
  <c r="B59" i="3" s="1"/>
  <c r="B60" i="3" s="1"/>
  <c r="D69" i="11"/>
  <c r="C74" i="3"/>
  <c r="D74" i="3"/>
  <c r="F74" i="2"/>
  <c r="C74" i="1"/>
  <c r="D74" i="1"/>
  <c r="E74" i="1"/>
  <c r="F74" i="1"/>
  <c r="G74" i="1"/>
  <c r="C69" i="11"/>
  <c r="K32" i="6"/>
  <c r="G52" i="1"/>
  <c r="D47" i="11"/>
  <c r="C47" i="11"/>
  <c r="H32" i="6"/>
  <c r="G41" i="1"/>
  <c r="D36" i="11"/>
  <c r="C36" i="11"/>
  <c r="C30" i="1"/>
  <c r="D30" i="1"/>
  <c r="E30" i="1"/>
  <c r="F30" i="1"/>
  <c r="G30" i="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72" i="1"/>
  <c r="D72" i="1"/>
  <c r="E72" i="1"/>
  <c r="F72" i="1"/>
  <c r="G72" i="1"/>
  <c r="C72" i="3"/>
  <c r="D72" i="3"/>
  <c r="C50" i="3"/>
  <c r="D50" i="3"/>
  <c r="F72" i="2"/>
  <c r="C12" i="11"/>
  <c r="C67" i="11"/>
  <c r="C23" i="11"/>
  <c r="C34" i="11"/>
  <c r="C45" i="11"/>
  <c r="K44" i="1"/>
  <c r="K45" i="1"/>
  <c r="K47" i="1"/>
  <c r="K48" i="1"/>
  <c r="K49" i="1"/>
  <c r="K33" i="1"/>
  <c r="K34" i="1"/>
  <c r="K35" i="1"/>
  <c r="K36" i="1"/>
  <c r="K37" i="1"/>
  <c r="K38" i="1"/>
  <c r="K21" i="1"/>
  <c r="K22" i="1"/>
  <c r="K23" i="1"/>
  <c r="K24" i="1"/>
  <c r="K25" i="1"/>
  <c r="K26" i="1"/>
  <c r="K27" i="1"/>
  <c r="K75" i="1"/>
  <c r="M66" i="3"/>
  <c r="M65" i="3"/>
  <c r="M73" i="3" s="1"/>
  <c r="M32" i="3"/>
  <c r="M33" i="3"/>
  <c r="M34" i="3"/>
  <c r="M35" i="3"/>
  <c r="M36" i="3"/>
  <c r="M44" i="3"/>
  <c r="M45" i="3"/>
  <c r="M46" i="3"/>
  <c r="M47" i="3"/>
  <c r="L66" i="2"/>
  <c r="L65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7" i="3"/>
  <c r="M37" i="3"/>
  <c r="M38" i="3"/>
  <c r="M48" i="3"/>
  <c r="M49" i="3"/>
  <c r="D62" i="1"/>
  <c r="E62" i="1"/>
  <c r="F62" i="1"/>
  <c r="G62" i="1"/>
  <c r="H62" i="1"/>
  <c r="I62" i="1"/>
  <c r="J62" i="1"/>
  <c r="C40" i="5"/>
  <c r="C42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G31" i="1"/>
  <c r="I74" i="3"/>
  <c r="J74" i="3"/>
  <c r="K74" i="3"/>
  <c r="L74" i="3"/>
  <c r="I74" i="1"/>
  <c r="J74" i="1"/>
  <c r="I41" i="1"/>
  <c r="J41" i="1"/>
  <c r="J30" i="3"/>
  <c r="L30" i="3"/>
  <c r="E22" i="6" s="1"/>
  <c r="J52" i="3"/>
  <c r="K52" i="3"/>
  <c r="L52" i="3"/>
  <c r="K22" i="6" s="1"/>
  <c r="I72" i="3"/>
  <c r="J72" i="3"/>
  <c r="K72" i="3"/>
  <c r="L72" i="3"/>
  <c r="I28" i="3"/>
  <c r="J28" i="3"/>
  <c r="K28" i="3"/>
  <c r="L28" i="3"/>
  <c r="I50" i="3"/>
  <c r="J50" i="3"/>
  <c r="K50" i="3"/>
  <c r="L50" i="3"/>
  <c r="I50" i="1"/>
  <c r="J50" i="1"/>
  <c r="J28" i="1"/>
  <c r="I72" i="1"/>
  <c r="J72" i="1"/>
  <c r="H73" i="10"/>
  <c r="H74" i="10"/>
  <c r="G74" i="10"/>
  <c r="F74" i="10"/>
  <c r="E74" i="10"/>
  <c r="D74" i="10"/>
  <c r="C74" i="10"/>
  <c r="H72" i="10"/>
  <c r="G72" i="10"/>
  <c r="F72" i="10"/>
  <c r="E72" i="10"/>
  <c r="D72" i="10"/>
  <c r="C72" i="10"/>
  <c r="H63" i="10"/>
  <c r="G63" i="10"/>
  <c r="F63" i="10"/>
  <c r="E63" i="10"/>
  <c r="D63" i="10"/>
  <c r="C63" i="10"/>
  <c r="H61" i="10"/>
  <c r="G61" i="10"/>
  <c r="F61" i="10"/>
  <c r="E61" i="10"/>
  <c r="D61" i="10"/>
  <c r="C61" i="10"/>
  <c r="H53" i="10"/>
  <c r="G53" i="10"/>
  <c r="F53" i="10"/>
  <c r="E53" i="10"/>
  <c r="D53" i="10"/>
  <c r="H51" i="10"/>
  <c r="G51" i="10"/>
  <c r="F51" i="10"/>
  <c r="E51" i="10"/>
  <c r="D51" i="10"/>
  <c r="H42" i="10"/>
  <c r="G42" i="10"/>
  <c r="F42" i="10"/>
  <c r="E42" i="10"/>
  <c r="D42" i="10"/>
  <c r="H40" i="10"/>
  <c r="G40" i="10"/>
  <c r="F40" i="10"/>
  <c r="E40" i="10"/>
  <c r="D40" i="10"/>
  <c r="H31" i="10"/>
  <c r="G31" i="10"/>
  <c r="F31" i="10"/>
  <c r="E31" i="10"/>
  <c r="D31" i="10"/>
  <c r="H29" i="10"/>
  <c r="G29" i="10"/>
  <c r="F29" i="10"/>
  <c r="E29" i="10"/>
  <c r="D29" i="10"/>
  <c r="H20" i="10"/>
  <c r="G20" i="10"/>
  <c r="F20" i="10"/>
  <c r="E20" i="10"/>
  <c r="D20" i="10"/>
  <c r="H18" i="10"/>
  <c r="G18" i="10"/>
  <c r="F18" i="10"/>
  <c r="E18" i="10"/>
  <c r="C18" i="10"/>
  <c r="D40" i="1"/>
  <c r="E40" i="1"/>
  <c r="F40" i="1"/>
  <c r="G40" i="1"/>
  <c r="H40" i="1"/>
  <c r="D31" i="1"/>
  <c r="I31" i="1"/>
  <c r="H30" i="1"/>
  <c r="F28" i="3"/>
  <c r="K29" i="3"/>
  <c r="G55" i="8"/>
  <c r="G56" i="8"/>
  <c r="G54" i="8"/>
  <c r="G53" i="1"/>
  <c r="G10" i="8"/>
  <c r="B21" i="1"/>
  <c r="B22" i="1" s="1"/>
  <c r="B23" i="1" s="1"/>
  <c r="B24" i="1" s="1"/>
  <c r="B25" i="1" s="1"/>
  <c r="B26" i="1" s="1"/>
  <c r="B27" i="1" s="1"/>
  <c r="B32" i="1" s="1"/>
  <c r="B33" i="1" s="1"/>
  <c r="B34" i="1" s="1"/>
  <c r="B35" i="1" s="1"/>
  <c r="B36" i="1" s="1"/>
  <c r="B37" i="1" s="1"/>
  <c r="B38" i="1" s="1"/>
  <c r="B43" i="1" s="1"/>
  <c r="B44" i="1" s="1"/>
  <c r="B45" i="1" s="1"/>
  <c r="B46" i="1" s="1"/>
  <c r="B47" i="1" s="1"/>
  <c r="B48" i="1" s="1"/>
  <c r="B49" i="1" s="1"/>
  <c r="B54" i="1" s="1"/>
  <c r="B55" i="1" s="1"/>
  <c r="B56" i="1" s="1"/>
  <c r="B57" i="1" s="1"/>
  <c r="B58" i="1" s="1"/>
  <c r="B59" i="1" s="1"/>
  <c r="B60" i="1" s="1"/>
  <c r="B55" i="8"/>
  <c r="F20" i="3"/>
  <c r="G33" i="8"/>
  <c r="G32" i="8"/>
  <c r="E18" i="1"/>
  <c r="F64" i="3"/>
  <c r="G64" i="3"/>
  <c r="I64" i="3"/>
  <c r="J64" i="3"/>
  <c r="K64" i="3"/>
  <c r="L64" i="3"/>
  <c r="C59" i="8"/>
  <c r="H28" i="2"/>
  <c r="F42" i="3"/>
  <c r="I62" i="3"/>
  <c r="C37" i="8"/>
  <c r="C20" i="5"/>
  <c r="F73" i="2"/>
  <c r="F75" i="2"/>
  <c r="H40" i="2"/>
  <c r="H42" i="2"/>
  <c r="C53" i="5"/>
  <c r="F52" i="3"/>
  <c r="D12" i="8"/>
  <c r="C18" i="1"/>
  <c r="C20" i="1"/>
  <c r="E72" i="2"/>
  <c r="H72" i="2"/>
  <c r="E73" i="2"/>
  <c r="H73" i="2"/>
  <c r="E74" i="2"/>
  <c r="H74" i="2"/>
  <c r="E75" i="2"/>
  <c r="H75" i="2"/>
  <c r="H72" i="1"/>
  <c r="D73" i="1"/>
  <c r="E73" i="1"/>
  <c r="F73" i="1"/>
  <c r="G73" i="1"/>
  <c r="H73" i="1"/>
  <c r="I73" i="1"/>
  <c r="J73" i="1"/>
  <c r="H74" i="1"/>
  <c r="D75" i="1"/>
  <c r="E75" i="1"/>
  <c r="F75" i="1"/>
  <c r="G75" i="1"/>
  <c r="H75" i="1"/>
  <c r="I75" i="1"/>
  <c r="J75" i="1"/>
  <c r="D64" i="1"/>
  <c r="E64" i="1"/>
  <c r="F64" i="1"/>
  <c r="G64" i="1"/>
  <c r="H64" i="1"/>
  <c r="I64" i="1"/>
  <c r="J64" i="1"/>
  <c r="G21" i="8"/>
  <c r="G22" i="8"/>
  <c r="G24" i="8"/>
  <c r="G43" i="8"/>
  <c r="G44" i="8"/>
  <c r="G11" i="8"/>
  <c r="G13" i="8"/>
  <c r="E40" i="2"/>
  <c r="E42" i="2"/>
  <c r="F42" i="2"/>
  <c r="E29" i="2"/>
  <c r="H29" i="2"/>
  <c r="E18" i="2"/>
  <c r="J51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51" i="3"/>
  <c r="D40" i="2"/>
  <c r="D41" i="2"/>
  <c r="H30" i="6" s="1"/>
  <c r="D42" i="2"/>
  <c r="K30" i="6"/>
  <c r="D20" i="3"/>
  <c r="G20" i="3"/>
  <c r="I20" i="3"/>
  <c r="J20" i="3"/>
  <c r="K20" i="3"/>
  <c r="L20" i="3"/>
  <c r="C20" i="3"/>
  <c r="F18" i="3"/>
  <c r="G28" i="3"/>
  <c r="F29" i="3"/>
  <c r="G29" i="3"/>
  <c r="I29" i="3"/>
  <c r="J29" i="3"/>
  <c r="L29" i="3"/>
  <c r="F30" i="3"/>
  <c r="F31" i="3"/>
  <c r="G31" i="3"/>
  <c r="J31" i="3"/>
  <c r="K31" i="3"/>
  <c r="L31" i="3"/>
  <c r="G18" i="3"/>
  <c r="I18" i="3"/>
  <c r="J18" i="3"/>
  <c r="K18" i="3"/>
  <c r="L18" i="3"/>
  <c r="D18" i="1"/>
  <c r="C64" i="1"/>
  <c r="C62" i="1"/>
  <c r="C40" i="1"/>
  <c r="C31" i="1"/>
  <c r="C29" i="1"/>
  <c r="D74" i="2"/>
  <c r="C31" i="5"/>
  <c r="C75" i="3"/>
  <c r="C73" i="3"/>
  <c r="C64" i="3"/>
  <c r="C62" i="3"/>
  <c r="C53" i="3"/>
  <c r="C51" i="3"/>
  <c r="D42" i="3"/>
  <c r="C42" i="3"/>
  <c r="C31" i="3"/>
  <c r="D53" i="1"/>
  <c r="E53" i="1"/>
  <c r="F53" i="1"/>
  <c r="H53" i="1"/>
  <c r="I53" i="1"/>
  <c r="J53" i="1"/>
  <c r="D51" i="1"/>
  <c r="E51" i="1"/>
  <c r="F51" i="1"/>
  <c r="G51" i="1"/>
  <c r="H51" i="1"/>
  <c r="I51" i="1"/>
  <c r="C53" i="1"/>
  <c r="E31" i="1"/>
  <c r="F31" i="1"/>
  <c r="J31" i="1"/>
  <c r="D29" i="1"/>
  <c r="E29" i="1"/>
  <c r="F29" i="1"/>
  <c r="G29" i="1"/>
  <c r="H29" i="1"/>
  <c r="I29" i="1"/>
  <c r="J29" i="1"/>
  <c r="D20" i="1"/>
  <c r="E20" i="1"/>
  <c r="F20" i="1"/>
  <c r="G20" i="1"/>
  <c r="H20" i="1"/>
  <c r="I20" i="1"/>
  <c r="J20" i="1"/>
  <c r="F18" i="1"/>
  <c r="G18" i="1"/>
  <c r="H18" i="1"/>
  <c r="I18" i="1"/>
  <c r="J18" i="1"/>
  <c r="D62" i="3"/>
  <c r="F62" i="3"/>
  <c r="G62" i="3"/>
  <c r="J62" i="3"/>
  <c r="K62" i="3"/>
  <c r="L62" i="3"/>
  <c r="D53" i="3"/>
  <c r="F53" i="3"/>
  <c r="G53" i="3"/>
  <c r="J53" i="3"/>
  <c r="K53" i="3"/>
  <c r="L53" i="3"/>
  <c r="G50" i="3"/>
  <c r="D51" i="3"/>
  <c r="G51" i="3"/>
  <c r="I51" i="3"/>
  <c r="J51" i="3"/>
  <c r="K51" i="3"/>
  <c r="L51" i="3"/>
  <c r="G42" i="3"/>
  <c r="I42" i="3"/>
  <c r="J42" i="3"/>
  <c r="K42" i="3"/>
  <c r="L42" i="3"/>
  <c r="C73" i="1"/>
  <c r="C75" i="1"/>
  <c r="C51" i="1"/>
  <c r="D73" i="2"/>
  <c r="D72" i="2"/>
  <c r="D75" i="2"/>
  <c r="C51" i="5"/>
  <c r="C29" i="5"/>
  <c r="L73" i="3"/>
  <c r="K73" i="3"/>
  <c r="J73" i="3"/>
  <c r="I73" i="3"/>
  <c r="G73" i="3"/>
  <c r="F73" i="3"/>
  <c r="D73" i="3"/>
  <c r="G72" i="3"/>
  <c r="F72" i="3"/>
  <c r="L75" i="3"/>
  <c r="K75" i="3"/>
  <c r="J75" i="3"/>
  <c r="I75" i="3"/>
  <c r="G75" i="3"/>
  <c r="F75" i="3"/>
  <c r="D75" i="3"/>
  <c r="G74" i="3"/>
  <c r="F74" i="3"/>
  <c r="C29" i="3"/>
  <c r="G74" i="8"/>
  <c r="D73" i="8"/>
  <c r="G34" i="8"/>
  <c r="G35" i="8"/>
  <c r="G12" i="8"/>
  <c r="C74" i="8"/>
  <c r="G75" i="8"/>
  <c r="G73" i="8"/>
  <c r="B21" i="10"/>
  <c r="B22" i="10" s="1"/>
  <c r="B23" i="10" s="1"/>
  <c r="B24" i="10" s="1"/>
  <c r="B25" i="10" s="1"/>
  <c r="B26" i="10" s="1"/>
  <c r="B27" i="10" s="1"/>
  <c r="B32" i="10" s="1"/>
  <c r="B33" i="10" s="1"/>
  <c r="B34" i="10" s="1"/>
  <c r="B35" i="10" s="1"/>
  <c r="B36" i="10" s="1"/>
  <c r="B37" i="10" s="1"/>
  <c r="B38" i="10" s="1"/>
  <c r="B43" i="10" s="1"/>
  <c r="B44" i="10" s="1"/>
  <c r="B45" i="10" s="1"/>
  <c r="B46" i="10" s="1"/>
  <c r="B47" i="10" s="1"/>
  <c r="B48" i="10" s="1"/>
  <c r="B49" i="10" s="1"/>
  <c r="B54" i="10" s="1"/>
  <c r="B55" i="10" s="1"/>
  <c r="B56" i="10" s="1"/>
  <c r="B57" i="10" s="1"/>
  <c r="B58" i="10" s="1"/>
  <c r="B59" i="10" s="1"/>
  <c r="B64" i="10" s="1"/>
  <c r="B65" i="10" s="1"/>
  <c r="B66" i="10" s="1"/>
  <c r="B67" i="10" s="1"/>
  <c r="B68" i="10" s="1"/>
  <c r="B69" i="10" s="1"/>
  <c r="B70" i="10" s="1"/>
  <c r="K72" i="1"/>
  <c r="K74" i="1"/>
  <c r="E69" i="11"/>
  <c r="E70" i="11"/>
  <c r="E67" i="11"/>
  <c r="K73" i="1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F74" i="11"/>
  <c r="F76" i="11"/>
  <c r="F75" i="11"/>
  <c r="F73" i="11"/>
  <c r="F29" i="2"/>
  <c r="F28" i="2"/>
  <c r="N28" i="6" l="1"/>
  <c r="N20" i="6"/>
  <c r="N24" i="6"/>
  <c r="AJ60" i="10"/>
  <c r="AJ61" i="10"/>
  <c r="G78" i="2"/>
  <c r="B38" i="14" s="1"/>
  <c r="K78" i="2"/>
  <c r="E36" i="6"/>
  <c r="K26" i="6"/>
  <c r="H26" i="6"/>
  <c r="E26" i="6"/>
  <c r="C78" i="4"/>
  <c r="E78" i="3"/>
  <c r="B24" i="14" s="1"/>
  <c r="D79" i="3"/>
  <c r="G78" i="3"/>
  <c r="F78" i="3"/>
  <c r="B22" i="6"/>
  <c r="E79" i="3"/>
  <c r="D78" i="3"/>
  <c r="AJ50" i="10"/>
  <c r="H77" i="10"/>
  <c r="B46" i="14" s="1"/>
  <c r="E78" i="10"/>
  <c r="B78" i="5"/>
  <c r="F79" i="5"/>
  <c r="B12" i="14" s="1"/>
  <c r="F81" i="5"/>
  <c r="D78" i="2"/>
  <c r="B32" i="14" s="1"/>
  <c r="B26" i="6"/>
  <c r="E78" i="2"/>
  <c r="B36" i="14" s="1"/>
  <c r="I78" i="2"/>
  <c r="B54" i="14" s="1"/>
  <c r="H78" i="2"/>
  <c r="J78" i="2"/>
  <c r="G73" i="4"/>
  <c r="B78" i="4"/>
  <c r="B79" i="4"/>
  <c r="D79" i="1"/>
  <c r="C78" i="1"/>
  <c r="B78" i="1"/>
  <c r="D78" i="1"/>
  <c r="B79" i="1"/>
  <c r="B12" i="6"/>
  <c r="F80" i="5"/>
  <c r="G75" i="4"/>
  <c r="H20" i="6"/>
  <c r="G72" i="4"/>
  <c r="M74" i="3"/>
  <c r="M72" i="3"/>
  <c r="M17" i="3"/>
  <c r="M75" i="3"/>
  <c r="M64" i="3"/>
  <c r="K20" i="6"/>
  <c r="E20" i="6"/>
  <c r="B42" i="6"/>
  <c r="G78" i="10"/>
  <c r="E14" i="6"/>
  <c r="AJ52" i="10"/>
  <c r="K14" i="6" s="1"/>
  <c r="B44" i="6"/>
  <c r="H78" i="10"/>
  <c r="B20" i="6"/>
  <c r="C78" i="10"/>
  <c r="B40" i="6"/>
  <c r="J78" i="10"/>
  <c r="B38" i="6"/>
  <c r="I78" i="10"/>
  <c r="B36" i="6"/>
  <c r="AJ41" i="10"/>
  <c r="AJ39" i="10"/>
  <c r="M61" i="3"/>
  <c r="M63" i="3"/>
  <c r="N6" i="6" s="1"/>
  <c r="M62" i="3"/>
  <c r="K61" i="1"/>
  <c r="K63" i="1"/>
  <c r="N4" i="6" s="1"/>
  <c r="K62" i="1"/>
  <c r="K64" i="1"/>
  <c r="G63" i="4"/>
  <c r="N8" i="6" s="1"/>
  <c r="K19" i="1"/>
  <c r="B4" i="6" s="1"/>
  <c r="AJ71" i="10"/>
  <c r="AJ72" i="10"/>
  <c r="AJ73" i="10"/>
  <c r="AJ74" i="10"/>
  <c r="AJ62" i="10"/>
  <c r="N14" i="6" s="1"/>
  <c r="AJ63" i="10"/>
  <c r="AJ31" i="10"/>
  <c r="G61" i="4"/>
  <c r="G62" i="4"/>
  <c r="G64" i="4"/>
  <c r="G51" i="4"/>
  <c r="G52" i="4"/>
  <c r="K8" i="6" s="1"/>
  <c r="G53" i="4"/>
  <c r="G50" i="4"/>
  <c r="B79" i="5"/>
  <c r="F78" i="5"/>
  <c r="Q24" i="6" s="1"/>
  <c r="G40" i="4"/>
  <c r="G39" i="4"/>
  <c r="G41" i="4"/>
  <c r="H8" i="6" s="1"/>
  <c r="G19" i="4"/>
  <c r="B8" i="6" s="1"/>
  <c r="K28" i="1"/>
  <c r="K29" i="1"/>
  <c r="K31" i="1"/>
  <c r="M30" i="3"/>
  <c r="E6" i="6" s="1"/>
  <c r="M31" i="3"/>
  <c r="G17" i="4"/>
  <c r="G20" i="4"/>
  <c r="M20" i="3"/>
  <c r="D31" i="3"/>
  <c r="B24" i="6"/>
  <c r="K20" i="1"/>
  <c r="C79" i="4"/>
  <c r="G18" i="4"/>
  <c r="E24" i="6"/>
  <c r="M29" i="3"/>
  <c r="M18" i="3"/>
  <c r="M19" i="3"/>
  <c r="B6" i="6" s="1"/>
  <c r="K30" i="1"/>
  <c r="E4" i="6" s="1"/>
  <c r="E28" i="6"/>
  <c r="K17" i="1"/>
  <c r="B28" i="6"/>
  <c r="K18" i="1"/>
  <c r="C78" i="2"/>
  <c r="L64" i="2"/>
  <c r="L72" i="2"/>
  <c r="L53" i="2"/>
  <c r="L51" i="2"/>
  <c r="AJ53" i="10"/>
  <c r="AJ51" i="10"/>
  <c r="AJ40" i="10"/>
  <c r="AJ42" i="10"/>
  <c r="G79" i="3"/>
  <c r="F79" i="3"/>
  <c r="M53" i="3"/>
  <c r="M51" i="3"/>
  <c r="M52" i="3"/>
  <c r="K6" i="6" s="1"/>
  <c r="M50" i="3"/>
  <c r="K24" i="6"/>
  <c r="K53" i="1"/>
  <c r="K28" i="6"/>
  <c r="K51" i="1"/>
  <c r="K50" i="1"/>
  <c r="K52" i="1"/>
  <c r="K4" i="6" s="1"/>
  <c r="I79" i="2"/>
  <c r="H28" i="6"/>
  <c r="L20" i="2"/>
  <c r="L73" i="2"/>
  <c r="L52" i="2"/>
  <c r="K10" i="6" s="1"/>
  <c r="J79" i="2"/>
  <c r="L75" i="2"/>
  <c r="L28" i="2"/>
  <c r="E79" i="2"/>
  <c r="L17" i="2"/>
  <c r="L29" i="2"/>
  <c r="F79" i="2"/>
  <c r="L74" i="2"/>
  <c r="K79" i="2"/>
  <c r="G79" i="2"/>
  <c r="L61" i="2"/>
  <c r="D79" i="2"/>
  <c r="L30" i="2"/>
  <c r="E10" i="6" s="1"/>
  <c r="L18" i="2"/>
  <c r="C79" i="2"/>
  <c r="L19" i="2"/>
  <c r="B10" i="6" s="1"/>
  <c r="L50" i="2"/>
  <c r="L63" i="2"/>
  <c r="N10" i="6" s="1"/>
  <c r="L42" i="2"/>
  <c r="L31" i="2"/>
  <c r="L41" i="2"/>
  <c r="H10" i="6" s="1"/>
  <c r="L62" i="2"/>
  <c r="H79" i="2"/>
  <c r="L40" i="2"/>
  <c r="L39" i="2"/>
  <c r="M41" i="3"/>
  <c r="H6" i="6" s="1"/>
  <c r="M40" i="3"/>
  <c r="M39" i="3"/>
  <c r="M42" i="3"/>
  <c r="H24" i="6"/>
  <c r="C79" i="1"/>
  <c r="K40" i="1"/>
  <c r="K42" i="1"/>
  <c r="K39" i="1"/>
  <c r="K41" i="1"/>
  <c r="M28" i="3"/>
  <c r="G42" i="4"/>
  <c r="G28" i="4"/>
  <c r="G29" i="4"/>
  <c r="G30" i="4"/>
  <c r="G31" i="4"/>
  <c r="N76" i="6" l="1"/>
  <c r="N16" i="6"/>
  <c r="B52" i="14"/>
  <c r="Q30" i="6"/>
  <c r="E85" i="10"/>
  <c r="E82" i="10"/>
  <c r="B14" i="14" s="1"/>
  <c r="E84" i="10"/>
  <c r="B28" i="14"/>
  <c r="B22" i="14"/>
  <c r="B26" i="14"/>
  <c r="B30" i="14"/>
  <c r="F82" i="3"/>
  <c r="B6" i="14" s="1"/>
  <c r="F84" i="3"/>
  <c r="N79" i="2"/>
  <c r="M81" i="2"/>
  <c r="B78" i="2"/>
  <c r="G81" i="4"/>
  <c r="G79" i="4"/>
  <c r="B8" i="14" s="1"/>
  <c r="H78" i="1"/>
  <c r="E83" i="10"/>
  <c r="H81" i="1"/>
  <c r="H79" i="1"/>
  <c r="B4" i="14" s="1"/>
  <c r="B14" i="6"/>
  <c r="B16" i="6" s="1"/>
  <c r="E76" i="6"/>
  <c r="B76" i="6"/>
  <c r="H14" i="6"/>
  <c r="K76" i="6"/>
  <c r="K16" i="6"/>
  <c r="H76" i="6"/>
  <c r="M78" i="2"/>
  <c r="B79" i="2"/>
  <c r="M80" i="2"/>
  <c r="F85" i="3"/>
  <c r="F83" i="3"/>
  <c r="H4" i="6"/>
  <c r="H80" i="1"/>
  <c r="G78" i="4"/>
  <c r="G80" i="4"/>
  <c r="E8" i="6"/>
  <c r="E16" i="6" s="1"/>
  <c r="Q20" i="6" l="1"/>
  <c r="Q15" i="6"/>
  <c r="H16" i="6"/>
  <c r="F78" i="2"/>
  <c r="M79" i="2" s="1"/>
  <c r="B10" i="14" s="1"/>
  <c r="B18" i="14" s="1"/>
  <c r="B34" i="14" l="1"/>
  <c r="B78" i="14" s="1"/>
</calcChain>
</file>

<file path=xl/sharedStrings.xml><?xml version="1.0" encoding="utf-8"?>
<sst xmlns="http://schemas.openxmlformats.org/spreadsheetml/2006/main" count="1008" uniqueCount="128">
  <si>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</si>
  <si>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</si>
  <si>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</si>
  <si>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</si>
  <si>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</si>
  <si>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</si>
  <si>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</si>
  <si>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</si>
  <si>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</si>
  <si>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</si>
  <si>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</si>
  <si>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</si>
  <si>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</si>
  <si>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</si>
  <si>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</si>
  <si>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</si>
  <si>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</si>
  <si>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</si>
  <si>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</si>
  <si>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</si>
  <si>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</si>
  <si>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</si>
  <si>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</si>
  <si>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</si>
  <si>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</si>
  <si>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</si>
  <si>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</si>
  <si>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</si>
  <si>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</si>
  <si>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</si>
  <si>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</si>
  <si>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</si>
  <si>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</si>
  <si>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</si>
  <si>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</si>
  <si>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</si>
  <si>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</si>
  <si>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</si>
  <si>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</si>
  <si>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</si>
  <si>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</si>
  <si>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</si>
  <si>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</si>
  <si>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</si>
  <si>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</si>
  <si>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</si>
  <si>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</si>
  <si>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</si>
  <si>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</si>
  <si>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</si>
  <si>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</si>
  <si>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</si>
  <si>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</si>
  <si>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</si>
  <si>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</si>
  <si>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</si>
  <si>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</si>
  <si>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</si>
  <si>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</si>
  <si>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</si>
  <si>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</si>
  <si>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</si>
  <si>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</si>
  <si>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</si>
  <si>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</si>
  <si>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</si>
  <si>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</si>
  <si>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</si>
  <si>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</si>
  <si>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</si>
  <si>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</si>
  <si>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NYC Ferry</t>
  </si>
  <si>
    <t>NYC Ferry Monthly Totals</t>
  </si>
  <si>
    <t>Water Tours Monthly Totals</t>
  </si>
  <si>
    <t>South Brooklyn</t>
  </si>
  <si>
    <t>Bayridge</t>
  </si>
  <si>
    <t>Red Hook</t>
  </si>
  <si>
    <t>Astoria</t>
  </si>
  <si>
    <t>Roosevelt Island</t>
  </si>
  <si>
    <t>World Financial Center/ BPT</t>
  </si>
  <si>
    <t>World Financial Center/BPT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</si>
  <si>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</si>
  <si>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</si>
  <si>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</si>
  <si>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</si>
  <si>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</si>
  <si>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</si>
  <si>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</si>
  <si>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</si>
  <si>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</si>
  <si>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</si>
  <si>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</si>
  <si>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</si>
  <si>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</si>
  <si>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</si>
  <si>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</si>
  <si>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</si>
  <si>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</si>
  <si>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</si>
  <si>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</si>
  <si>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Brooklyn Bridge Park Atlantic Avenue Pier 6</t>
  </si>
  <si>
    <t>BAT</t>
  </si>
  <si>
    <t>Red Hook IKEA</t>
  </si>
  <si>
    <t>Red Hook Ikea</t>
  </si>
  <si>
    <t>World Financial Center / BPT</t>
  </si>
  <si>
    <t>Governors Island Shuttle</t>
  </si>
  <si>
    <t>Brooklyn Navy Yard</t>
  </si>
  <si>
    <t>S</t>
  </si>
  <si>
    <t xml:space="preserve">Sunset Park / </t>
  </si>
  <si>
    <t>Sunset Park / BAT</t>
  </si>
  <si>
    <t>Number of Weekdays in Month</t>
  </si>
  <si>
    <t>Sum of Each Operator's Weekday Totals / Number of Weekdays in Month</t>
  </si>
  <si>
    <t>World Financial Center / BPT (Brookfield Place)</t>
  </si>
  <si>
    <t>Sunset Park Brooklyn Army Terminal (BAT)</t>
  </si>
  <si>
    <t>Sunset Park Brooklyn Army Terminal</t>
  </si>
  <si>
    <t>Bay Ridge</t>
  </si>
  <si>
    <t>Brooklyn Bridge Park / Atlantic Ave Pier 6</t>
  </si>
  <si>
    <t>BBP / Atlantic Ave Pier 6</t>
  </si>
  <si>
    <t>Monthly Total</t>
  </si>
  <si>
    <t>Monthly Average</t>
  </si>
  <si>
    <t>Per Operator Average Monthly Weekday Ridership (Average of Each Operator's Average Weekday Passenger Count)</t>
  </si>
  <si>
    <t>System Wide Daily Average (Sum of Each Operator's Monthly Weekday Average Passenger Count)</t>
  </si>
  <si>
    <t>System-Wide Monthly Weekday Total (Sum of Each Operator's Monthly Weekday Total Passenger Counts)</t>
  </si>
  <si>
    <t>11/4/19--11/8/19</t>
  </si>
  <si>
    <t>11/11/19--11/15/19</t>
  </si>
  <si>
    <t>11/18/19--11/22/19</t>
  </si>
  <si>
    <t>11/25/19--11/29/19</t>
  </si>
  <si>
    <t>November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</si>
</sst>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fornian FB"/>
      <family val="1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24" fillId="0" borderId="0"/>
  </cellStyleXfs>
  <cellXfs count="744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8" xfId="0" applyNumberFormat="1" applyFont="1" applyFill="1" applyBorder="1" applyAlignment="1">
      <alignment horizontal="right"/>
    </xf>
    <xf numFmtId="3" fontId="21" fillId="5" borderId="69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21" fillId="4" borderId="69" xfId="0" applyNumberFormat="1" applyFont="1" applyFill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5" borderId="69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164" fontId="1" fillId="0" borderId="63" xfId="0" applyNumberFormat="1" applyFont="1" applyFill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25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21" fillId="4" borderId="48" xfId="0" applyNumberFormat="1" applyFont="1" applyFill="1" applyBorder="1" applyAlignment="1">
      <alignment horizontal="right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3" fontId="19" fillId="0" borderId="32" xfId="0" applyNumberFormat="1" applyFont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0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21" fillId="5" borderId="22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3" fontId="21" fillId="4" borderId="73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5" borderId="46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41" fontId="19" fillId="0" borderId="41" xfId="0" applyNumberFormat="1" applyFont="1" applyBorder="1" applyAlignment="1">
      <alignment horizontal="right"/>
    </xf>
    <xf numFmtId="3" fontId="19" fillId="0" borderId="22" xfId="0" applyNumberFormat="1" applyFont="1" applyFill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41" fontId="19" fillId="0" borderId="41" xfId="0" applyNumberFormat="1" applyFont="1" applyFill="1" applyBorder="1" applyAlignment="1">
      <alignment horizontal="right"/>
    </xf>
    <xf numFmtId="164" fontId="19" fillId="0" borderId="16" xfId="0" applyNumberFormat="1" applyFont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27" fillId="0" borderId="41" xfId="0" applyNumberFormat="1" applyFont="1" applyFill="1" applyBorder="1" applyAlignment="1">
      <alignment vertical="top" wrapText="1" readingOrder="1"/>
    </xf>
    <xf numFmtId="0" fontId="27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" fillId="0" borderId="22" xfId="0" applyNumberFormat="1" applyFont="1" applyBorder="1" applyAlignment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8" fontId="12" fillId="0" borderId="22" xfId="0" applyNumberFormat="1" applyFont="1" applyFill="1" applyBorder="1" applyAlignment="1">
      <alignment wrapText="1"/>
    </xf>
    <xf numFmtId="3" fontId="1" fillId="4" borderId="73" xfId="0" applyNumberFormat="1" applyFont="1" applyFill="1" applyBorder="1" applyAlignment="1"/>
    <xf numFmtId="3" fontId="1" fillId="0" borderId="17" xfId="0" applyNumberFormat="1" applyFont="1" applyBorder="1" applyAlignment="1"/>
    <xf numFmtId="3" fontId="1" fillId="5" borderId="17" xfId="0" applyNumberFormat="1" applyFont="1" applyFill="1" applyBorder="1" applyAlignment="1"/>
    <xf numFmtId="3" fontId="1" fillId="4" borderId="17" xfId="0" applyNumberFormat="1" applyFont="1" applyFill="1" applyBorder="1" applyAlignment="1"/>
    <xf numFmtId="3" fontId="1" fillId="4" borderId="35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0" fontId="0" fillId="0" borderId="72" xfId="0" applyBorder="1"/>
    <xf numFmtId="3" fontId="19" fillId="0" borderId="17" xfId="0" applyNumberFormat="1" applyFont="1" applyBorder="1" applyAlignment="1">
      <alignment horizontal="right"/>
    </xf>
    <xf numFmtId="164" fontId="6" fillId="0" borderId="25" xfId="0" applyNumberFormat="1" applyFont="1" applyFill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6" borderId="34" xfId="0" applyNumberFormat="1" applyFont="1" applyFill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4" borderId="70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3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165" fontId="0" fillId="0" borderId="0" xfId="0" applyNumberFormat="1"/>
    <xf numFmtId="3" fontId="1" fillId="5" borderId="12" xfId="0" applyNumberFormat="1" applyFont="1" applyFill="1" applyBorder="1" applyAlignment="1"/>
    <xf numFmtId="3" fontId="1" fillId="5" borderId="5" xfId="0" applyNumberFormat="1" applyFont="1" applyFill="1" applyBorder="1" applyAlignment="1"/>
    <xf numFmtId="3" fontId="1" fillId="4" borderId="42" xfId="0" applyNumberFormat="1" applyFont="1" applyFill="1" applyBorder="1" applyAlignment="1"/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" fillId="4" borderId="34" xfId="0" applyNumberFormat="1" applyFont="1" applyFill="1" applyBorder="1" applyAlignment="1"/>
    <xf numFmtId="164" fontId="19" fillId="0" borderId="35" xfId="0" applyNumberFormat="1" applyFont="1" applyFill="1" applyBorder="1" applyAlignment="1">
      <alignment horizontal="right"/>
    </xf>
    <xf numFmtId="3" fontId="19" fillId="0" borderId="28" xfId="0" applyNumberFormat="1" applyFont="1" applyFill="1" applyBorder="1" applyAlignment="1">
      <alignment horizontal="right"/>
    </xf>
    <xf numFmtId="3" fontId="19" fillId="5" borderId="17" xfId="0" applyNumberFormat="1" applyFont="1" applyFill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41" fontId="19" fillId="0" borderId="17" xfId="0" applyNumberFormat="1" applyFont="1" applyFill="1" applyBorder="1" applyAlignment="1">
      <alignment horizontal="right"/>
    </xf>
    <xf numFmtId="41" fontId="19" fillId="0" borderId="17" xfId="0" applyNumberFormat="1" applyFont="1" applyBorder="1" applyAlignment="1">
      <alignment horizontal="right"/>
    </xf>
    <xf numFmtId="3" fontId="19" fillId="0" borderId="13" xfId="0" applyNumberFormat="1" applyFont="1" applyBorder="1" applyAlignment="1">
      <alignment horizontal="right"/>
    </xf>
    <xf numFmtId="3" fontId="19" fillId="0" borderId="38" xfId="0" applyNumberFormat="1" applyFont="1" applyBorder="1" applyAlignment="1">
      <alignment horizontal="right"/>
    </xf>
    <xf numFmtId="164" fontId="1" fillId="0" borderId="16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6" xfId="0" applyFont="1" applyBorder="1" applyAlignment="1">
      <alignment horizontal="right"/>
    </xf>
    <xf numFmtId="3" fontId="1" fillId="0" borderId="61" xfId="0" applyNumberFormat="1" applyFont="1" applyBorder="1" applyAlignment="1">
      <alignment horizontal="right"/>
    </xf>
    <xf numFmtId="3" fontId="1" fillId="0" borderId="74" xfId="0" applyNumberFormat="1" applyFont="1" applyBorder="1" applyAlignment="1">
      <alignment horizontal="right"/>
    </xf>
    <xf numFmtId="3" fontId="1" fillId="0" borderId="6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0" fontId="1" fillId="0" borderId="52" xfId="0" applyFont="1" applyFill="1" applyBorder="1" applyAlignment="1">
      <alignment horizontal="right"/>
    </xf>
    <xf numFmtId="1" fontId="19" fillId="0" borderId="41" xfId="0" applyNumberFormat="1" applyFont="1" applyBorder="1" applyAlignment="1">
      <alignment horizontal="right"/>
    </xf>
    <xf numFmtId="1" fontId="19" fillId="5" borderId="21" xfId="0" applyNumberFormat="1" applyFont="1" applyFill="1" applyBorder="1" applyAlignment="1">
      <alignment horizontal="right"/>
    </xf>
    <xf numFmtId="1" fontId="19" fillId="4" borderId="21" xfId="0" applyNumberFormat="1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41" xfId="0" applyNumberFormat="1" applyFont="1" applyFill="1" applyBorder="1" applyAlignment="1">
      <alignment horizontal="right"/>
    </xf>
    <xf numFmtId="1" fontId="19" fillId="0" borderId="41" xfId="0" applyNumberFormat="1" applyFont="1" applyFill="1" applyBorder="1" applyAlignment="1">
      <alignment horizontal="right"/>
    </xf>
    <xf numFmtId="1" fontId="19" fillId="4" borderId="29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3" xfId="0" applyNumberFormat="1" applyFont="1" applyBorder="1" applyAlignment="1">
      <alignment horizontal="center" vertical="center"/>
    </xf>
    <xf numFmtId="3" fontId="20" fillId="4" borderId="10" xfId="0" applyNumberFormat="1" applyFont="1" applyFill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" fillId="5" borderId="11" xfId="0" applyNumberFormat="1" applyFont="1" applyFill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4" borderId="11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3" fontId="12" fillId="0" borderId="16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0" fontId="12" fillId="0" borderId="19" xfId="0" applyFont="1" applyFill="1" applyBorder="1" applyAlignment="1">
      <alignment vertical="center" wrapText="1"/>
    </xf>
    <xf numFmtId="3" fontId="1" fillId="0" borderId="65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0" fontId="27" fillId="0" borderId="36" xfId="0" applyNumberFormat="1" applyFont="1" applyFill="1" applyBorder="1" applyAlignment="1">
      <alignment vertical="top" wrapText="1" readingOrder="1"/>
    </xf>
    <xf numFmtId="164" fontId="1" fillId="0" borderId="8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1" fontId="19" fillId="5" borderId="19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20" xfId="0" applyNumberFormat="1" applyFont="1" applyFill="1" applyBorder="1" applyAlignment="1">
      <alignment horizontal="right"/>
    </xf>
    <xf numFmtId="1" fontId="19" fillId="0" borderId="42" xfId="0" applyNumberFormat="1" applyFont="1" applyBorder="1" applyAlignment="1">
      <alignment horizontal="right"/>
    </xf>
    <xf numFmtId="1" fontId="19" fillId="0" borderId="43" xfId="0" applyNumberFormat="1" applyFont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3" fontId="19" fillId="6" borderId="30" xfId="0" applyNumberFormat="1" applyFont="1" applyFill="1" applyBorder="1" applyAlignment="1">
      <alignment horizontal="right"/>
    </xf>
    <xf numFmtId="1" fontId="19" fillId="4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3" fontId="19" fillId="0" borderId="26" xfId="0" applyNumberFormat="1" applyFont="1" applyFill="1" applyBorder="1" applyAlignment="1">
      <alignment horizontal="right"/>
    </xf>
    <xf numFmtId="3" fontId="19" fillId="0" borderId="34" xfId="0" applyNumberFormat="1" applyFont="1" applyFill="1" applyBorder="1" applyAlignment="1">
      <alignment horizontal="right"/>
    </xf>
    <xf numFmtId="3" fontId="19" fillId="0" borderId="78" xfId="0" applyNumberFormat="1" applyFont="1" applyFill="1" applyBorder="1" applyAlignment="1">
      <alignment horizontal="right"/>
    </xf>
    <xf numFmtId="3" fontId="19" fillId="0" borderId="27" xfId="0" applyNumberFormat="1" applyFont="1" applyFill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1" fontId="1" fillId="0" borderId="42" xfId="0" applyNumberFormat="1" applyFont="1" applyFill="1" applyBorder="1" applyAlignment="1">
      <alignment horizontal="right"/>
    </xf>
    <xf numFmtId="1" fontId="1" fillId="0" borderId="43" xfId="0" applyNumberFormat="1" applyFont="1" applyFill="1" applyBorder="1" applyAlignment="1">
      <alignment horizontal="right"/>
    </xf>
    <xf numFmtId="1" fontId="6" fillId="0" borderId="42" xfId="0" applyNumberFormat="1" applyFont="1" applyFill="1" applyBorder="1" applyAlignment="1">
      <alignment horizontal="right"/>
    </xf>
    <xf numFmtId="3" fontId="19" fillId="6" borderId="78" xfId="0" applyNumberFormat="1" applyFont="1" applyFill="1" applyBorder="1" applyAlignment="1">
      <alignment horizontal="right"/>
    </xf>
    <xf numFmtId="1" fontId="6" fillId="0" borderId="43" xfId="0" applyNumberFormat="1" applyFont="1" applyFill="1" applyBorder="1" applyAlignment="1">
      <alignment horizontal="right"/>
    </xf>
    <xf numFmtId="3" fontId="1" fillId="6" borderId="29" xfId="0" applyNumberFormat="1" applyFont="1" applyFill="1" applyBorder="1" applyAlignment="1">
      <alignment horizontal="right"/>
    </xf>
    <xf numFmtId="3" fontId="19" fillId="6" borderId="70" xfId="0" applyNumberFormat="1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0" borderId="34" xfId="0" applyFont="1" applyFill="1" applyBorder="1" applyAlignment="1">
      <alignment horizontal="right"/>
    </xf>
    <xf numFmtId="1" fontId="19" fillId="0" borderId="43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3" fontId="1" fillId="0" borderId="80" xfId="0" applyNumberFormat="1" applyFont="1" applyBorder="1" applyAlignment="1">
      <alignment horizontal="right"/>
    </xf>
    <xf numFmtId="3" fontId="1" fillId="0" borderId="81" xfId="0" applyNumberFormat="1" applyFont="1" applyBorder="1" applyAlignment="1">
      <alignment horizontal="right"/>
    </xf>
    <xf numFmtId="3" fontId="1" fillId="0" borderId="82" xfId="0" applyNumberFormat="1" applyFont="1" applyBorder="1" applyAlignment="1">
      <alignment horizontal="right"/>
    </xf>
    <xf numFmtId="3" fontId="1" fillId="0" borderId="83" xfId="0" applyNumberFormat="1" applyFont="1" applyBorder="1" applyAlignment="1">
      <alignment horizontal="right"/>
    </xf>
    <xf numFmtId="3" fontId="1" fillId="0" borderId="70" xfId="0" applyNumberFormat="1" applyFont="1" applyBorder="1" applyAlignment="1">
      <alignment horizontal="right"/>
    </xf>
    <xf numFmtId="3" fontId="1" fillId="5" borderId="78" xfId="0" applyNumberFormat="1" applyFont="1" applyFill="1" applyBorder="1" applyAlignment="1">
      <alignment horizontal="right"/>
    </xf>
    <xf numFmtId="3" fontId="1" fillId="5" borderId="70" xfId="0" applyNumberFormat="1" applyFont="1" applyFill="1" applyBorder="1" applyAlignment="1">
      <alignment horizontal="right"/>
    </xf>
    <xf numFmtId="3" fontId="1" fillId="4" borderId="78" xfId="0" applyNumberFormat="1" applyFont="1" applyFill="1" applyBorder="1" applyAlignment="1">
      <alignment horizontal="right"/>
    </xf>
    <xf numFmtId="3" fontId="1" fillId="4" borderId="70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5" borderId="36" xfId="0" applyNumberFormat="1" applyFont="1" applyFill="1" applyBorder="1" applyAlignment="1">
      <alignment horizontal="right"/>
    </xf>
    <xf numFmtId="3" fontId="1" fillId="4" borderId="36" xfId="0" applyNumberFormat="1" applyFont="1" applyFill="1" applyBorder="1" applyAlignment="1">
      <alignment horizontal="right"/>
    </xf>
    <xf numFmtId="3" fontId="1" fillId="0" borderId="66" xfId="0" applyNumberFormat="1" applyFont="1" applyBorder="1" applyAlignment="1">
      <alignment horizontal="right"/>
    </xf>
    <xf numFmtId="164" fontId="1" fillId="0" borderId="23" xfId="0" applyNumberFormat="1" applyFont="1" applyFill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0" fontId="27" fillId="0" borderId="28" xfId="0" applyNumberFormat="1" applyFont="1" applyFill="1" applyBorder="1" applyAlignment="1">
      <alignment vertical="top" wrapText="1" readingOrder="1"/>
    </xf>
    <xf numFmtId="0" fontId="1" fillId="0" borderId="41" xfId="0" applyNumberFormat="1" applyFont="1" applyBorder="1" applyAlignment="1">
      <alignment horizontal="right"/>
    </xf>
    <xf numFmtId="0" fontId="12" fillId="6" borderId="19" xfId="0" applyFont="1" applyFill="1" applyBorder="1" applyAlignment="1">
      <alignment vertical="center" wrapText="1"/>
    </xf>
    <xf numFmtId="3" fontId="1" fillId="0" borderId="80" xfId="0" applyNumberFormat="1" applyFont="1" applyFill="1" applyBorder="1" applyAlignment="1">
      <alignment horizontal="right"/>
    </xf>
    <xf numFmtId="0" fontId="1" fillId="6" borderId="21" xfId="0" applyFont="1" applyFill="1" applyBorder="1" applyAlignment="1">
      <alignment vertical="center" wrapText="1"/>
    </xf>
    <xf numFmtId="0" fontId="1" fillId="0" borderId="82" xfId="0" applyFont="1" applyBorder="1"/>
    <xf numFmtId="0" fontId="1" fillId="0" borderId="79" xfId="0" applyFont="1" applyBorder="1"/>
    <xf numFmtId="0" fontId="26" fillId="0" borderId="0" xfId="0" applyFont="1"/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19" fillId="0" borderId="0" xfId="0" applyFont="1" applyFill="1"/>
    <xf numFmtId="1" fontId="1" fillId="0" borderId="39" xfId="0" applyNumberFormat="1" applyFont="1" applyBorder="1" applyAlignment="1">
      <alignment horizontal="right"/>
    </xf>
    <xf numFmtId="3" fontId="19" fillId="6" borderId="19" xfId="0" applyNumberFormat="1" applyFont="1" applyFill="1" applyBorder="1" applyAlignment="1">
      <alignment horizontal="right"/>
    </xf>
    <xf numFmtId="164" fontId="1" fillId="0" borderId="25" xfId="0" applyNumberFormat="1" applyFont="1" applyFill="1" applyBorder="1" applyAlignment="1">
      <alignment horizontal="right" vertical="center" wrapText="1"/>
    </xf>
    <xf numFmtId="41" fontId="19" fillId="0" borderId="28" xfId="0" applyNumberFormat="1" applyFont="1" applyFill="1" applyBorder="1" applyAlignment="1">
      <alignment horizontal="right"/>
    </xf>
    <xf numFmtId="3" fontId="19" fillId="0" borderId="41" xfId="0" applyNumberFormat="1" applyFont="1" applyFill="1" applyBorder="1" applyAlignment="1">
      <alignment horizontal="right"/>
    </xf>
    <xf numFmtId="165" fontId="1" fillId="0" borderId="41" xfId="0" applyNumberFormat="1" applyFont="1" applyBorder="1" applyAlignment="1">
      <alignment horizontal="right"/>
    </xf>
    <xf numFmtId="0" fontId="1" fillId="4" borderId="25" xfId="0" applyFont="1" applyFill="1" applyBorder="1" applyAlignment="1">
      <alignment horizontal="right" vertical="center" wrapText="1"/>
    </xf>
    <xf numFmtId="0" fontId="1" fillId="0" borderId="25" xfId="0" applyFont="1" applyFill="1" applyBorder="1" applyAlignment="1">
      <alignment horizontal="right" vertical="center" wrapText="1"/>
    </xf>
    <xf numFmtId="164" fontId="1" fillId="0" borderId="50" xfId="0" applyNumberFormat="1" applyFont="1" applyFill="1" applyBorder="1" applyAlignment="1">
      <alignment horizontal="right" vertical="center" wrapText="1"/>
    </xf>
    <xf numFmtId="164" fontId="1" fillId="0" borderId="25" xfId="0" applyNumberFormat="1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right" vertical="center" wrapText="1"/>
    </xf>
    <xf numFmtId="3" fontId="1" fillId="0" borderId="50" xfId="0" applyNumberFormat="1" applyFont="1" applyFill="1" applyBorder="1" applyAlignment="1">
      <alignment horizontal="right" vertical="center"/>
    </xf>
    <xf numFmtId="3" fontId="19" fillId="6" borderId="39" xfId="0" applyNumberFormat="1" applyFont="1" applyFill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 wrapText="1"/>
    </xf>
    <xf numFmtId="0" fontId="1" fillId="0" borderId="71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1" fillId="0" borderId="52" xfId="0" applyFont="1" applyFill="1" applyBorder="1" applyAlignment="1">
      <alignment horizontal="right" wrapText="1"/>
    </xf>
    <xf numFmtId="0" fontId="1" fillId="0" borderId="50" xfId="0" applyFont="1" applyFill="1" applyBorder="1" applyAlignment="1">
      <alignment horizontal="right" wrapText="1"/>
    </xf>
    <xf numFmtId="0" fontId="1" fillId="0" borderId="63" xfId="0" applyFont="1" applyFill="1" applyBorder="1" applyAlignment="1">
      <alignment horizontal="right" wrapText="1"/>
    </xf>
    <xf numFmtId="164" fontId="1" fillId="0" borderId="50" xfId="0" applyNumberFormat="1" applyFont="1" applyFill="1" applyBorder="1" applyAlignment="1">
      <alignment horizontal="right" wrapText="1"/>
    </xf>
    <xf numFmtId="3" fontId="1" fillId="0" borderId="72" xfId="0" applyNumberFormat="1" applyFont="1" applyFill="1" applyBorder="1" applyAlignment="1">
      <alignment horizontal="right" wrapText="1"/>
    </xf>
    <xf numFmtId="3" fontId="1" fillId="0" borderId="6" xfId="0" applyNumberFormat="1" applyFont="1" applyFill="1" applyBorder="1" applyAlignment="1">
      <alignment horizontal="right" wrapText="1"/>
    </xf>
    <xf numFmtId="3" fontId="1" fillId="0" borderId="63" xfId="0" applyNumberFormat="1" applyFont="1" applyFill="1" applyBorder="1" applyAlignment="1">
      <alignment horizontal="right" wrapText="1"/>
    </xf>
    <xf numFmtId="3" fontId="1" fillId="0" borderId="64" xfId="0" applyNumberFormat="1" applyFont="1" applyFill="1" applyBorder="1" applyAlignment="1">
      <alignment horizontal="right" wrapText="1"/>
    </xf>
    <xf numFmtId="3" fontId="1" fillId="0" borderId="71" xfId="0" applyNumberFormat="1" applyFont="1" applyFill="1" applyBorder="1" applyAlignment="1">
      <alignment horizontal="right" wrapText="1"/>
    </xf>
    <xf numFmtId="3" fontId="1" fillId="0" borderId="25" xfId="0" applyNumberFormat="1" applyFont="1" applyFill="1" applyBorder="1" applyAlignment="1">
      <alignment horizontal="right" wrapText="1"/>
    </xf>
    <xf numFmtId="3" fontId="1" fillId="0" borderId="50" xfId="0" applyNumberFormat="1" applyFont="1" applyFill="1" applyBorder="1" applyAlignment="1">
      <alignment horizontal="right"/>
    </xf>
    <xf numFmtId="3" fontId="12" fillId="5" borderId="8" xfId="0" applyNumberFormat="1" applyFont="1" applyFill="1" applyBorder="1" applyAlignment="1">
      <alignment horizontal="right"/>
    </xf>
    <xf numFmtId="0" fontId="1" fillId="0" borderId="21" xfId="0" applyFont="1" applyFill="1" applyBorder="1" applyAlignment="1">
      <alignment horizontal="right" vertical="center" wrapText="1"/>
    </xf>
    <xf numFmtId="1" fontId="1" fillId="0" borderId="81" xfId="0" applyNumberFormat="1" applyFont="1" applyFill="1" applyBorder="1" applyAlignment="1">
      <alignment horizontal="right" wrapText="1"/>
    </xf>
    <xf numFmtId="0" fontId="1" fillId="0" borderId="80" xfId="0" applyFont="1" applyFill="1" applyBorder="1" applyAlignment="1">
      <alignment horizontal="right" wrapText="1"/>
    </xf>
    <xf numFmtId="0" fontId="1" fillId="0" borderId="83" xfId="0" applyFont="1" applyFill="1" applyBorder="1" applyAlignment="1">
      <alignment horizontal="right" wrapText="1"/>
    </xf>
    <xf numFmtId="0" fontId="1" fillId="0" borderId="81" xfId="0" applyFont="1" applyFill="1" applyBorder="1" applyAlignment="1">
      <alignment horizontal="right" wrapText="1"/>
    </xf>
    <xf numFmtId="0" fontId="1" fillId="0" borderId="82" xfId="0" applyFont="1" applyFill="1" applyBorder="1" applyAlignment="1">
      <alignment horizontal="right" wrapText="1"/>
    </xf>
    <xf numFmtId="0" fontId="1" fillId="0" borderId="67" xfId="0" applyFont="1" applyFill="1" applyBorder="1" applyAlignment="1">
      <alignment horizontal="right" wrapText="1"/>
    </xf>
    <xf numFmtId="0" fontId="1" fillId="0" borderId="38" xfId="0" applyFont="1" applyFill="1" applyBorder="1" applyAlignment="1">
      <alignment horizontal="right" wrapText="1"/>
    </xf>
    <xf numFmtId="3" fontId="1" fillId="0" borderId="0" xfId="0" applyNumberFormat="1" applyFont="1"/>
    <xf numFmtId="0" fontId="1" fillId="0" borderId="50" xfId="0" applyFont="1" applyFill="1" applyBorder="1" applyAlignment="1">
      <alignment horizontal="right"/>
    </xf>
    <xf numFmtId="1" fontId="1" fillId="0" borderId="52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 wrapText="1"/>
    </xf>
    <xf numFmtId="3" fontId="21" fillId="4" borderId="60" xfId="0" applyNumberFormat="1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0" xfId="0" applyNumberFormat="1" applyFont="1" applyBorder="1" applyAlignment="1">
      <alignment horizontal="center" vertical="center"/>
    </xf>
    <xf numFmtId="3" fontId="21" fillId="0" borderId="55" xfId="0" applyNumberFormat="1" applyFont="1" applyBorder="1" applyAlignment="1">
      <alignment horizontal="center" vertical="center"/>
    </xf>
    <xf numFmtId="3" fontId="1" fillId="0" borderId="23" xfId="0" applyNumberFormat="1" applyFont="1" applyFill="1" applyBorder="1"/>
    <xf numFmtId="3" fontId="1" fillId="0" borderId="55" xfId="0" applyNumberFormat="1" applyFont="1" applyFill="1" applyBorder="1"/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3" fillId="4" borderId="50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12" fillId="3" borderId="50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3" fontId="10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0" fontId="1" fillId="0" borderId="44" xfId="0" applyFont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0" fillId="0" borderId="4" xfId="0" applyNumberFormat="1" applyFont="1" applyFill="1" applyBorder="1" applyAlignment="1">
      <alignment horizontal="center" vertical="center" wrapText="1"/>
    </xf>
    <xf numFmtId="3" fontId="10" fillId="0" borderId="44" xfId="0" applyNumberFormat="1" applyFont="1" applyFill="1" applyBorder="1" applyAlignment="1">
      <alignment horizontal="center" vertical="center" wrapText="1"/>
    </xf>
    <xf numFmtId="3" fontId="1" fillId="0" borderId="44" xfId="0" applyNumberFormat="1" applyFont="1" applyBorder="1" applyAlignment="1"/>
    <xf numFmtId="3" fontId="12" fillId="0" borderId="44" xfId="0" applyNumberFormat="1" applyFont="1" applyFill="1" applyBorder="1"/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2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22" fillId="2" borderId="23" xfId="0" applyNumberFormat="1" applyFont="1" applyFill="1" applyBorder="1" applyAlignment="1">
      <alignment horizontal="center"/>
    </xf>
    <xf numFmtId="3" fontId="1" fillId="0" borderId="56" xfId="0" applyNumberFormat="1" applyFont="1" applyBorder="1" applyAlignment="1">
      <alignment horizontal="center"/>
    </xf>
    <xf numFmtId="3" fontId="22" fillId="2" borderId="25" xfId="0" applyNumberFormat="1" applyFont="1" applyFill="1" applyBorder="1" applyAlignment="1">
      <alignment horizontal="center"/>
    </xf>
    <xf numFmtId="3" fontId="1" fillId="0" borderId="52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1" fillId="0" borderId="57" xfId="0" applyNumberFormat="1" applyFont="1" applyBorder="1" applyAlignment="1">
      <alignment horizontal="center"/>
    </xf>
    <xf numFmtId="3" fontId="1" fillId="3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 wrapText="1"/>
    </xf>
    <xf numFmtId="3" fontId="13" fillId="4" borderId="44" xfId="0" applyNumberFormat="1" applyFont="1" applyFill="1" applyBorder="1" applyAlignment="1">
      <alignment horizontal="center" vertical="center" wrapText="1"/>
    </xf>
    <xf numFmtId="3" fontId="13" fillId="0" borderId="50" xfId="0" applyNumberFormat="1" applyFont="1" applyFill="1" applyBorder="1" applyAlignment="1">
      <alignment horizontal="center" vertical="center"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1" fillId="4" borderId="4" xfId="0" applyNumberFormat="1" applyFont="1" applyFill="1" applyBorder="1" applyAlignment="1">
      <alignment horizontal="center" vertical="center" wrapText="1"/>
    </xf>
    <xf numFmtId="3" fontId="21" fillId="4" borderId="50" xfId="0" applyNumberFormat="1" applyFont="1" applyFill="1" applyBorder="1" applyAlignment="1">
      <alignment horizontal="center" vertical="center" wrapText="1"/>
    </xf>
    <xf numFmtId="3" fontId="21" fillId="4" borderId="44" xfId="0" applyNumberFormat="1" applyFont="1" applyFill="1" applyBorder="1" applyAlignment="1">
      <alignment horizontal="center" vertical="center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50" xfId="0" applyNumberFormat="1" applyFont="1" applyBorder="1" applyAlignment="1">
      <alignment horizontal="center" vertical="center"/>
    </xf>
    <xf numFmtId="3" fontId="21" fillId="0" borderId="44" xfId="0" applyNumberFormat="1" applyFont="1" applyBorder="1" applyAlignment="1">
      <alignment horizontal="center" vertical="center"/>
    </xf>
    <xf numFmtId="3" fontId="21" fillId="0" borderId="3" xfId="0" applyNumberFormat="1" applyFont="1" applyBorder="1" applyAlignment="1">
      <alignment horizontal="center" vertical="center"/>
    </xf>
    <xf numFmtId="3" fontId="21" fillId="0" borderId="52" xfId="0" applyNumberFormat="1" applyFont="1" applyBorder="1" applyAlignment="1">
      <alignment horizontal="center" vertical="center"/>
    </xf>
    <xf numFmtId="3" fontId="21" fillId="0" borderId="49" xfId="0" applyNumberFormat="1" applyFont="1" applyBorder="1" applyAlignment="1">
      <alignment horizontal="center" vertical="center"/>
    </xf>
    <xf numFmtId="3" fontId="1" fillId="0" borderId="44" xfId="0" applyNumberFormat="1" applyFont="1" applyFill="1" applyBorder="1" applyAlignment="1"/>
    <xf numFmtId="3" fontId="9" fillId="0" borderId="44" xfId="0" applyNumberFormat="1" applyFont="1" applyBorder="1" applyAlignment="1"/>
    <xf numFmtId="3" fontId="9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14" fontId="9" fillId="0" borderId="36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9" fillId="3" borderId="44" xfId="0" applyNumberFormat="1" applyFont="1" applyFill="1" applyBorder="1" applyAlignment="1"/>
    <xf numFmtId="3" fontId="14" fillId="4" borderId="44" xfId="0" applyNumberFormat="1" applyFont="1" applyFill="1" applyBorder="1" applyAlignment="1"/>
    <xf numFmtId="3" fontId="14" fillId="0" borderId="44" xfId="0" applyNumberFormat="1" applyFont="1" applyFill="1" applyBorder="1" applyAlignment="1">
      <alignment wrapText="1"/>
    </xf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23" fillId="0" borderId="44" xfId="0" applyNumberFormat="1" applyFont="1" applyBorder="1" applyAlignment="1"/>
    <xf numFmtId="3" fontId="14" fillId="4" borderId="44" xfId="0" applyNumberFormat="1" applyFont="1" applyFill="1" applyBorder="1" applyAlignment="1">
      <alignment wrapText="1"/>
    </xf>
    <xf numFmtId="3" fontId="23" fillId="0" borderId="55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wrapText="1"/>
    </xf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0" fontId="21" fillId="4" borderId="4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0" fillId="3" borderId="22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8" fillId="4" borderId="42" xfId="0" applyFont="1" applyFill="1" applyBorder="1" applyAlignment="1">
      <alignment horizontal="center" vertical="center" wrapText="1"/>
    </xf>
    <xf numFmtId="0" fontId="28" fillId="4" borderId="27" xfId="0" applyFont="1" applyFill="1" applyBorder="1" applyAlignment="1">
      <alignment horizontal="center" vertical="center" wrapText="1"/>
    </xf>
    <xf numFmtId="0" fontId="28" fillId="4" borderId="41" xfId="0" applyFont="1" applyFill="1" applyBorder="1" applyAlignment="1">
      <alignment horizontal="center" vertical="center" wrapText="1"/>
    </xf>
    <xf numFmtId="0" fontId="28" fillId="4" borderId="28" xfId="0" applyFont="1" applyFill="1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41" xfId="0" applyNumberFormat="1" applyFont="1" applyFill="1" applyBorder="1" applyAlignment="1">
      <alignment horizontal="center" vertical="center" wrapText="1"/>
    </xf>
    <xf numFmtId="164" fontId="21" fillId="4" borderId="21" xfId="0" applyNumberFormat="1" applyFont="1" applyFill="1" applyBorder="1" applyAlignment="1">
      <alignment horizontal="center" vertical="center" wrapText="1"/>
    </xf>
    <xf numFmtId="164" fontId="21" fillId="4" borderId="28" xfId="0" applyNumberFormat="1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1" xfId="0" applyBorder="1" applyAlignment="1">
      <alignment horizontal="right"/>
    </xf>
    <xf numFmtId="0" fontId="0" fillId="0" borderId="36" xfId="0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164" fontId="21" fillId="4" borderId="46" xfId="0" applyNumberFormat="1" applyFont="1" applyFill="1" applyBorder="1" applyAlignment="1">
      <alignment horizontal="center" vertical="center" textRotation="90"/>
    </xf>
    <xf numFmtId="164" fontId="21" fillId="4" borderId="48" xfId="0" applyNumberFormat="1" applyFont="1" applyFill="1" applyBorder="1" applyAlignment="1">
      <alignment horizontal="center" vertical="center" textRotation="90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0" fillId="3" borderId="36" xfId="0" applyFont="1" applyFill="1" applyBorder="1" applyAlignment="1">
      <alignment horizontal="center" vertical="center" wrapText="1"/>
    </xf>
    <xf numFmtId="0" fontId="20" fillId="3" borderId="66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77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164" fontId="21" fillId="4" borderId="17" xfId="0" applyNumberFormat="1" applyFont="1" applyFill="1" applyBorder="1" applyAlignment="1">
      <alignment horizontal="center" vertical="center" textRotation="90"/>
    </xf>
    <xf numFmtId="164" fontId="21" fillId="4" borderId="35" xfId="0" applyNumberFormat="1" applyFont="1" applyFill="1" applyBorder="1" applyAlignment="1">
      <alignment horizontal="center" vertical="center" textRotation="90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50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21" fillId="4" borderId="74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76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164" fontId="21" fillId="4" borderId="24" xfId="0" applyNumberFormat="1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0" fontId="21" fillId="4" borderId="73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1" fontId="21" fillId="4" borderId="42" xfId="0" applyNumberFormat="1" applyFont="1" applyFill="1" applyBorder="1" applyAlignment="1">
      <alignment horizontal="center" vertical="center" wrapText="1"/>
    </xf>
    <xf numFmtId="1" fontId="21" fillId="4" borderId="4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textRotation="90"/>
    </xf>
    <xf numFmtId="0" fontId="19" fillId="3" borderId="8" xfId="0" applyFont="1" applyFill="1" applyBorder="1"/>
    <xf numFmtId="0" fontId="21" fillId="4" borderId="18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tabSelected="1" zoomScaleNormal="100" workbookViewId="0">
      <pane ySplit="2" topLeftCell="A3" activePane="bottomLeft" state="frozen"/>
      <selection pane="bottomLeft" activeCell="Q30" sqref="Q30:Q32"/>
    </sheetView>
  </sheetViews>
  <sheetFormatPr defaultRowHeight="13.5" x14ac:dyDescent="0.25"/>
  <cols>
    <col min="1" max="1" width="26.5703125" style="104" bestFit="1" customWidth="1"/>
    <col min="2" max="2" width="8.85546875" style="104" customWidth="1"/>
    <col min="3" max="3" width="3.5703125" style="104" customWidth="1"/>
    <col min="4" max="4" width="26.5703125" style="104" bestFit="1" customWidth="1"/>
    <col min="5" max="5" width="7.5703125" style="104" bestFit="1" customWidth="1"/>
    <col min="6" max="6" width="3.7109375" style="104" customWidth="1"/>
    <col min="7" max="7" width="26.5703125" style="104" bestFit="1" customWidth="1"/>
    <col min="8" max="8" width="7.5703125" style="104" bestFit="1" customWidth="1"/>
    <col min="9" max="9" width="3.7109375" style="104" customWidth="1"/>
    <col min="10" max="10" width="26.5703125" style="104" bestFit="1" customWidth="1"/>
    <col min="11" max="11" width="11.140625" style="104" customWidth="1"/>
    <col min="12" max="12" width="3.7109375" style="104" customWidth="1"/>
    <col min="13" max="13" width="26.5703125" style="539" bestFit="1" customWidth="1"/>
    <col min="14" max="14" width="11.140625" style="539" customWidth="1"/>
    <col min="15" max="15" width="3.7109375" style="104" customWidth="1"/>
    <col min="16" max="16" width="36.5703125" style="104" bestFit="1" customWidth="1"/>
    <col min="17" max="17" width="9.140625" style="104" bestFit="1" customWidth="1"/>
    <col min="18" max="16384" width="9.140625" style="104"/>
  </cols>
  <sheetData>
    <row r="1" spans="1:17" x14ac:dyDescent="0.25">
      <c r="A1" s="585" t="s">
        <v>43</v>
      </c>
      <c r="B1" s="613"/>
      <c r="C1" s="88"/>
      <c r="D1" s="585" t="s">
        <v>43</v>
      </c>
      <c r="E1" s="613"/>
      <c r="F1" s="45"/>
      <c r="G1" s="585" t="s">
        <v>43</v>
      </c>
      <c r="H1" s="613"/>
      <c r="I1" s="89"/>
      <c r="J1" s="585" t="s">
        <v>43</v>
      </c>
      <c r="K1" s="613"/>
      <c r="L1" s="89"/>
      <c r="M1" s="585" t="s">
        <v>43</v>
      </c>
      <c r="N1" s="586"/>
    </row>
    <row r="2" spans="1:17" ht="15.75" customHeight="1" x14ac:dyDescent="0.25">
      <c r="A2" s="614">
        <v>43770</v>
      </c>
      <c r="B2" s="615"/>
      <c r="C2" s="90"/>
      <c r="D2" s="587" t="s">
        <v>123</v>
      </c>
      <c r="E2" s="616"/>
      <c r="F2" s="91"/>
      <c r="G2" s="587" t="s">
        <v>124</v>
      </c>
      <c r="H2" s="616"/>
      <c r="I2" s="89"/>
      <c r="J2" s="587" t="s">
        <v>125</v>
      </c>
      <c r="K2" s="588"/>
      <c r="L2" s="89"/>
      <c r="M2" s="587" t="s">
        <v>126</v>
      </c>
      <c r="N2" s="588"/>
    </row>
    <row r="3" spans="1:17" ht="14.25" thickBot="1" x14ac:dyDescent="0.3">
      <c r="A3" s="589" t="s">
        <v>44</v>
      </c>
      <c r="B3" s="617"/>
      <c r="C3" s="88"/>
      <c r="D3" s="589" t="s">
        <v>44</v>
      </c>
      <c r="E3" s="617"/>
      <c r="F3" s="89"/>
      <c r="G3" s="589" t="s">
        <v>44</v>
      </c>
      <c r="H3" s="617"/>
      <c r="I3" s="89"/>
      <c r="J3" s="589" t="s">
        <v>44</v>
      </c>
      <c r="K3" s="618"/>
      <c r="L3" s="89"/>
      <c r="M3" s="589" t="s">
        <v>44</v>
      </c>
      <c r="N3" s="590"/>
    </row>
    <row r="4" spans="1:17" s="105" customFormat="1" ht="12.95" customHeight="1" x14ac:dyDescent="0.25">
      <c r="A4" s="567" t="s">
        <v>45</v>
      </c>
      <c r="B4" s="569">
        <f>SUM('NY Waterway-(Port Imperial FC)'!K19)</f>
        <v>16980</v>
      </c>
      <c r="C4" s="7"/>
      <c r="D4" s="567" t="s">
        <v>45</v>
      </c>
      <c r="E4" s="569">
        <f>SUM('NY Waterway-(Port Imperial FC)'!K30)</f>
        <v>88423</v>
      </c>
      <c r="F4" s="92"/>
      <c r="G4" s="567" t="s">
        <v>45</v>
      </c>
      <c r="H4" s="569">
        <f>SUM('NY Waterway-(Port Imperial FC)'!K41)</f>
        <v>79882</v>
      </c>
      <c r="I4" s="92"/>
      <c r="J4" s="567" t="s">
        <v>45</v>
      </c>
      <c r="K4" s="569">
        <f>SUM('NY Waterway-(Port Imperial FC)'!K52)</f>
        <v>79804</v>
      </c>
      <c r="L4" s="92"/>
      <c r="M4" s="567" t="s">
        <v>45</v>
      </c>
      <c r="N4" s="569">
        <f>'NY Waterway-(Port Imperial FC)'!K63</f>
        <v>56525</v>
      </c>
    </row>
    <row r="5" spans="1:17" s="105" customFormat="1" ht="12.95" customHeight="1" thickBot="1" x14ac:dyDescent="0.3">
      <c r="A5" s="568"/>
      <c r="B5" s="572"/>
      <c r="C5" s="8"/>
      <c r="D5" s="568"/>
      <c r="E5" s="572"/>
      <c r="F5" s="92"/>
      <c r="G5" s="568"/>
      <c r="H5" s="570"/>
      <c r="I5" s="92"/>
      <c r="J5" s="568"/>
      <c r="K5" s="570"/>
      <c r="L5" s="92"/>
      <c r="M5" s="568"/>
      <c r="N5" s="570"/>
    </row>
    <row r="6" spans="1:17" s="105" customFormat="1" ht="12.95" customHeight="1" x14ac:dyDescent="0.25">
      <c r="A6" s="564" t="s">
        <v>46</v>
      </c>
      <c r="B6" s="569">
        <f>SUM('NY Waterway-(Billy Bey FC)'!M19)</f>
        <v>10156</v>
      </c>
      <c r="C6" s="7"/>
      <c r="D6" s="564" t="s">
        <v>46</v>
      </c>
      <c r="E6" s="569">
        <f>SUM('NY Waterway-(Billy Bey FC)'!M30)</f>
        <v>53053</v>
      </c>
      <c r="F6" s="92"/>
      <c r="G6" s="564" t="s">
        <v>46</v>
      </c>
      <c r="H6" s="576">
        <f>SUM('NY Waterway-(Billy Bey FC)'!M41)</f>
        <v>51409</v>
      </c>
      <c r="I6" s="92"/>
      <c r="J6" s="564" t="s">
        <v>46</v>
      </c>
      <c r="K6" s="576">
        <f>SUM('NY Waterway-(Billy Bey FC)'!M52)</f>
        <v>53507</v>
      </c>
      <c r="L6" s="92"/>
      <c r="M6" s="564" t="s">
        <v>46</v>
      </c>
      <c r="N6" s="576">
        <f>'NY Waterway-(Billy Bey FC)'!M63</f>
        <v>29700</v>
      </c>
    </row>
    <row r="7" spans="1:17" s="105" customFormat="1" ht="12.95" customHeight="1" thickBot="1" x14ac:dyDescent="0.3">
      <c r="A7" s="619"/>
      <c r="B7" s="572"/>
      <c r="C7" s="8"/>
      <c r="D7" s="619"/>
      <c r="E7" s="572"/>
      <c r="F7" s="92"/>
      <c r="G7" s="619"/>
      <c r="H7" s="577"/>
      <c r="I7" s="92"/>
      <c r="J7" s="619"/>
      <c r="K7" s="577"/>
      <c r="L7" s="92"/>
      <c r="M7" s="591"/>
      <c r="N7" s="577"/>
    </row>
    <row r="8" spans="1:17" s="105" customFormat="1" ht="12.95" customHeight="1" x14ac:dyDescent="0.25">
      <c r="A8" s="567" t="s">
        <v>47</v>
      </c>
      <c r="B8" s="569">
        <f>SUM(SeaStreak!G19)</f>
        <v>3791</v>
      </c>
      <c r="C8" s="7"/>
      <c r="D8" s="567" t="s">
        <v>47</v>
      </c>
      <c r="E8" s="569">
        <f>SUM(SeaStreak!G30)</f>
        <v>21032</v>
      </c>
      <c r="F8" s="92"/>
      <c r="G8" s="567" t="s">
        <v>47</v>
      </c>
      <c r="H8" s="569">
        <f>SUM(SeaStreak!G41)</f>
        <v>20712</v>
      </c>
      <c r="I8" s="92"/>
      <c r="J8" s="567" t="s">
        <v>47</v>
      </c>
      <c r="K8" s="569">
        <f>SUM(SeaStreak!G52)</f>
        <v>22049</v>
      </c>
      <c r="L8" s="92"/>
      <c r="M8" s="567" t="s">
        <v>47</v>
      </c>
      <c r="N8" s="569">
        <f>SeaStreak!G63</f>
        <v>15493</v>
      </c>
    </row>
    <row r="9" spans="1:17" s="105" customFormat="1" ht="12.95" customHeight="1" thickBot="1" x14ac:dyDescent="0.3">
      <c r="A9" s="573"/>
      <c r="B9" s="572"/>
      <c r="C9" s="93"/>
      <c r="D9" s="573"/>
      <c r="E9" s="570"/>
      <c r="F9" s="92"/>
      <c r="G9" s="573"/>
      <c r="H9" s="570"/>
      <c r="I9" s="92"/>
      <c r="J9" s="573"/>
      <c r="K9" s="570"/>
      <c r="L9" s="92"/>
      <c r="M9" s="573"/>
      <c r="N9" s="570"/>
    </row>
    <row r="10" spans="1:17" s="105" customFormat="1" ht="12.95" customHeight="1" x14ac:dyDescent="0.25">
      <c r="A10" s="564" t="s">
        <v>48</v>
      </c>
      <c r="B10" s="569">
        <f>SUM('New York Water Taxi'!L19)</f>
        <v>1131</v>
      </c>
      <c r="C10" s="9"/>
      <c r="D10" s="564" t="s">
        <v>48</v>
      </c>
      <c r="E10" s="576">
        <f>SUM('New York Water Taxi'!L30)</f>
        <v>4907</v>
      </c>
      <c r="F10" s="92"/>
      <c r="G10" s="564" t="s">
        <v>48</v>
      </c>
      <c r="H10" s="576">
        <f>SUM('New York Water Taxi'!L41)</f>
        <v>4069</v>
      </c>
      <c r="I10" s="92"/>
      <c r="J10" s="564" t="s">
        <v>48</v>
      </c>
      <c r="K10" s="576">
        <f>SUM('New York Water Taxi'!L52)</f>
        <v>4896</v>
      </c>
      <c r="L10" s="92"/>
      <c r="M10" s="564" t="s">
        <v>48</v>
      </c>
      <c r="N10" s="576">
        <f>'New York Water Taxi'!L63</f>
        <v>5162</v>
      </c>
    </row>
    <row r="11" spans="1:17" s="105" customFormat="1" ht="12.95" customHeight="1" thickBot="1" x14ac:dyDescent="0.3">
      <c r="A11" s="565"/>
      <c r="B11" s="572"/>
      <c r="C11" s="94"/>
      <c r="D11" s="565"/>
      <c r="E11" s="580"/>
      <c r="F11" s="92"/>
      <c r="G11" s="565"/>
      <c r="H11" s="577"/>
      <c r="I11" s="92"/>
      <c r="J11" s="565"/>
      <c r="K11" s="577"/>
      <c r="L11" s="92"/>
      <c r="M11" s="565"/>
      <c r="N11" s="577"/>
    </row>
    <row r="12" spans="1:17" s="105" customFormat="1" ht="12.95" customHeight="1" x14ac:dyDescent="0.25">
      <c r="A12" s="578" t="s">
        <v>33</v>
      </c>
      <c r="B12" s="569">
        <f>'Liberty Landing Ferry'!C19</f>
        <v>802</v>
      </c>
      <c r="C12" s="9"/>
      <c r="D12" s="578" t="s">
        <v>33</v>
      </c>
      <c r="E12" s="576">
        <f>'Liberty Landing Ferry'!C30</f>
        <v>3522</v>
      </c>
      <c r="F12" s="92"/>
      <c r="G12" s="578" t="s">
        <v>33</v>
      </c>
      <c r="H12" s="576">
        <f>'Liberty Landing Ferry'!C41</f>
        <v>3182</v>
      </c>
      <c r="I12" s="92"/>
      <c r="J12" s="578" t="s">
        <v>33</v>
      </c>
      <c r="K12" s="576">
        <f>'Liberty Landing Ferry'!C52</f>
        <v>3383</v>
      </c>
      <c r="L12" s="92"/>
      <c r="M12" s="578" t="s">
        <v>33</v>
      </c>
      <c r="N12" s="576">
        <f>'Liberty Landing Ferry'!C63</f>
        <v>3153</v>
      </c>
    </row>
    <row r="13" spans="1:17" s="105" customFormat="1" ht="12.95" customHeight="1" thickBot="1" x14ac:dyDescent="0.3">
      <c r="A13" s="579"/>
      <c r="B13" s="572"/>
      <c r="C13" s="94"/>
      <c r="D13" s="579"/>
      <c r="E13" s="580"/>
      <c r="F13" s="92"/>
      <c r="G13" s="579"/>
      <c r="H13" s="577"/>
      <c r="I13" s="92"/>
      <c r="J13" s="579"/>
      <c r="K13" s="577"/>
      <c r="L13" s="92"/>
      <c r="M13" s="579"/>
      <c r="N13" s="577"/>
    </row>
    <row r="14" spans="1:17" s="202" customFormat="1" ht="12.95" customHeight="1" thickBot="1" x14ac:dyDescent="0.3">
      <c r="A14" s="578" t="s">
        <v>71</v>
      </c>
      <c r="B14" s="576">
        <f>'NYC Ferry'!AJ19</f>
        <v>17480</v>
      </c>
      <c r="C14" s="94"/>
      <c r="D14" s="578" t="s">
        <v>71</v>
      </c>
      <c r="E14" s="576">
        <f>'NYC Ferry'!AJ30</f>
        <v>73905</v>
      </c>
      <c r="F14" s="201"/>
      <c r="G14" s="578" t="s">
        <v>71</v>
      </c>
      <c r="H14" s="576">
        <f>'NYC Ferry'!AJ41</f>
        <v>65978</v>
      </c>
      <c r="I14" s="201"/>
      <c r="J14" s="578" t="s">
        <v>71</v>
      </c>
      <c r="K14" s="576">
        <f>'NYC Ferry'!AJ52</f>
        <v>65474</v>
      </c>
      <c r="L14" s="201"/>
      <c r="M14" s="578" t="s">
        <v>71</v>
      </c>
      <c r="N14" s="576">
        <f>'NYC Ferry'!AJ62</f>
        <v>53037</v>
      </c>
    </row>
    <row r="15" spans="1:17" s="202" customFormat="1" ht="12.95" customHeight="1" thickBot="1" x14ac:dyDescent="0.3">
      <c r="A15" s="579"/>
      <c r="B15" s="580"/>
      <c r="C15" s="94"/>
      <c r="D15" s="579"/>
      <c r="E15" s="580"/>
      <c r="F15" s="201"/>
      <c r="G15" s="579"/>
      <c r="H15" s="580"/>
      <c r="I15" s="201"/>
      <c r="J15" s="579"/>
      <c r="K15" s="580"/>
      <c r="L15" s="201"/>
      <c r="M15" s="579"/>
      <c r="N15" s="580"/>
      <c r="P15" s="581" t="s">
        <v>120</v>
      </c>
      <c r="Q15" s="556">
        <f>AVERAGE('NYC Ferry'!E85,'NY Waterway-(Port Imperial FC)'!H80,'NY Waterway-(Billy Bey FC)'!F85,SeaStreak!G80,'New York Water Taxi'!M80,'Liberty Landing Ferry'!F80)</f>
        <v>19172.329999999998</v>
      </c>
    </row>
    <row r="16" spans="1:17" s="96" customFormat="1" ht="12.95" customHeight="1" x14ac:dyDescent="0.2">
      <c r="A16" s="581" t="s">
        <v>19</v>
      </c>
      <c r="B16" s="556">
        <f>SUM(B4:B15)</f>
        <v>50340</v>
      </c>
      <c r="C16" s="10"/>
      <c r="D16" s="581" t="s">
        <v>19</v>
      </c>
      <c r="E16" s="556">
        <f>SUM(E4:E15)</f>
        <v>244842</v>
      </c>
      <c r="F16" s="95"/>
      <c r="G16" s="581" t="s">
        <v>19</v>
      </c>
      <c r="H16" s="556">
        <f>SUM(H4:H15)</f>
        <v>225232</v>
      </c>
      <c r="I16" s="95"/>
      <c r="J16" s="581" t="s">
        <v>19</v>
      </c>
      <c r="K16" s="556">
        <f>SUM(K4:K15)</f>
        <v>229113</v>
      </c>
      <c r="L16" s="95"/>
      <c r="M16" s="581" t="s">
        <v>19</v>
      </c>
      <c r="N16" s="556">
        <f>SUM(N4:N15)</f>
        <v>163070</v>
      </c>
      <c r="P16" s="592"/>
      <c r="Q16" s="594"/>
    </row>
    <row r="17" spans="1:17" s="96" customFormat="1" ht="12.95" customHeight="1" thickBot="1" x14ac:dyDescent="0.25">
      <c r="A17" s="582"/>
      <c r="B17" s="557"/>
      <c r="C17" s="97"/>
      <c r="D17" s="582"/>
      <c r="E17" s="557"/>
      <c r="F17" s="95"/>
      <c r="G17" s="582"/>
      <c r="H17" s="557"/>
      <c r="I17" s="95"/>
      <c r="J17" s="582"/>
      <c r="K17" s="557"/>
      <c r="L17" s="95"/>
      <c r="M17" s="582"/>
      <c r="N17" s="557"/>
      <c r="P17" s="592"/>
      <c r="Q17" s="594"/>
    </row>
    <row r="18" spans="1:17" s="105" customFormat="1" ht="14.25" thickBot="1" x14ac:dyDescent="0.3">
      <c r="A18" s="98"/>
      <c r="B18" s="99"/>
      <c r="C18" s="92"/>
      <c r="D18" s="98"/>
      <c r="E18" s="99"/>
      <c r="F18" s="92"/>
      <c r="G18" s="98"/>
      <c r="H18" s="99"/>
      <c r="I18" s="92"/>
      <c r="J18" s="100"/>
      <c r="K18" s="101"/>
      <c r="L18" s="92"/>
      <c r="M18" s="548"/>
      <c r="N18" s="549"/>
      <c r="P18" s="593"/>
      <c r="Q18" s="595"/>
    </row>
    <row r="19" spans="1:17" ht="14.25" thickBot="1" x14ac:dyDescent="0.3">
      <c r="A19" s="583" t="s">
        <v>49</v>
      </c>
      <c r="B19" s="611"/>
      <c r="C19" s="88"/>
      <c r="D19" s="583" t="s">
        <v>49</v>
      </c>
      <c r="E19" s="611"/>
      <c r="F19" s="89"/>
      <c r="G19" s="583" t="s">
        <v>49</v>
      </c>
      <c r="H19" s="611"/>
      <c r="I19" s="89"/>
      <c r="J19" s="583" t="s">
        <v>49</v>
      </c>
      <c r="K19" s="612"/>
      <c r="L19" s="89"/>
      <c r="M19" s="583" t="s">
        <v>49</v>
      </c>
      <c r="N19" s="584"/>
      <c r="P19" s="10"/>
      <c r="Q19" s="10"/>
    </row>
    <row r="20" spans="1:17" ht="12.95" customHeight="1" x14ac:dyDescent="0.25">
      <c r="A20" s="567" t="s">
        <v>10</v>
      </c>
      <c r="B20" s="569">
        <f>SUM('NY Waterway-(Billy Bey FC)'!I19,'NY Waterway-(Billy Bey FC)'!J19,'NY Waterway-(Billy Bey FC)'!K19, 'New York Water Taxi'!J19:J19, 'NY Waterway-(Port Imperial FC)'!I19:J19, SeaStreak!C19:D19,'NYC Ferry'!C19,'NYC Ferry'!J19,'NYC Ferry'!M19,'NYC Ferry'!S19,'NYC Ferry'!Y19,'NYC Ferry'!AC19,'NYC Ferry'!AH19)</f>
        <v>12480</v>
      </c>
      <c r="C20" s="7"/>
      <c r="D20" s="567" t="s">
        <v>10</v>
      </c>
      <c r="E20" s="569">
        <f>SUM('NY Waterway-(Billy Bey FC)'!I30,'NY Waterway-(Billy Bey FC)'!J30,'NY Waterway-(Billy Bey FC)'!K30, 'New York Water Taxi'!J30:J30, 'NY Waterway-(Port Imperial FC)'!I30:J30, SeaStreak!C30:D30,'NYC Ferry'!C30,'NYC Ferry'!J30,'NYC Ferry'!M30,'NYC Ferry'!S30,'NYC Ferry'!Y30,'NYC Ferry'!AC30,'NYC Ferry'!AH30)</f>
        <v>63805</v>
      </c>
      <c r="F20" s="89"/>
      <c r="G20" s="567" t="s">
        <v>10</v>
      </c>
      <c r="H20" s="569">
        <f>SUM('NY Waterway-(Billy Bey FC)'!I41,'NY Waterway-(Billy Bey FC)'!J41,'NY Waterway-(Billy Bey FC)'!K41, 'New York Water Taxi'!J41:J41, 'NY Waterway-(Port Imperial FC)'!I41:J41, SeaStreak!C41:D41,'NYC Ferry'!C41,'NYC Ferry'!J41,'NYC Ferry'!M41,'NYC Ferry'!S41,'NYC Ferry'!Y41,'NYC Ferry'!AC41,'NYC Ferry'!AH41)</f>
        <v>59790</v>
      </c>
      <c r="I20" s="89"/>
      <c r="J20" s="567" t="s">
        <v>10</v>
      </c>
      <c r="K20" s="569">
        <f>SUM('NY Waterway-(Billy Bey FC)'!I52,'NY Waterway-(Billy Bey FC)'!J52, 'NY Waterway-(Billy Bey FC)'!K52, 'New York Water Taxi'!J52:J52, 'NY Waterway-(Port Imperial FC)'!I52:J52, SeaStreak!C52:D52,'NYC Ferry'!C52,'NYC Ferry'!J52,'NYC Ferry'!M52,'NYC Ferry'!S52,'NYC Ferry'!Y52,'NYC Ferry'!AC52,'NYC Ferry'!AH52)</f>
        <v>62211</v>
      </c>
      <c r="L20" s="89"/>
      <c r="M20" s="567" t="s">
        <v>10</v>
      </c>
      <c r="N20" s="569">
        <f>SUM('NYC Ferry'!C62,'NYC Ferry'!J62,'NYC Ferry'!M62,'NYC Ferry'!S62,'NYC Ferry'!Y62,'NYC Ferry'!AC62,'NYC Ferry'!AH62,'New York Water Taxi'!J63,'NY Waterway-(Port Imperial FC)'!I63:J63,'NY Waterway-(Billy Bey FC)'!I63:K63,SeaStreak!C63:D63)</f>
        <v>39562</v>
      </c>
      <c r="P20" s="596" t="s">
        <v>121</v>
      </c>
      <c r="Q20" s="599">
        <f>SUM('NYC Ferry'!E85,'NY Waterway-(Port Imperial FC)'!H80,'NY Waterway-(Billy Bey FC)'!F85,SeaStreak!G80,'New York Water Taxi'!M80,'Liberty Landing Ferry'!F80)</f>
        <v>115033.98</v>
      </c>
    </row>
    <row r="21" spans="1:17" ht="12.95" customHeight="1" thickBot="1" x14ac:dyDescent="0.3">
      <c r="A21" s="568"/>
      <c r="B21" s="570"/>
      <c r="C21" s="8"/>
      <c r="D21" s="568"/>
      <c r="E21" s="572"/>
      <c r="F21" s="89"/>
      <c r="G21" s="568"/>
      <c r="H21" s="572"/>
      <c r="I21" s="89"/>
      <c r="J21" s="568"/>
      <c r="K21" s="572"/>
      <c r="L21" s="89"/>
      <c r="M21" s="568"/>
      <c r="N21" s="570"/>
      <c r="P21" s="597"/>
      <c r="Q21" s="600"/>
    </row>
    <row r="22" spans="1:17" ht="12.95" customHeight="1" thickBot="1" x14ac:dyDescent="0.3">
      <c r="A22" s="564" t="s">
        <v>67</v>
      </c>
      <c r="B22" s="569">
        <f xml:space="preserve"> 'NY Waterway-(Billy Bey FC)'!L19</f>
        <v>329</v>
      </c>
      <c r="C22" s="8"/>
      <c r="D22" s="564" t="s">
        <v>67</v>
      </c>
      <c r="E22" s="569">
        <f xml:space="preserve"> 'NY Waterway-(Billy Bey FC)'!L30</f>
        <v>1733</v>
      </c>
      <c r="F22" s="89"/>
      <c r="G22" s="564" t="s">
        <v>67</v>
      </c>
      <c r="H22" s="569">
        <f xml:space="preserve"> 'NY Waterway-(Billy Bey FC)'!L41</f>
        <v>1765</v>
      </c>
      <c r="I22" s="89"/>
      <c r="J22" s="564" t="s">
        <v>67</v>
      </c>
      <c r="K22" s="569">
        <f>'NY Waterway-(Billy Bey FC)'!L52</f>
        <v>1691</v>
      </c>
      <c r="L22" s="89"/>
      <c r="M22" s="564" t="s">
        <v>67</v>
      </c>
      <c r="N22" s="569">
        <f>'NY Waterway-(Billy Bey FC)'!L63</f>
        <v>697</v>
      </c>
      <c r="P22" s="598"/>
      <c r="Q22" s="601"/>
    </row>
    <row r="23" spans="1:17" ht="12.95" customHeight="1" thickBot="1" x14ac:dyDescent="0.3">
      <c r="A23" s="606"/>
      <c r="B23" s="570"/>
      <c r="C23" s="8"/>
      <c r="D23" s="606"/>
      <c r="E23" s="572"/>
      <c r="F23" s="89"/>
      <c r="G23" s="606"/>
      <c r="H23" s="572"/>
      <c r="I23" s="89"/>
      <c r="J23" s="606"/>
      <c r="K23" s="572"/>
      <c r="L23" s="89"/>
      <c r="M23" s="571"/>
      <c r="N23" s="572"/>
      <c r="P23" s="542"/>
      <c r="Q23" s="545"/>
    </row>
    <row r="24" spans="1:17" ht="12.95" customHeight="1" x14ac:dyDescent="0.25">
      <c r="A24" s="564" t="s">
        <v>8</v>
      </c>
      <c r="B24" s="576">
        <f>SUM('NY Waterway-(Billy Bey FC)'!C19:E19, 'NY Waterway-(Port Imperial FC)'!C19:G19,)</f>
        <v>13650</v>
      </c>
      <c r="C24" s="9"/>
      <c r="D24" s="564" t="s">
        <v>8</v>
      </c>
      <c r="E24" s="576">
        <f>SUM('NY Waterway-(Billy Bey FC)'!C30:E30, 'NY Waterway-(Port Imperial FC)'!C30:G30,)</f>
        <v>68557</v>
      </c>
      <c r="F24" s="89"/>
      <c r="G24" s="564" t="s">
        <v>8</v>
      </c>
      <c r="H24" s="576">
        <f>SUM('NY Waterway-(Billy Bey FC)'!C41:E41, 'NY Waterway-(Port Imperial FC)'!C41:G41,)</f>
        <v>60929</v>
      </c>
      <c r="I24" s="89"/>
      <c r="J24" s="564" t="s">
        <v>8</v>
      </c>
      <c r="K24" s="576">
        <f>SUM('NY Waterway-(Billy Bey FC)'!C52:E52, 'NY Waterway-(Port Imperial FC)'!C52:G52,)</f>
        <v>60376</v>
      </c>
      <c r="L24" s="89"/>
      <c r="M24" s="564" t="s">
        <v>8</v>
      </c>
      <c r="N24" s="576">
        <f>SUM('NY Waterway-(Port Imperial FC)'!C63:G63,'NY Waterway-(Billy Bey FC)'!C63:E63)</f>
        <v>43564</v>
      </c>
      <c r="P24" s="596" t="s">
        <v>122</v>
      </c>
      <c r="Q24" s="599">
        <f>SUM('NYC Ferry'!E83,'NY Waterway-(Port Imperial FC)'!H78,'NY Waterway-(Billy Bey FC)'!F83,SeaStreak!G78,'New York Water Taxi'!M78,'Liberty Landing Ferry'!F78)</f>
        <v>912597</v>
      </c>
    </row>
    <row r="25" spans="1:17" ht="12.95" customHeight="1" thickBot="1" x14ac:dyDescent="0.3">
      <c r="A25" s="606"/>
      <c r="B25" s="577"/>
      <c r="C25" s="91"/>
      <c r="D25" s="606"/>
      <c r="E25" s="577"/>
      <c r="F25" s="89"/>
      <c r="G25" s="606"/>
      <c r="H25" s="605"/>
      <c r="I25" s="89"/>
      <c r="J25" s="606"/>
      <c r="K25" s="607"/>
      <c r="L25" s="89"/>
      <c r="M25" s="571"/>
      <c r="N25" s="605"/>
      <c r="P25" s="597"/>
      <c r="Q25" s="600"/>
    </row>
    <row r="26" spans="1:17" ht="12.95" customHeight="1" thickBot="1" x14ac:dyDescent="0.3">
      <c r="A26" s="567" t="s">
        <v>14</v>
      </c>
      <c r="B26" s="569">
        <f>SUM(SeaStreak!E19:F19,'New York Water Taxi'!H19,'NYC Ferry'!I19,'NYC Ferry'!U19,'NYC Ferry'!Z19,'NYC Ferry'!AF19)</f>
        <v>4997</v>
      </c>
      <c r="C26" s="7"/>
      <c r="D26" s="567" t="s">
        <v>14</v>
      </c>
      <c r="E26" s="569">
        <f>SUM(SeaStreak!E30:F30,'New York Water Taxi'!H30, 'NYC Ferry'!I30,'NYC Ferry'!U30,'NYC Ferry'!Z30,'NYC Ferry'!AF30)</f>
        <v>22950</v>
      </c>
      <c r="F26" s="89"/>
      <c r="G26" s="567" t="s">
        <v>14</v>
      </c>
      <c r="H26" s="569">
        <f>SUM(SeaStreak!E41:F41,'New York Water Taxi'!H41, 'NYC Ferry'!I41,'NYC Ferry'!U41,'NYC Ferry'!Z41,'NYC Ferry'!AF41)</f>
        <v>21235</v>
      </c>
      <c r="I26" s="89"/>
      <c r="J26" s="567" t="s">
        <v>14</v>
      </c>
      <c r="K26" s="569">
        <f>SUM(SeaStreak!E52:F52,'New York Water Taxi'!H52,'NYC Ferry'!I52,'NYC Ferry'!U52,'NYC Ferry'!Z52,'NYC Ferry'!AF52)</f>
        <v>22360</v>
      </c>
      <c r="L26" s="89"/>
      <c r="M26" s="567" t="s">
        <v>14</v>
      </c>
      <c r="N26" s="569">
        <f>SUM('NYC Ferry'!I62,'NYC Ferry'!U62,'NYC Ferry'!Z62,'NYC Ferry'!AF62,SeaStreak!E63:F63,'New York Water Taxi'!H63,)</f>
        <v>16734</v>
      </c>
      <c r="P26" s="598"/>
      <c r="Q26" s="601"/>
    </row>
    <row r="27" spans="1:17" ht="12.95" customHeight="1" thickBot="1" x14ac:dyDescent="0.3">
      <c r="A27" s="573"/>
      <c r="B27" s="570"/>
      <c r="C27" s="93"/>
      <c r="D27" s="573"/>
      <c r="E27" s="574"/>
      <c r="F27" s="89"/>
      <c r="G27" s="573"/>
      <c r="H27" s="574"/>
      <c r="I27" s="89"/>
      <c r="J27" s="573"/>
      <c r="K27" s="574"/>
      <c r="L27" s="89"/>
      <c r="M27" s="573"/>
      <c r="N27" s="574"/>
      <c r="P27" s="543"/>
      <c r="Q27" s="546"/>
    </row>
    <row r="28" spans="1:17" ht="12.95" customHeight="1" thickBot="1" x14ac:dyDescent="0.3">
      <c r="A28" s="564" t="s">
        <v>9</v>
      </c>
      <c r="B28" s="576">
        <f>SUM('NY Waterway-(Billy Bey FC)'!F19:H19, 'Liberty Landing Ferry'!C19, 'NY Waterway-(Port Imperial FC)'!H19,'New York Water Taxi'!C19)</f>
        <v>7565</v>
      </c>
      <c r="C28" s="9"/>
      <c r="D28" s="564" t="s">
        <v>9</v>
      </c>
      <c r="E28" s="552">
        <f>SUM('NY Waterway-(Billy Bey FC)'!F30:H30, 'Liberty Landing Ferry'!C30, 'NY Waterway-(Port Imperial FC)'!H30,'New York Water Taxi'!C30)</f>
        <v>39460</v>
      </c>
      <c r="F28" s="89"/>
      <c r="G28" s="564" t="s">
        <v>9</v>
      </c>
      <c r="H28" s="576">
        <f>SUM('NY Waterway-(Billy Bey FC)'!F41:H41, 'Liberty Landing Ferry'!C41, 'NY Waterway-(Port Imperial FC)'!H41,'New York Water Taxi'!C41)</f>
        <v>39165</v>
      </c>
      <c r="I28" s="89"/>
      <c r="J28" s="564" t="s">
        <v>9</v>
      </c>
      <c r="K28" s="576">
        <f>SUM('NY Waterway-(Billy Bey FC)'!F52:H52, 'Liberty Landing Ferry'!C52, 'NY Waterway-(Port Imperial FC)'!H52,'New York Water Taxi'!C52)</f>
        <v>40180</v>
      </c>
      <c r="L28" s="89"/>
      <c r="M28" s="564" t="s">
        <v>9</v>
      </c>
      <c r="N28" s="576">
        <f>SUM('NY Waterway-(Port Imperial FC)'!H63,'NY Waterway-(Billy Bey FC)'!F63:H63,'Liberty Landing Ferry'!C63,'New York Water Taxi'!C63)</f>
        <v>25917</v>
      </c>
      <c r="P28" s="544" t="s">
        <v>110</v>
      </c>
      <c r="Q28" s="547">
        <v>21</v>
      </c>
    </row>
    <row r="29" spans="1:17" ht="12.95" customHeight="1" thickBot="1" x14ac:dyDescent="0.3">
      <c r="A29" s="565"/>
      <c r="B29" s="577"/>
      <c r="C29" s="94"/>
      <c r="D29" s="565"/>
      <c r="E29" s="580"/>
      <c r="F29" s="89"/>
      <c r="G29" s="565"/>
      <c r="H29" s="580"/>
      <c r="I29" s="89"/>
      <c r="J29" s="565"/>
      <c r="K29" s="580"/>
      <c r="L29" s="89"/>
      <c r="M29" s="565"/>
      <c r="N29" s="580"/>
      <c r="P29" s="542"/>
      <c r="Q29" s="545"/>
    </row>
    <row r="30" spans="1:17" s="103" customFormat="1" ht="12.95" customHeight="1" x14ac:dyDescent="0.2">
      <c r="A30" s="564" t="s">
        <v>7</v>
      </c>
      <c r="B30" s="552">
        <f>SUM('New York Water Taxi'!D19)</f>
        <v>215</v>
      </c>
      <c r="C30" s="10"/>
      <c r="D30" s="564" t="s">
        <v>7</v>
      </c>
      <c r="E30" s="552">
        <f>SUM('New York Water Taxi'!D30)</f>
        <v>900</v>
      </c>
      <c r="F30" s="102"/>
      <c r="G30" s="564" t="s">
        <v>7</v>
      </c>
      <c r="H30" s="552">
        <f>SUM('New York Water Taxi'!D41)</f>
        <v>501</v>
      </c>
      <c r="I30" s="102"/>
      <c r="J30" s="564" t="s">
        <v>7</v>
      </c>
      <c r="K30" s="552">
        <f>SUM('New York Water Taxi'!D52)</f>
        <v>655</v>
      </c>
      <c r="L30" s="102"/>
      <c r="M30" s="564" t="s">
        <v>7</v>
      </c>
      <c r="N30" s="552">
        <f>SUM('New York Water Taxi'!D63)</f>
        <v>1160</v>
      </c>
      <c r="P30" s="596" t="s">
        <v>111</v>
      </c>
      <c r="Q30" s="602">
        <f>Q24/Q28</f>
        <v>43457</v>
      </c>
    </row>
    <row r="31" spans="1:17" s="103" customFormat="1" ht="12.95" customHeight="1" thickBot="1" x14ac:dyDescent="0.25">
      <c r="A31" s="565"/>
      <c r="B31" s="553"/>
      <c r="C31" s="97"/>
      <c r="D31" s="565"/>
      <c r="E31" s="575"/>
      <c r="F31" s="102"/>
      <c r="G31" s="565"/>
      <c r="H31" s="575"/>
      <c r="I31" s="102"/>
      <c r="J31" s="565"/>
      <c r="K31" s="575"/>
      <c r="L31" s="102"/>
      <c r="M31" s="565"/>
      <c r="N31" s="575"/>
      <c r="P31" s="597"/>
      <c r="Q31" s="603"/>
    </row>
    <row r="32" spans="1:17" ht="12.75" customHeight="1" thickBot="1" x14ac:dyDescent="0.3">
      <c r="A32" s="564" t="s">
        <v>96</v>
      </c>
      <c r="B32" s="552">
        <f>SUM('New York Water Taxi'!F19)</f>
        <v>182</v>
      </c>
      <c r="C32" s="89"/>
      <c r="D32" s="564" t="s">
        <v>96</v>
      </c>
      <c r="E32" s="552">
        <f>SUM('New York Water Taxi'!F30)</f>
        <v>742</v>
      </c>
      <c r="F32" s="89"/>
      <c r="G32" s="564" t="s">
        <v>96</v>
      </c>
      <c r="H32" s="552">
        <f>SUM('New York Water Taxi'!F41)</f>
        <v>471</v>
      </c>
      <c r="I32" s="89"/>
      <c r="J32" s="564" t="s">
        <v>96</v>
      </c>
      <c r="K32" s="552">
        <f>SUM('New York Water Taxi'!F52)</f>
        <v>610</v>
      </c>
      <c r="L32" s="89"/>
      <c r="M32" s="564" t="s">
        <v>96</v>
      </c>
      <c r="N32" s="552">
        <f>SUM('New York Water Taxi'!F63)</f>
        <v>1182</v>
      </c>
      <c r="P32" s="598"/>
      <c r="Q32" s="604"/>
    </row>
    <row r="33" spans="1:14" ht="14.25" thickBot="1" x14ac:dyDescent="0.3">
      <c r="A33" s="565"/>
      <c r="B33" s="553"/>
      <c r="C33" s="89"/>
      <c r="D33" s="565"/>
      <c r="E33" s="609"/>
      <c r="F33" s="89"/>
      <c r="G33" s="565"/>
      <c r="H33" s="566"/>
      <c r="I33" s="89"/>
      <c r="J33" s="565"/>
      <c r="K33" s="609"/>
      <c r="L33" s="89"/>
      <c r="M33" s="565"/>
      <c r="N33" s="566"/>
    </row>
    <row r="34" spans="1:14" ht="12.75" customHeight="1" x14ac:dyDescent="0.25">
      <c r="A34" s="564" t="s">
        <v>93</v>
      </c>
      <c r="B34" s="552">
        <f>('New York Water Taxi'!G19)</f>
        <v>168</v>
      </c>
      <c r="C34" s="89"/>
      <c r="D34" s="564" t="s">
        <v>93</v>
      </c>
      <c r="E34" s="552">
        <f>'New York Water Taxi'!G30</f>
        <v>463</v>
      </c>
      <c r="F34" s="89"/>
      <c r="G34" s="564" t="s">
        <v>93</v>
      </c>
      <c r="H34" s="552">
        <f>'New York Water Taxi'!G41</f>
        <v>389</v>
      </c>
      <c r="I34" s="89"/>
      <c r="J34" s="564" t="s">
        <v>93</v>
      </c>
      <c r="K34" s="552">
        <f>'New York Water Taxi'!G52</f>
        <v>491</v>
      </c>
      <c r="L34" s="89"/>
      <c r="M34" s="564" t="s">
        <v>93</v>
      </c>
      <c r="N34" s="552">
        <f>SUM('New York Water Taxi'!G63)</f>
        <v>540</v>
      </c>
    </row>
    <row r="35" spans="1:14" ht="14.25" customHeight="1" thickBot="1" x14ac:dyDescent="0.3">
      <c r="A35" s="565"/>
      <c r="B35" s="553"/>
      <c r="C35" s="89"/>
      <c r="D35" s="565"/>
      <c r="E35" s="610"/>
      <c r="F35" s="89"/>
      <c r="G35" s="565"/>
      <c r="H35" s="561"/>
      <c r="I35" s="89"/>
      <c r="J35" s="565"/>
      <c r="K35" s="553"/>
      <c r="L35" s="89"/>
      <c r="M35" s="565"/>
      <c r="N35" s="553"/>
    </row>
    <row r="36" spans="1:14" x14ac:dyDescent="0.25">
      <c r="A36" s="550" t="s">
        <v>62</v>
      </c>
      <c r="B36" s="552">
        <f>SUM('NYC Ferry'!D19+'NYC Ferry'!N19,'New York Water Taxi'!E19)</f>
        <v>1887</v>
      </c>
      <c r="C36" s="89"/>
      <c r="D36" s="550" t="s">
        <v>62</v>
      </c>
      <c r="E36" s="552">
        <f>SUM('NYC Ferry'!D30+'NYC Ferry'!N30,'New York Water Taxi'!E30)</f>
        <v>6306</v>
      </c>
      <c r="F36" s="89"/>
      <c r="G36" s="550" t="s">
        <v>62</v>
      </c>
      <c r="H36" s="552">
        <f>SUM('NYC Ferry'!D41+'NYC Ferry'!N41,'New York Water Taxi'!E41)</f>
        <v>5039</v>
      </c>
      <c r="I36" s="89"/>
      <c r="J36" s="550" t="s">
        <v>62</v>
      </c>
      <c r="K36" s="552">
        <f>SUM('NYC Ferry'!D52+'NYC Ferry'!N52,'New York Water Taxi'!E52)</f>
        <v>4605</v>
      </c>
      <c r="L36" s="89"/>
      <c r="M36" s="550" t="s">
        <v>62</v>
      </c>
      <c r="N36" s="552">
        <f>SUM('NYC Ferry'!D62,'NYC Ferry'!N62,'New York Water Taxi'!E63)</f>
        <v>5632</v>
      </c>
    </row>
    <row r="37" spans="1:14" ht="14.25" thickBot="1" x14ac:dyDescent="0.3">
      <c r="A37" s="551"/>
      <c r="B37" s="553"/>
      <c r="C37" s="89"/>
      <c r="D37" s="551"/>
      <c r="E37" s="553"/>
      <c r="F37" s="89"/>
      <c r="G37" s="551"/>
      <c r="H37" s="553"/>
      <c r="I37" s="89"/>
      <c r="J37" s="551"/>
      <c r="K37" s="553"/>
      <c r="L37" s="89"/>
      <c r="M37" s="551"/>
      <c r="N37" s="553"/>
    </row>
    <row r="38" spans="1:14" ht="12.75" customHeight="1" x14ac:dyDescent="0.25">
      <c r="A38" s="550" t="s">
        <v>63</v>
      </c>
      <c r="B38" s="552">
        <f>SUM('NYC Ferry'!E19)</f>
        <v>680</v>
      </c>
      <c r="C38" s="89"/>
      <c r="D38" s="550" t="s">
        <v>63</v>
      </c>
      <c r="E38" s="552">
        <f>SUM('NYC Ferry'!E30)</f>
        <v>2870</v>
      </c>
      <c r="F38" s="89"/>
      <c r="G38" s="550" t="s">
        <v>63</v>
      </c>
      <c r="H38" s="552">
        <f>SUM('NYC Ferry'!E41)</f>
        <v>2680</v>
      </c>
      <c r="I38" s="89"/>
      <c r="J38" s="550" t="s">
        <v>63</v>
      </c>
      <c r="K38" s="552">
        <f>SUM('NYC Ferry'!E52)</f>
        <v>2736</v>
      </c>
      <c r="L38" s="89"/>
      <c r="M38" s="550" t="s">
        <v>63</v>
      </c>
      <c r="N38" s="552">
        <f>SUM('NYC Ferry'!E62)</f>
        <v>1887</v>
      </c>
    </row>
    <row r="39" spans="1:14" ht="13.5" customHeight="1" thickBot="1" x14ac:dyDescent="0.3">
      <c r="A39" s="551"/>
      <c r="B39" s="553"/>
      <c r="C39" s="89"/>
      <c r="D39" s="551"/>
      <c r="E39" s="553"/>
      <c r="F39" s="89"/>
      <c r="G39" s="551"/>
      <c r="H39" s="553"/>
      <c r="I39" s="89"/>
      <c r="J39" s="551"/>
      <c r="K39" s="553"/>
      <c r="L39" s="89"/>
      <c r="M39" s="551"/>
      <c r="N39" s="553"/>
    </row>
    <row r="40" spans="1:14" ht="12.75" customHeight="1" x14ac:dyDescent="0.25">
      <c r="A40" s="550" t="s">
        <v>11</v>
      </c>
      <c r="B40" s="552">
        <f>SUM('NYC Ferry'!F19)</f>
        <v>1566</v>
      </c>
      <c r="C40" s="89"/>
      <c r="D40" s="550" t="s">
        <v>11</v>
      </c>
      <c r="E40" s="552">
        <f>SUM('NYC Ferry'!F30)</f>
        <v>6576</v>
      </c>
      <c r="F40" s="89"/>
      <c r="G40" s="550" t="s">
        <v>11</v>
      </c>
      <c r="H40" s="552">
        <f>SUM('NYC Ferry'!F41)</f>
        <v>5963</v>
      </c>
      <c r="I40" s="89"/>
      <c r="J40" s="550" t="s">
        <v>11</v>
      </c>
      <c r="K40" s="552">
        <f>SUM('NYC Ferry'!F52)</f>
        <v>5901</v>
      </c>
      <c r="L40" s="89"/>
      <c r="M40" s="550" t="s">
        <v>11</v>
      </c>
      <c r="N40" s="552">
        <f>SUM('NYC Ferry'!F62)</f>
        <v>4457</v>
      </c>
    </row>
    <row r="41" spans="1:14" ht="13.5" customHeight="1" thickBot="1" x14ac:dyDescent="0.3">
      <c r="A41" s="551"/>
      <c r="B41" s="553"/>
      <c r="C41" s="89"/>
      <c r="D41" s="551"/>
      <c r="E41" s="553"/>
      <c r="F41" s="89"/>
      <c r="G41" s="551"/>
      <c r="H41" s="553"/>
      <c r="I41" s="89"/>
      <c r="J41" s="551"/>
      <c r="K41" s="553"/>
      <c r="L41" s="89"/>
      <c r="M41" s="551"/>
      <c r="N41" s="553"/>
    </row>
    <row r="42" spans="1:14" ht="12.75" customHeight="1" x14ac:dyDescent="0.25">
      <c r="A42" s="550" t="s">
        <v>12</v>
      </c>
      <c r="B42" s="552">
        <f>SUM('NYC Ferry'!G19)</f>
        <v>825</v>
      </c>
      <c r="C42" s="89"/>
      <c r="D42" s="550" t="s">
        <v>12</v>
      </c>
      <c r="E42" s="552">
        <f>SUM('NYC Ferry'!G30)</f>
        <v>3993</v>
      </c>
      <c r="F42" s="89"/>
      <c r="G42" s="550" t="s">
        <v>12</v>
      </c>
      <c r="H42" s="552">
        <f>SUM('NYC Ferry'!G41)</f>
        <v>3503</v>
      </c>
      <c r="I42" s="89"/>
      <c r="J42" s="550" t="s">
        <v>12</v>
      </c>
      <c r="K42" s="552">
        <f>SUM('NYC Ferry'!G52)</f>
        <v>3482</v>
      </c>
      <c r="L42" s="89"/>
      <c r="M42" s="550" t="s">
        <v>12</v>
      </c>
      <c r="N42" s="552">
        <f>SUM('NYC Ferry'!G62)</f>
        <v>2455</v>
      </c>
    </row>
    <row r="43" spans="1:14" ht="13.5" customHeight="1" thickBot="1" x14ac:dyDescent="0.3">
      <c r="A43" s="551"/>
      <c r="B43" s="553"/>
      <c r="C43" s="89"/>
      <c r="D43" s="551"/>
      <c r="E43" s="553"/>
      <c r="F43" s="89"/>
      <c r="G43" s="551"/>
      <c r="H43" s="553"/>
      <c r="I43" s="89"/>
      <c r="J43" s="551"/>
      <c r="K43" s="553"/>
      <c r="L43" s="89"/>
      <c r="M43" s="551"/>
      <c r="N43" s="553"/>
    </row>
    <row r="44" spans="1:14" ht="12.75" customHeight="1" x14ac:dyDescent="0.25">
      <c r="A44" s="550" t="s">
        <v>89</v>
      </c>
      <c r="B44" s="552">
        <f>SUM('NYC Ferry'!H19,)</f>
        <v>500</v>
      </c>
      <c r="C44" s="89"/>
      <c r="D44" s="550" t="s">
        <v>89</v>
      </c>
      <c r="E44" s="552">
        <f>SUM('NYC Ferry'!H30)</f>
        <v>1702</v>
      </c>
      <c r="F44" s="89"/>
      <c r="G44" s="550" t="s">
        <v>89</v>
      </c>
      <c r="H44" s="552">
        <f>SUM('NYC Ferry'!H41)</f>
        <v>1540</v>
      </c>
      <c r="I44" s="89"/>
      <c r="J44" s="550" t="s">
        <v>89</v>
      </c>
      <c r="K44" s="552">
        <f>SUM('NYC Ferry'!H52)</f>
        <v>1340</v>
      </c>
      <c r="L44" s="89"/>
      <c r="M44" s="550" t="s">
        <v>89</v>
      </c>
      <c r="N44" s="552">
        <f>SUM('NYC Ferry'!H62,)</f>
        <v>1258</v>
      </c>
    </row>
    <row r="45" spans="1:14" ht="13.5" customHeight="1" thickBot="1" x14ac:dyDescent="0.3">
      <c r="A45" s="551"/>
      <c r="B45" s="553"/>
      <c r="C45" s="89"/>
      <c r="D45" s="551"/>
      <c r="E45" s="553"/>
      <c r="F45" s="89"/>
      <c r="G45" s="551"/>
      <c r="H45" s="553"/>
      <c r="I45" s="89"/>
      <c r="J45" s="551"/>
      <c r="K45" s="553"/>
      <c r="L45" s="89"/>
      <c r="M45" s="551"/>
      <c r="N45" s="553"/>
    </row>
    <row r="46" spans="1:14" ht="12.75" customHeight="1" x14ac:dyDescent="0.25">
      <c r="A46" s="550" t="s">
        <v>76</v>
      </c>
      <c r="B46" s="552">
        <f>SUM('NYC Ferry'!P19)</f>
        <v>241</v>
      </c>
      <c r="C46" s="89"/>
      <c r="D46" s="550" t="s">
        <v>76</v>
      </c>
      <c r="E46" s="552">
        <f>SUM('NYC Ferry'!P30)</f>
        <v>952</v>
      </c>
      <c r="F46" s="89"/>
      <c r="G46" s="550" t="s">
        <v>76</v>
      </c>
      <c r="H46" s="552">
        <f>SUM('NYC Ferry'!P41)</f>
        <v>816</v>
      </c>
      <c r="I46" s="89"/>
      <c r="J46" s="550" t="s">
        <v>76</v>
      </c>
      <c r="K46" s="552">
        <f>SUM('NYC Ferry'!P52)</f>
        <v>875</v>
      </c>
      <c r="L46" s="89"/>
      <c r="M46" s="550" t="s">
        <v>76</v>
      </c>
      <c r="N46" s="552">
        <f>SUM('NYC Ferry'!P62)</f>
        <v>899</v>
      </c>
    </row>
    <row r="47" spans="1:14" ht="13.5" customHeight="1" thickBot="1" x14ac:dyDescent="0.3">
      <c r="A47" s="551"/>
      <c r="B47" s="553"/>
      <c r="C47" s="89"/>
      <c r="D47" s="551"/>
      <c r="E47" s="553"/>
      <c r="F47" s="89"/>
      <c r="G47" s="551"/>
      <c r="H47" s="553"/>
      <c r="I47" s="89"/>
      <c r="J47" s="551"/>
      <c r="K47" s="553"/>
      <c r="L47" s="89"/>
      <c r="M47" s="551"/>
      <c r="N47" s="553"/>
    </row>
    <row r="48" spans="1:14" ht="13.5" customHeight="1" x14ac:dyDescent="0.25">
      <c r="A48" s="550" t="s">
        <v>102</v>
      </c>
      <c r="B48" s="552">
        <f>'New York Water Taxi'!K19</f>
        <v>59</v>
      </c>
      <c r="C48" s="89"/>
      <c r="D48" s="550" t="s">
        <v>102</v>
      </c>
      <c r="E48" s="552">
        <f>'New York Water Taxi'!K30</f>
        <v>281</v>
      </c>
      <c r="F48" s="89"/>
      <c r="G48" s="550" t="s">
        <v>102</v>
      </c>
      <c r="H48" s="552">
        <f>SUM('New York Water Taxi'!K41)</f>
        <v>245</v>
      </c>
      <c r="I48" s="89"/>
      <c r="J48" s="550" t="s">
        <v>102</v>
      </c>
      <c r="K48" s="552">
        <f>'New York Water Taxi'!K52</f>
        <v>226</v>
      </c>
      <c r="L48" s="89"/>
      <c r="M48" s="550" t="s">
        <v>102</v>
      </c>
      <c r="N48" s="552">
        <f>SUM('New York Water Taxi'!K63)</f>
        <v>235</v>
      </c>
    </row>
    <row r="49" spans="1:14" ht="13.5" customHeight="1" thickBot="1" x14ac:dyDescent="0.3">
      <c r="A49" s="551"/>
      <c r="B49" s="553"/>
      <c r="C49" s="89"/>
      <c r="D49" s="551"/>
      <c r="E49" s="553"/>
      <c r="F49" s="89"/>
      <c r="G49" s="551"/>
      <c r="H49" s="559"/>
      <c r="I49" s="89"/>
      <c r="J49" s="551"/>
      <c r="K49" s="559"/>
      <c r="L49" s="89"/>
      <c r="M49" s="551"/>
      <c r="N49" s="559"/>
    </row>
    <row r="50" spans="1:14" ht="13.5" customHeight="1" x14ac:dyDescent="0.25">
      <c r="A50" s="562" t="s">
        <v>109</v>
      </c>
      <c r="B50" s="552">
        <f>SUM('NYC Ferry'!K19,'NYC Ferry'!Q19,'New York Water Taxi'!I19)</f>
        <v>447</v>
      </c>
      <c r="C50" s="89"/>
      <c r="D50" s="562" t="s">
        <v>109</v>
      </c>
      <c r="E50" s="552">
        <f>SUM('NYC Ferry'!K30,'NYC Ferry'!Q30,'New York Water Taxi'!I30)</f>
        <v>2294</v>
      </c>
      <c r="F50" s="89"/>
      <c r="G50" s="562" t="s">
        <v>109</v>
      </c>
      <c r="H50" s="552">
        <f>SUM('NYC Ferry'!K41,'NYC Ferry'!Q41,'New York Water Taxi'!I41)</f>
        <v>2306</v>
      </c>
      <c r="I50" s="89"/>
      <c r="J50" s="562" t="s">
        <v>109</v>
      </c>
      <c r="K50" s="552">
        <f>SUM('NYC Ferry'!K52,'NYC Ferry'!Q52,'New York Water Taxi'!I52)</f>
        <v>2379</v>
      </c>
      <c r="L50" s="89"/>
      <c r="M50" s="562" t="s">
        <v>109</v>
      </c>
      <c r="N50" s="552">
        <f>SUM('NYC Ferry'!K62,'NYC Ferry'!Q62,'New York Water Taxi'!I63)</f>
        <v>1621</v>
      </c>
    </row>
    <row r="51" spans="1:14" ht="13.5" customHeight="1" thickBot="1" x14ac:dyDescent="0.3">
      <c r="A51" s="563"/>
      <c r="B51" s="553"/>
      <c r="C51" s="89"/>
      <c r="D51" s="563"/>
      <c r="E51" s="553"/>
      <c r="F51" s="89"/>
      <c r="G51" s="563"/>
      <c r="H51" s="561"/>
      <c r="I51" s="89"/>
      <c r="J51" s="563"/>
      <c r="K51" s="561"/>
      <c r="L51" s="89"/>
      <c r="M51" s="563"/>
      <c r="N51" s="561"/>
    </row>
    <row r="52" spans="1:14" ht="13.5" customHeight="1" x14ac:dyDescent="0.25">
      <c r="A52" s="550" t="s">
        <v>83</v>
      </c>
      <c r="B52" s="552">
        <f>SUM('NYC Ferry'!AE19)</f>
        <v>251</v>
      </c>
      <c r="C52" s="89"/>
      <c r="D52" s="550" t="s">
        <v>83</v>
      </c>
      <c r="E52" s="552">
        <f>SUM('NYC Ferry'!AE30)</f>
        <v>1156</v>
      </c>
      <c r="F52" s="89"/>
      <c r="G52" s="550" t="s">
        <v>83</v>
      </c>
      <c r="H52" s="560">
        <f>SUM('NYC Ferry'!AE41)</f>
        <v>1063</v>
      </c>
      <c r="I52" s="89"/>
      <c r="J52" s="550" t="s">
        <v>83</v>
      </c>
      <c r="K52" s="560">
        <f>SUM('NYC Ferry'!AE52)</f>
        <v>1034</v>
      </c>
      <c r="L52" s="89"/>
      <c r="M52" s="550" t="s">
        <v>83</v>
      </c>
      <c r="N52" s="560">
        <f>SUM('NYC Ferry'!AE62)</f>
        <v>661</v>
      </c>
    </row>
    <row r="53" spans="1:14" ht="13.5" customHeight="1" thickBot="1" x14ac:dyDescent="0.3">
      <c r="A53" s="551"/>
      <c r="B53" s="553"/>
      <c r="C53" s="89"/>
      <c r="D53" s="551"/>
      <c r="E53" s="553"/>
      <c r="F53" s="89"/>
      <c r="G53" s="551"/>
      <c r="H53" s="561"/>
      <c r="I53" s="89"/>
      <c r="J53" s="551"/>
      <c r="K53" s="561"/>
      <c r="L53" s="89"/>
      <c r="M53" s="551"/>
      <c r="N53" s="561"/>
    </row>
    <row r="54" spans="1:14" ht="13.5" customHeight="1" x14ac:dyDescent="0.25">
      <c r="A54" s="550" t="s">
        <v>84</v>
      </c>
      <c r="B54" s="552">
        <f>SUM('NYC Ferry'!AD19)</f>
        <v>85</v>
      </c>
      <c r="C54" s="89"/>
      <c r="D54" s="550" t="s">
        <v>84</v>
      </c>
      <c r="E54" s="552">
        <f>SUM('NYC Ferry'!AD30)</f>
        <v>306</v>
      </c>
      <c r="F54" s="89"/>
      <c r="G54" s="550" t="s">
        <v>84</v>
      </c>
      <c r="H54" s="560">
        <f>SUM('NYC Ferry'!AD41)</f>
        <v>296</v>
      </c>
      <c r="I54" s="89"/>
      <c r="J54" s="550" t="s">
        <v>84</v>
      </c>
      <c r="K54" s="560">
        <f>SUM('NYC Ferry'!AD52)</f>
        <v>245</v>
      </c>
      <c r="L54" s="89"/>
      <c r="M54" s="550" t="s">
        <v>84</v>
      </c>
      <c r="N54" s="560">
        <f>SUM('NYC Ferry'!AD62)</f>
        <v>221</v>
      </c>
    </row>
    <row r="55" spans="1:14" ht="13.5" customHeight="1" thickBot="1" x14ac:dyDescent="0.3">
      <c r="A55" s="551"/>
      <c r="B55" s="553"/>
      <c r="C55" s="89"/>
      <c r="D55" s="551"/>
      <c r="E55" s="553"/>
      <c r="F55" s="89"/>
      <c r="G55" s="551"/>
      <c r="H55" s="561"/>
      <c r="I55" s="89"/>
      <c r="J55" s="551"/>
      <c r="K55" s="561"/>
      <c r="L55" s="89"/>
      <c r="M55" s="551"/>
      <c r="N55" s="561"/>
    </row>
    <row r="56" spans="1:14" ht="13.5" customHeight="1" x14ac:dyDescent="0.25">
      <c r="A56" s="550" t="s">
        <v>86</v>
      </c>
      <c r="B56" s="552">
        <f>SUM('NYC Ferry'!AB19)</f>
        <v>658</v>
      </c>
      <c r="C56" s="89"/>
      <c r="D56" s="550" t="s">
        <v>86</v>
      </c>
      <c r="E56" s="552">
        <f>SUM('NYC Ferry'!AB30)</f>
        <v>3276</v>
      </c>
      <c r="F56" s="89"/>
      <c r="G56" s="550" t="s">
        <v>86</v>
      </c>
      <c r="H56" s="560">
        <f>SUM('NYC Ferry'!AB41)</f>
        <v>3065</v>
      </c>
      <c r="I56" s="89"/>
      <c r="J56" s="550" t="s">
        <v>86</v>
      </c>
      <c r="K56" s="560">
        <f>SUM('NYC Ferry'!AB52)</f>
        <v>3178</v>
      </c>
      <c r="L56" s="89"/>
      <c r="M56" s="550" t="s">
        <v>86</v>
      </c>
      <c r="N56" s="560">
        <f>SUM('NYC Ferry'!AB62)</f>
        <v>2462</v>
      </c>
    </row>
    <row r="57" spans="1:14" ht="13.5" customHeight="1" thickBot="1" x14ac:dyDescent="0.3">
      <c r="A57" s="551"/>
      <c r="B57" s="553"/>
      <c r="C57" s="89"/>
      <c r="D57" s="551"/>
      <c r="E57" s="553"/>
      <c r="F57" s="89"/>
      <c r="G57" s="551"/>
      <c r="H57" s="561"/>
      <c r="I57" s="89"/>
      <c r="J57" s="551"/>
      <c r="K57" s="561"/>
      <c r="L57" s="89"/>
      <c r="M57" s="551"/>
      <c r="N57" s="561"/>
    </row>
    <row r="58" spans="1:14" ht="13.5" customHeight="1" x14ac:dyDescent="0.25">
      <c r="A58" s="550" t="s">
        <v>85</v>
      </c>
      <c r="B58" s="552">
        <f>SUM('NYC Ferry'!AA19)</f>
        <v>404</v>
      </c>
      <c r="C58" s="89"/>
      <c r="D58" s="550" t="s">
        <v>85</v>
      </c>
      <c r="E58" s="552">
        <f>SUM('NYC Ferry'!AA30)</f>
        <v>2144</v>
      </c>
      <c r="F58" s="89"/>
      <c r="G58" s="550" t="s">
        <v>85</v>
      </c>
      <c r="H58" s="560">
        <f>SUM('NYC Ferry'!AA41)</f>
        <v>1527</v>
      </c>
      <c r="I58" s="89"/>
      <c r="J58" s="550" t="s">
        <v>85</v>
      </c>
      <c r="K58" s="560">
        <f>SUM('NYC Ferry'!AA52)</f>
        <v>1556</v>
      </c>
      <c r="L58" s="89"/>
      <c r="M58" s="550" t="s">
        <v>85</v>
      </c>
      <c r="N58" s="560">
        <f>SUM('NYC Ferry'!AA62)</f>
        <v>1326</v>
      </c>
    </row>
    <row r="59" spans="1:14" ht="13.5" customHeight="1" thickBot="1" x14ac:dyDescent="0.3">
      <c r="A59" s="551"/>
      <c r="B59" s="553"/>
      <c r="C59" s="89"/>
      <c r="D59" s="551"/>
      <c r="E59" s="553"/>
      <c r="F59" s="89"/>
      <c r="G59" s="551"/>
      <c r="H59" s="561"/>
      <c r="I59" s="89"/>
      <c r="J59" s="551"/>
      <c r="K59" s="561"/>
      <c r="L59" s="89"/>
      <c r="M59" s="551"/>
      <c r="N59" s="561"/>
    </row>
    <row r="60" spans="1:14" ht="12.75" customHeight="1" x14ac:dyDescent="0.25">
      <c r="A60" s="550" t="s">
        <v>13</v>
      </c>
      <c r="B60" s="552">
        <f>SUM('NYC Ferry'!O19)</f>
        <v>143</v>
      </c>
      <c r="C60" s="89"/>
      <c r="D60" s="550" t="s">
        <v>13</v>
      </c>
      <c r="E60" s="552">
        <f>'NYC Ferry'!O30</f>
        <v>690</v>
      </c>
      <c r="F60" s="89"/>
      <c r="G60" s="550" t="s">
        <v>13</v>
      </c>
      <c r="H60" s="552">
        <f>'NYC Ferry'!O41</f>
        <v>674</v>
      </c>
      <c r="I60" s="89"/>
      <c r="J60" s="550" t="s">
        <v>13</v>
      </c>
      <c r="K60" s="552">
        <f>'NYC Ferry'!O52</f>
        <v>592</v>
      </c>
      <c r="L60" s="89"/>
      <c r="M60" s="550" t="s">
        <v>13</v>
      </c>
      <c r="N60" s="552">
        <f>SUM('NYC Ferry'!O62)</f>
        <v>449</v>
      </c>
    </row>
    <row r="61" spans="1:14" ht="13.5" customHeight="1" thickBot="1" x14ac:dyDescent="0.3">
      <c r="A61" s="551"/>
      <c r="B61" s="553"/>
      <c r="C61" s="89"/>
      <c r="D61" s="551"/>
      <c r="E61" s="553"/>
      <c r="F61" s="89"/>
      <c r="G61" s="551"/>
      <c r="H61" s="553"/>
      <c r="I61" s="89"/>
      <c r="J61" s="551"/>
      <c r="K61" s="553"/>
      <c r="L61" s="89"/>
      <c r="M61" s="551"/>
      <c r="N61" s="553"/>
    </row>
    <row r="62" spans="1:14" ht="13.5" customHeight="1" x14ac:dyDescent="0.25">
      <c r="A62" s="558" t="s">
        <v>31</v>
      </c>
      <c r="B62" s="552">
        <f>'NYC Ferry'!AI19</f>
        <v>0</v>
      </c>
      <c r="C62" s="89"/>
      <c r="D62" s="558" t="s">
        <v>31</v>
      </c>
      <c r="E62" s="552">
        <f>'NYC Ferry'!AI30</f>
        <v>0</v>
      </c>
      <c r="F62" s="89"/>
      <c r="G62" s="558" t="s">
        <v>31</v>
      </c>
      <c r="H62" s="559">
        <f>'NYC Ferry'!AI41</f>
        <v>0</v>
      </c>
      <c r="I62" s="89"/>
      <c r="J62" s="558" t="s">
        <v>31</v>
      </c>
      <c r="K62" s="559">
        <f>'NYC Ferry'!AI52</f>
        <v>0</v>
      </c>
      <c r="L62" s="89"/>
      <c r="M62" s="558" t="s">
        <v>31</v>
      </c>
      <c r="N62" s="559">
        <f>SUM('NYC Ferry'!AI62)</f>
        <v>0</v>
      </c>
    </row>
    <row r="63" spans="1:14" ht="13.5" customHeight="1" thickBot="1" x14ac:dyDescent="0.3">
      <c r="A63" s="551"/>
      <c r="B63" s="553"/>
      <c r="C63" s="89"/>
      <c r="D63" s="551"/>
      <c r="E63" s="553"/>
      <c r="F63" s="89"/>
      <c r="G63" s="551"/>
      <c r="H63" s="553"/>
      <c r="I63" s="89"/>
      <c r="J63" s="551"/>
      <c r="K63" s="553"/>
      <c r="L63" s="89"/>
      <c r="M63" s="551"/>
      <c r="N63" s="553"/>
    </row>
    <row r="64" spans="1:14" ht="13.5" customHeight="1" x14ac:dyDescent="0.25">
      <c r="A64" s="550" t="s">
        <v>75</v>
      </c>
      <c r="B64" s="552">
        <f>'NYC Ferry'!R19</f>
        <v>194</v>
      </c>
      <c r="C64" s="89"/>
      <c r="D64" s="550" t="s">
        <v>75</v>
      </c>
      <c r="E64" s="552">
        <f>'NYC Ferry'!R30</f>
        <v>771</v>
      </c>
      <c r="F64" s="89"/>
      <c r="G64" s="550" t="s">
        <v>75</v>
      </c>
      <c r="H64" s="559">
        <f>'NYC Ferry'!R41</f>
        <v>744</v>
      </c>
      <c r="I64" s="89"/>
      <c r="J64" s="550" t="s">
        <v>75</v>
      </c>
      <c r="K64" s="559">
        <f>'NYC Ferry'!R52</f>
        <v>632</v>
      </c>
      <c r="L64" s="89"/>
      <c r="M64" s="550" t="s">
        <v>75</v>
      </c>
      <c r="N64" s="559">
        <f>SUM('NYC Ferry'!R62)</f>
        <v>691</v>
      </c>
    </row>
    <row r="65" spans="1:14" ht="13.5" customHeight="1" thickBot="1" x14ac:dyDescent="0.3">
      <c r="A65" s="551"/>
      <c r="B65" s="553"/>
      <c r="C65" s="89"/>
      <c r="D65" s="551"/>
      <c r="E65" s="553"/>
      <c r="F65" s="89"/>
      <c r="G65" s="551"/>
      <c r="H65" s="553"/>
      <c r="I65" s="89"/>
      <c r="J65" s="551"/>
      <c r="K65" s="553"/>
      <c r="L65" s="89"/>
      <c r="M65" s="551"/>
      <c r="N65" s="553"/>
    </row>
    <row r="66" spans="1:14" ht="13.5" customHeight="1" x14ac:dyDescent="0.25">
      <c r="A66" s="558" t="s">
        <v>70</v>
      </c>
      <c r="B66" s="552">
        <f>'NYC Ferry'!L19</f>
        <v>552</v>
      </c>
      <c r="C66" s="89"/>
      <c r="D66" s="558" t="s">
        <v>70</v>
      </c>
      <c r="E66" s="552">
        <f>'NYC Ferry'!L30</f>
        <v>2813</v>
      </c>
      <c r="F66" s="89"/>
      <c r="G66" s="558" t="s">
        <v>70</v>
      </c>
      <c r="H66" s="559">
        <f>'NYC Ferry'!L41</f>
        <v>2688</v>
      </c>
      <c r="I66" s="89"/>
      <c r="J66" s="558" t="s">
        <v>70</v>
      </c>
      <c r="K66" s="559">
        <f>'NYC Ferry'!L52</f>
        <v>2639</v>
      </c>
      <c r="L66" s="89"/>
      <c r="M66" s="558" t="s">
        <v>70</v>
      </c>
      <c r="N66" s="559">
        <f>SUM('NYC Ferry'!L62)</f>
        <v>2358</v>
      </c>
    </row>
    <row r="67" spans="1:14" ht="13.5" customHeight="1" thickBot="1" x14ac:dyDescent="0.3">
      <c r="A67" s="551"/>
      <c r="B67" s="553"/>
      <c r="C67" s="89"/>
      <c r="D67" s="551"/>
      <c r="E67" s="553"/>
      <c r="F67" s="89"/>
      <c r="G67" s="551"/>
      <c r="H67" s="553"/>
      <c r="I67" s="89"/>
      <c r="J67" s="551"/>
      <c r="K67" s="553"/>
      <c r="L67" s="89"/>
      <c r="M67" s="551"/>
      <c r="N67" s="553"/>
    </row>
    <row r="68" spans="1:14" ht="13.5" customHeight="1" x14ac:dyDescent="0.25">
      <c r="A68" s="558" t="s">
        <v>77</v>
      </c>
      <c r="B68" s="552">
        <f>SUM('NYC Ferry'!X19)</f>
        <v>582</v>
      </c>
      <c r="C68" s="89"/>
      <c r="D68" s="558" t="s">
        <v>77</v>
      </c>
      <c r="E68" s="552">
        <f>SUM('NYC Ferry'!X30)</f>
        <v>2598</v>
      </c>
      <c r="F68" s="89"/>
      <c r="G68" s="558" t="s">
        <v>77</v>
      </c>
      <c r="H68" s="559">
        <f>SUM('NYC Ferry'!X41)</f>
        <v>2172</v>
      </c>
      <c r="I68" s="89"/>
      <c r="J68" s="558" t="s">
        <v>77</v>
      </c>
      <c r="K68" s="559">
        <f>SUM('NYC Ferry'!X52)</f>
        <v>2256</v>
      </c>
      <c r="L68" s="89"/>
      <c r="M68" s="558" t="s">
        <v>77</v>
      </c>
      <c r="N68" s="559">
        <f>SUM('NYC Ferry'!X62)</f>
        <v>1880</v>
      </c>
    </row>
    <row r="69" spans="1:14" ht="13.5" customHeight="1" thickBot="1" x14ac:dyDescent="0.3">
      <c r="A69" s="551"/>
      <c r="B69" s="553"/>
      <c r="C69" s="89"/>
      <c r="D69" s="551"/>
      <c r="E69" s="553"/>
      <c r="F69" s="89"/>
      <c r="G69" s="551"/>
      <c r="H69" s="553"/>
      <c r="I69" s="89"/>
      <c r="J69" s="551"/>
      <c r="K69" s="553"/>
      <c r="L69" s="89"/>
      <c r="M69" s="551"/>
      <c r="N69" s="553"/>
    </row>
    <row r="70" spans="1:14" ht="13.5" customHeight="1" x14ac:dyDescent="0.25">
      <c r="A70" s="558" t="s">
        <v>78</v>
      </c>
      <c r="B70" s="552">
        <f>SUM('NYC Ferry'!W19)</f>
        <v>416</v>
      </c>
      <c r="C70" s="89"/>
      <c r="D70" s="558" t="s">
        <v>78</v>
      </c>
      <c r="E70" s="552">
        <f>SUM('NYC Ferry'!W30)</f>
        <v>1760</v>
      </c>
      <c r="F70" s="89"/>
      <c r="G70" s="558" t="s">
        <v>78</v>
      </c>
      <c r="H70" s="559">
        <f>SUM('NYC Ferry'!W41)</f>
        <v>1598</v>
      </c>
      <c r="I70" s="89"/>
      <c r="J70" s="558" t="s">
        <v>78</v>
      </c>
      <c r="K70" s="559">
        <f>SUM('NYC Ferry'!W52)</f>
        <v>1583</v>
      </c>
      <c r="L70" s="89"/>
      <c r="M70" s="558" t="s">
        <v>78</v>
      </c>
      <c r="N70" s="559">
        <f>SUM('NYC Ferry'!W62)</f>
        <v>1429</v>
      </c>
    </row>
    <row r="71" spans="1:14" ht="13.5" customHeight="1" thickBot="1" x14ac:dyDescent="0.3">
      <c r="A71" s="551"/>
      <c r="B71" s="553"/>
      <c r="C71" s="89"/>
      <c r="D71" s="551"/>
      <c r="E71" s="553"/>
      <c r="F71" s="89"/>
      <c r="G71" s="551"/>
      <c r="H71" s="553"/>
      <c r="I71" s="89"/>
      <c r="J71" s="551"/>
      <c r="K71" s="553"/>
      <c r="L71" s="89"/>
      <c r="M71" s="551"/>
      <c r="N71" s="553"/>
    </row>
    <row r="72" spans="1:14" ht="13.5" customHeight="1" x14ac:dyDescent="0.25">
      <c r="A72" s="550" t="s">
        <v>106</v>
      </c>
      <c r="B72" s="552">
        <f>'NYC Ferry'!T19</f>
        <v>361</v>
      </c>
      <c r="C72" s="89"/>
      <c r="D72" s="550" t="s">
        <v>106</v>
      </c>
      <c r="E72" s="552">
        <f>'NYC Ferry'!T30</f>
        <v>1794</v>
      </c>
      <c r="F72" s="89"/>
      <c r="G72" s="550" t="s">
        <v>106</v>
      </c>
      <c r="H72" s="552">
        <f>'NYC Ferry'!T41</f>
        <v>1402</v>
      </c>
      <c r="I72" s="89"/>
      <c r="J72" s="550" t="s">
        <v>106</v>
      </c>
      <c r="K72" s="552">
        <f>'NYC Ferry'!T52</f>
        <v>1495</v>
      </c>
      <c r="L72" s="89"/>
      <c r="M72" s="550" t="s">
        <v>106</v>
      </c>
      <c r="N72" s="552">
        <f>SUM('NYC Ferry'!T62)</f>
        <v>1033</v>
      </c>
    </row>
    <row r="73" spans="1:14" ht="13.5" customHeight="1" thickBot="1" x14ac:dyDescent="0.3">
      <c r="A73" s="551"/>
      <c r="B73" s="553"/>
      <c r="C73" s="89"/>
      <c r="D73" s="551"/>
      <c r="E73" s="553"/>
      <c r="F73" s="89"/>
      <c r="G73" s="551"/>
      <c r="H73" s="553"/>
      <c r="I73" s="89"/>
      <c r="J73" s="551"/>
      <c r="K73" s="553"/>
      <c r="L73" s="89"/>
      <c r="M73" s="551"/>
      <c r="N73" s="553"/>
    </row>
    <row r="74" spans="1:14" ht="13.5" customHeight="1" x14ac:dyDescent="0.25">
      <c r="A74" s="550" t="s">
        <v>64</v>
      </c>
      <c r="B74" s="552">
        <f>SUM('NYC Ferry'!V19,'NYC Ferry'!AG19)</f>
        <v>903</v>
      </c>
      <c r="C74" s="89"/>
      <c r="D74" s="550" t="s">
        <v>64</v>
      </c>
      <c r="E74" s="552">
        <f>SUM(,'NYC Ferry'!V30, 'NYC Ferry'!AG30)</f>
        <v>3950</v>
      </c>
      <c r="F74" s="89"/>
      <c r="G74" s="550" t="s">
        <v>64</v>
      </c>
      <c r="H74" s="552">
        <f>SUM(,'NYC Ferry'!V41,'NYC Ferry'!AG41)</f>
        <v>3666</v>
      </c>
      <c r="I74" s="89"/>
      <c r="J74" s="550" t="s">
        <v>64</v>
      </c>
      <c r="K74" s="552">
        <f>SUM('NYC Ferry'!V52,'NYC Ferry'!AG52)</f>
        <v>3785</v>
      </c>
      <c r="L74" s="89"/>
      <c r="M74" s="550" t="s">
        <v>64</v>
      </c>
      <c r="N74" s="552">
        <f>SUM('NYC Ferry'!V62,'NYC Ferry'!AG62)</f>
        <v>2760</v>
      </c>
    </row>
    <row r="75" spans="1:14" ht="13.5" customHeight="1" thickBot="1" x14ac:dyDescent="0.3">
      <c r="A75" s="551"/>
      <c r="B75" s="553"/>
      <c r="C75" s="89"/>
      <c r="D75" s="551"/>
      <c r="E75" s="553"/>
      <c r="F75" s="89"/>
      <c r="G75" s="551"/>
      <c r="H75" s="553"/>
      <c r="I75" s="89"/>
      <c r="J75" s="551"/>
      <c r="K75" s="553"/>
      <c r="L75" s="89"/>
      <c r="M75" s="551"/>
      <c r="N75" s="553"/>
    </row>
    <row r="76" spans="1:14" ht="13.5" customHeight="1" x14ac:dyDescent="0.25">
      <c r="A76" s="608" t="s">
        <v>19</v>
      </c>
      <c r="B76" s="556">
        <f>SUM(B20:B75)</f>
        <v>50340</v>
      </c>
      <c r="C76" s="89"/>
      <c r="D76" s="608" t="s">
        <v>19</v>
      </c>
      <c r="E76" s="556">
        <f>SUM(E20:E75)</f>
        <v>244842</v>
      </c>
      <c r="F76" s="89"/>
      <c r="G76" s="608" t="s">
        <v>19</v>
      </c>
      <c r="H76" s="556">
        <f>SUM(H20:H75)</f>
        <v>225232</v>
      </c>
      <c r="I76" s="89"/>
      <c r="J76" s="554" t="s">
        <v>19</v>
      </c>
      <c r="K76" s="556">
        <f>SUM(K20:K75)</f>
        <v>229113</v>
      </c>
      <c r="L76" s="89"/>
      <c r="M76" s="554" t="s">
        <v>19</v>
      </c>
      <c r="N76" s="556">
        <f>SUM(N20:N75)</f>
        <v>163070</v>
      </c>
    </row>
    <row r="77" spans="1:14" ht="13.5" customHeight="1" thickBot="1" x14ac:dyDescent="0.3">
      <c r="A77" s="555"/>
      <c r="B77" s="557"/>
      <c r="C77" s="89"/>
      <c r="D77" s="555"/>
      <c r="E77" s="557"/>
      <c r="F77" s="89"/>
      <c r="G77" s="555"/>
      <c r="H77" s="557"/>
      <c r="I77" s="89"/>
      <c r="J77" s="555"/>
      <c r="K77" s="557"/>
      <c r="L77" s="89"/>
      <c r="M77" s="555"/>
      <c r="N77" s="557"/>
    </row>
    <row r="78" spans="1:14" x14ac:dyDescent="0.25">
      <c r="C78" s="89"/>
      <c r="F78" s="89"/>
      <c r="I78" s="89"/>
      <c r="L78" s="89"/>
    </row>
    <row r="79" spans="1:14" x14ac:dyDescent="0.25">
      <c r="C79" s="89"/>
      <c r="F79" s="89"/>
      <c r="I79" s="89"/>
      <c r="L79" s="89"/>
    </row>
  </sheetData>
  <mergeCells count="388">
    <mergeCell ref="H22:H23"/>
    <mergeCell ref="J22:J23"/>
    <mergeCell ref="K22:K23"/>
    <mergeCell ref="J36:J37"/>
    <mergeCell ref="K36:K37"/>
    <mergeCell ref="E60:E61"/>
    <mergeCell ref="G60:G61"/>
    <mergeCell ref="H60:H61"/>
    <mergeCell ref="J60:J61"/>
    <mergeCell ref="K60:K61"/>
    <mergeCell ref="G32:G33"/>
    <mergeCell ref="H32:H33"/>
    <mergeCell ref="J32:J33"/>
    <mergeCell ref="K32:K33"/>
    <mergeCell ref="K42:K43"/>
    <mergeCell ref="H38:H39"/>
    <mergeCell ref="J38:J39"/>
    <mergeCell ref="G34:G35"/>
    <mergeCell ref="J34:J35"/>
    <mergeCell ref="G58:G59"/>
    <mergeCell ref="H56:H57"/>
    <mergeCell ref="H58:H59"/>
    <mergeCell ref="J56:J57"/>
    <mergeCell ref="J58:J59"/>
    <mergeCell ref="J4:J5"/>
    <mergeCell ref="K4:K5"/>
    <mergeCell ref="A4:A5"/>
    <mergeCell ref="B4:B5"/>
    <mergeCell ref="D4:D5"/>
    <mergeCell ref="G4:G5"/>
    <mergeCell ref="H4:H5"/>
    <mergeCell ref="A6:A7"/>
    <mergeCell ref="E4:E5"/>
    <mergeCell ref="D6:D7"/>
    <mergeCell ref="E6:E7"/>
    <mergeCell ref="G6:G7"/>
    <mergeCell ref="H6:H7"/>
    <mergeCell ref="J6:J7"/>
    <mergeCell ref="K6:K7"/>
    <mergeCell ref="B6:B7"/>
    <mergeCell ref="A1:B1"/>
    <mergeCell ref="D1:E1"/>
    <mergeCell ref="G1:H1"/>
    <mergeCell ref="J1:K1"/>
    <mergeCell ref="A2:B2"/>
    <mergeCell ref="D2:E2"/>
    <mergeCell ref="A3:B3"/>
    <mergeCell ref="D3:E3"/>
    <mergeCell ref="G3:H3"/>
    <mergeCell ref="J3:K3"/>
    <mergeCell ref="G2:H2"/>
    <mergeCell ref="J2:K2"/>
    <mergeCell ref="A8:A9"/>
    <mergeCell ref="B8:B9"/>
    <mergeCell ref="D8:D9"/>
    <mergeCell ref="E8:E9"/>
    <mergeCell ref="G8:G9"/>
    <mergeCell ref="H8:H9"/>
    <mergeCell ref="J8:J9"/>
    <mergeCell ref="K8:K9"/>
    <mergeCell ref="A10:A11"/>
    <mergeCell ref="B10:B11"/>
    <mergeCell ref="D10:D11"/>
    <mergeCell ref="E10:E11"/>
    <mergeCell ref="G10:G11"/>
    <mergeCell ref="H10:H11"/>
    <mergeCell ref="J10:J11"/>
    <mergeCell ref="K10:K11"/>
    <mergeCell ref="A16:A17"/>
    <mergeCell ref="B16:B17"/>
    <mergeCell ref="D16:D17"/>
    <mergeCell ref="E16:E17"/>
    <mergeCell ref="G16:G17"/>
    <mergeCell ref="H16:H17"/>
    <mergeCell ref="K16:K17"/>
    <mergeCell ref="J16:J17"/>
    <mergeCell ref="A12:A13"/>
    <mergeCell ref="B12:B13"/>
    <mergeCell ref="D12:D13"/>
    <mergeCell ref="E12:E13"/>
    <mergeCell ref="G12:G13"/>
    <mergeCell ref="H12:H13"/>
    <mergeCell ref="J12:J13"/>
    <mergeCell ref="K12:K13"/>
    <mergeCell ref="A14:A15"/>
    <mergeCell ref="B14:B15"/>
    <mergeCell ref="D14:D15"/>
    <mergeCell ref="E14:E15"/>
    <mergeCell ref="K14:K15"/>
    <mergeCell ref="G14:G15"/>
    <mergeCell ref="H14:H15"/>
    <mergeCell ref="J14:J15"/>
    <mergeCell ref="A22:A23"/>
    <mergeCell ref="D22:D23"/>
    <mergeCell ref="G22:G23"/>
    <mergeCell ref="B22:B23"/>
    <mergeCell ref="A24:A25"/>
    <mergeCell ref="B24:B25"/>
    <mergeCell ref="D24:D25"/>
    <mergeCell ref="E24:E25"/>
    <mergeCell ref="G24:G25"/>
    <mergeCell ref="E22:E23"/>
    <mergeCell ref="A19:B19"/>
    <mergeCell ref="D19:E19"/>
    <mergeCell ref="G19:H19"/>
    <mergeCell ref="J19:K19"/>
    <mergeCell ref="B20:B21"/>
    <mergeCell ref="D20:D21"/>
    <mergeCell ref="E20:E21"/>
    <mergeCell ref="G20:G21"/>
    <mergeCell ref="H20:H21"/>
    <mergeCell ref="J20:J21"/>
    <mergeCell ref="K20:K21"/>
    <mergeCell ref="A20:A21"/>
    <mergeCell ref="A30:A31"/>
    <mergeCell ref="B30:B31"/>
    <mergeCell ref="D30:D31"/>
    <mergeCell ref="E30:E31"/>
    <mergeCell ref="G30:G31"/>
    <mergeCell ref="H30:H31"/>
    <mergeCell ref="J30:J31"/>
    <mergeCell ref="K30:K31"/>
    <mergeCell ref="A28:A29"/>
    <mergeCell ref="B28:B29"/>
    <mergeCell ref="D28:D29"/>
    <mergeCell ref="E28:E29"/>
    <mergeCell ref="G28:G29"/>
    <mergeCell ref="H28:H29"/>
    <mergeCell ref="J28:J29"/>
    <mergeCell ref="K28:K29"/>
    <mergeCell ref="A26:A27"/>
    <mergeCell ref="B26:B27"/>
    <mergeCell ref="D26:D27"/>
    <mergeCell ref="E26:E27"/>
    <mergeCell ref="G26:G27"/>
    <mergeCell ref="H26:H27"/>
    <mergeCell ref="J26:J27"/>
    <mergeCell ref="K26:K27"/>
    <mergeCell ref="A42:A43"/>
    <mergeCell ref="B42:B43"/>
    <mergeCell ref="D42:D43"/>
    <mergeCell ref="E42:E43"/>
    <mergeCell ref="G42:G43"/>
    <mergeCell ref="G38:G39"/>
    <mergeCell ref="A40:A41"/>
    <mergeCell ref="B40:B41"/>
    <mergeCell ref="D40:D41"/>
    <mergeCell ref="E40:E41"/>
    <mergeCell ref="G40:G41"/>
    <mergeCell ref="H40:H41"/>
    <mergeCell ref="J40:J41"/>
    <mergeCell ref="K40:K41"/>
    <mergeCell ref="H42:H43"/>
    <mergeCell ref="J42:J43"/>
    <mergeCell ref="A44:A45"/>
    <mergeCell ref="B44:B45"/>
    <mergeCell ref="D44:D45"/>
    <mergeCell ref="E44:E45"/>
    <mergeCell ref="G44:G45"/>
    <mergeCell ref="H44:H45"/>
    <mergeCell ref="J44:J45"/>
    <mergeCell ref="K44:K45"/>
    <mergeCell ref="K38:K39"/>
    <mergeCell ref="A36:A37"/>
    <mergeCell ref="B36:B37"/>
    <mergeCell ref="D36:D37"/>
    <mergeCell ref="E36:E37"/>
    <mergeCell ref="G36:G37"/>
    <mergeCell ref="H36:H37"/>
    <mergeCell ref="A38:A39"/>
    <mergeCell ref="B38:B39"/>
    <mergeCell ref="D38:D39"/>
    <mergeCell ref="E38:E39"/>
    <mergeCell ref="A32:A33"/>
    <mergeCell ref="B32:B33"/>
    <mergeCell ref="D32:D33"/>
    <mergeCell ref="E32:E33"/>
    <mergeCell ref="B66:B67"/>
    <mergeCell ref="D50:D51"/>
    <mergeCell ref="E50:E51"/>
    <mergeCell ref="A46:A47"/>
    <mergeCell ref="B46:B47"/>
    <mergeCell ref="A50:A51"/>
    <mergeCell ref="B50:B51"/>
    <mergeCell ref="A34:A35"/>
    <mergeCell ref="D34:D35"/>
    <mergeCell ref="B34:B35"/>
    <mergeCell ref="E34:E35"/>
    <mergeCell ref="A62:A63"/>
    <mergeCell ref="B62:B63"/>
    <mergeCell ref="D62:D63"/>
    <mergeCell ref="E62:E63"/>
    <mergeCell ref="A60:A61"/>
    <mergeCell ref="B60:B61"/>
    <mergeCell ref="D60:D61"/>
    <mergeCell ref="D46:D47"/>
    <mergeCell ref="E46:E47"/>
    <mergeCell ref="A76:A77"/>
    <mergeCell ref="B76:B77"/>
    <mergeCell ref="D76:D77"/>
    <mergeCell ref="E76:E77"/>
    <mergeCell ref="G76:G77"/>
    <mergeCell ref="H76:H77"/>
    <mergeCell ref="J76:J77"/>
    <mergeCell ref="K76:K77"/>
    <mergeCell ref="K66:K67"/>
    <mergeCell ref="A66:A67"/>
    <mergeCell ref="A70:A71"/>
    <mergeCell ref="B70:B71"/>
    <mergeCell ref="D70:D71"/>
    <mergeCell ref="E70:E71"/>
    <mergeCell ref="G70:G71"/>
    <mergeCell ref="H70:H71"/>
    <mergeCell ref="J70:J71"/>
    <mergeCell ref="K70:K71"/>
    <mergeCell ref="A68:A69"/>
    <mergeCell ref="B68:B69"/>
    <mergeCell ref="D68:D69"/>
    <mergeCell ref="E68:E69"/>
    <mergeCell ref="G68:G69"/>
    <mergeCell ref="H68:H69"/>
    <mergeCell ref="A52:A53"/>
    <mergeCell ref="D52:D53"/>
    <mergeCell ref="A48:A49"/>
    <mergeCell ref="D48:D49"/>
    <mergeCell ref="G48:G49"/>
    <mergeCell ref="J48:J49"/>
    <mergeCell ref="B48:B49"/>
    <mergeCell ref="E48:E49"/>
    <mergeCell ref="H48:H49"/>
    <mergeCell ref="G50:G51"/>
    <mergeCell ref="H50:H51"/>
    <mergeCell ref="J50:J51"/>
    <mergeCell ref="K74:K75"/>
    <mergeCell ref="H74:H75"/>
    <mergeCell ref="E74:E75"/>
    <mergeCell ref="B74:B75"/>
    <mergeCell ref="A54:A55"/>
    <mergeCell ref="G54:G55"/>
    <mergeCell ref="J54:J55"/>
    <mergeCell ref="D54:D55"/>
    <mergeCell ref="H54:H55"/>
    <mergeCell ref="A72:A73"/>
    <mergeCell ref="H66:H67"/>
    <mergeCell ref="J66:J67"/>
    <mergeCell ref="K54:K55"/>
    <mergeCell ref="K56:K57"/>
    <mergeCell ref="K58:K59"/>
    <mergeCell ref="E54:E55"/>
    <mergeCell ref="B54:B55"/>
    <mergeCell ref="A56:A57"/>
    <mergeCell ref="A58:A59"/>
    <mergeCell ref="B56:B57"/>
    <mergeCell ref="A64:A65"/>
    <mergeCell ref="B64:B65"/>
    <mergeCell ref="D64:D65"/>
    <mergeCell ref="E64:E65"/>
    <mergeCell ref="A74:A75"/>
    <mergeCell ref="D74:D75"/>
    <mergeCell ref="G74:G75"/>
    <mergeCell ref="J74:J75"/>
    <mergeCell ref="G64:G65"/>
    <mergeCell ref="H64:H65"/>
    <mergeCell ref="J64:J65"/>
    <mergeCell ref="D66:D67"/>
    <mergeCell ref="E66:E67"/>
    <mergeCell ref="G66:G67"/>
    <mergeCell ref="J68:J69"/>
    <mergeCell ref="D72:D73"/>
    <mergeCell ref="G72:G73"/>
    <mergeCell ref="J72:J73"/>
    <mergeCell ref="H24:H25"/>
    <mergeCell ref="J24:J25"/>
    <mergeCell ref="K24:K25"/>
    <mergeCell ref="H34:H35"/>
    <mergeCell ref="K34:K35"/>
    <mergeCell ref="B72:B73"/>
    <mergeCell ref="G46:G47"/>
    <mergeCell ref="J46:J47"/>
    <mergeCell ref="H46:H47"/>
    <mergeCell ref="K46:K47"/>
    <mergeCell ref="G52:G53"/>
    <mergeCell ref="J52:J53"/>
    <mergeCell ref="B52:B53"/>
    <mergeCell ref="E52:E53"/>
    <mergeCell ref="H52:H53"/>
    <mergeCell ref="K52:K53"/>
    <mergeCell ref="K50:K51"/>
    <mergeCell ref="K48:K49"/>
    <mergeCell ref="B58:B59"/>
    <mergeCell ref="D56:D57"/>
    <mergeCell ref="D58:D59"/>
    <mergeCell ref="E56:E57"/>
    <mergeCell ref="E58:E59"/>
    <mergeCell ref="G56:G57"/>
    <mergeCell ref="K72:K73"/>
    <mergeCell ref="H72:H73"/>
    <mergeCell ref="E72:E73"/>
    <mergeCell ref="H62:H63"/>
    <mergeCell ref="J62:J63"/>
    <mergeCell ref="K62:K63"/>
    <mergeCell ref="G62:G63"/>
    <mergeCell ref="K64:K65"/>
    <mergeCell ref="K68:K69"/>
    <mergeCell ref="P15:P18"/>
    <mergeCell ref="Q15:Q18"/>
    <mergeCell ref="P20:P22"/>
    <mergeCell ref="Q20:Q22"/>
    <mergeCell ref="P24:P26"/>
    <mergeCell ref="Q24:Q26"/>
    <mergeCell ref="P30:P32"/>
    <mergeCell ref="Q30:Q32"/>
    <mergeCell ref="N24:N25"/>
    <mergeCell ref="N28:N29"/>
    <mergeCell ref="M1:N1"/>
    <mergeCell ref="M2:N2"/>
    <mergeCell ref="M3:N3"/>
    <mergeCell ref="M4:M5"/>
    <mergeCell ref="N4:N5"/>
    <mergeCell ref="M6:M7"/>
    <mergeCell ref="N6:N7"/>
    <mergeCell ref="M8:M9"/>
    <mergeCell ref="N8:N9"/>
    <mergeCell ref="M10:M11"/>
    <mergeCell ref="N10:N11"/>
    <mergeCell ref="M12:M13"/>
    <mergeCell ref="N12:N13"/>
    <mergeCell ref="M14:M15"/>
    <mergeCell ref="N14:N15"/>
    <mergeCell ref="M16:M17"/>
    <mergeCell ref="N16:N17"/>
    <mergeCell ref="M19:N19"/>
    <mergeCell ref="M20:M21"/>
    <mergeCell ref="N20:N21"/>
    <mergeCell ref="M22:M23"/>
    <mergeCell ref="N22:N23"/>
    <mergeCell ref="M24:M25"/>
    <mergeCell ref="M26:M27"/>
    <mergeCell ref="N26:N27"/>
    <mergeCell ref="M28:M29"/>
    <mergeCell ref="M30:M31"/>
    <mergeCell ref="N30:N31"/>
    <mergeCell ref="M32:M33"/>
    <mergeCell ref="N32:N33"/>
    <mergeCell ref="M34:M35"/>
    <mergeCell ref="N34:N35"/>
    <mergeCell ref="M36:M37"/>
    <mergeCell ref="N36:N37"/>
    <mergeCell ref="M38:M39"/>
    <mergeCell ref="N38:N39"/>
    <mergeCell ref="M40:M41"/>
    <mergeCell ref="N40:N41"/>
    <mergeCell ref="M42:M43"/>
    <mergeCell ref="N42:N43"/>
    <mergeCell ref="M44:M45"/>
    <mergeCell ref="N44:N45"/>
    <mergeCell ref="M46:M47"/>
    <mergeCell ref="N46:N47"/>
    <mergeCell ref="M48:M49"/>
    <mergeCell ref="N48:N49"/>
    <mergeCell ref="M50:M51"/>
    <mergeCell ref="N50:N51"/>
    <mergeCell ref="M52:M53"/>
    <mergeCell ref="N52:N53"/>
    <mergeCell ref="M54:M55"/>
    <mergeCell ref="N54:N55"/>
    <mergeCell ref="M56:M57"/>
    <mergeCell ref="N56:N57"/>
    <mergeCell ref="M58:M59"/>
    <mergeCell ref="N58:N59"/>
    <mergeCell ref="M60:M61"/>
    <mergeCell ref="N60:N61"/>
    <mergeCell ref="M72:M73"/>
    <mergeCell ref="N72:N73"/>
    <mergeCell ref="M74:M75"/>
    <mergeCell ref="N74:N75"/>
    <mergeCell ref="M76:M77"/>
    <mergeCell ref="N76:N77"/>
    <mergeCell ref="M62:M63"/>
    <mergeCell ref="N62:N63"/>
    <mergeCell ref="M64:M65"/>
    <mergeCell ref="N64:N65"/>
    <mergeCell ref="M66:M67"/>
    <mergeCell ref="N66:N67"/>
    <mergeCell ref="M68:M69"/>
    <mergeCell ref="N68:N69"/>
    <mergeCell ref="M70:M71"/>
    <mergeCell ref="N70:N7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8:L19 A16 C16:D16 F16:G16 I16:J16 L16 A37 L36 A39 C38 L38 A41 A40 L40 A43 A42 L42 A45 C44 L44 A21 A20 L20 A27:A31 L26 A61 A60 A77:D77 A62 C20:D20 C26:D26 C36 E37:F37 E39:F39 F38 E41:F41 F40 E43:F43 F42 E45:F45 F44 A35 E35:F35 F36 H37:I37 H39:I39 I38 H41:I41 I40 H43:I43 I42 H45:I45 I44 H35:I35 I36 K37:L37 K39:L39 K41:L41 K43:L43 K45:L45 K35:L35 C40 C42 C60:D60 C62:D62 F20:G20 F26:G26 F60:G60 F62:G62 I20:J20 I26:J26 I60:J60 I62:J62 L60 L62 A63 I63:L63 A17 I17:L17 I77:J77 A25 A24 C24:D24 F24:G24 I24:J24 L24 C17:G17 A76 C76:D76 F76:G76 I76:J76 L76 C37 C39 C41 C43 C45 C21:L21 C27:L27 C61 C34:C35 C63:G63 C25:L25 C29:L29 C28:D28 F28:G28 C31:L31 C30:D30 F30:G30 I30:L30 F77:G77 L77 L28 I28:J28 E61:L61 F34 I34 L34 A33 C32:C33 E33:F33 H33:I33 K33:L33 F32 I32 L32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32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68"/>
      <c r="C1" s="701" t="s">
        <v>68</v>
      </c>
      <c r="D1" s="701" t="s">
        <v>8</v>
      </c>
      <c r="E1" s="699" t="s">
        <v>19</v>
      </c>
    </row>
    <row r="2" spans="1:6" ht="14.25" customHeight="1" thickBot="1" x14ac:dyDescent="0.3">
      <c r="A2" s="24"/>
      <c r="B2" s="169"/>
      <c r="C2" s="716"/>
      <c r="D2" s="716"/>
      <c r="E2" s="700"/>
    </row>
    <row r="3" spans="1:6" ht="14.25" customHeight="1" x14ac:dyDescent="0.25">
      <c r="A3" s="662" t="s">
        <v>52</v>
      </c>
      <c r="B3" s="687" t="s">
        <v>53</v>
      </c>
      <c r="C3" s="738" t="s">
        <v>65</v>
      </c>
      <c r="D3" s="738" t="s">
        <v>8</v>
      </c>
      <c r="E3" s="700"/>
    </row>
    <row r="4" spans="1:6" ht="15" customHeight="1" thickBot="1" x14ac:dyDescent="0.3">
      <c r="A4" s="686"/>
      <c r="B4" s="688"/>
      <c r="C4" s="713"/>
      <c r="D4" s="713"/>
      <c r="E4" s="700"/>
    </row>
    <row r="5" spans="1:6" s="46" customFormat="1" ht="14.25" thickBot="1" x14ac:dyDescent="0.3">
      <c r="A5" s="25" t="s">
        <v>3</v>
      </c>
      <c r="B5" s="170">
        <v>42856</v>
      </c>
      <c r="C5" s="12"/>
      <c r="D5" s="18"/>
      <c r="E5" s="17">
        <f t="shared" ref="E5:E11" si="0">SUM(C5:D5)</f>
        <v>0</v>
      </c>
    </row>
    <row r="6" spans="1:6" s="46" customFormat="1" ht="14.25" thickBot="1" x14ac:dyDescent="0.3">
      <c r="A6" s="25" t="s">
        <v>4</v>
      </c>
      <c r="B6" s="184">
        <v>42948</v>
      </c>
      <c r="C6" s="12"/>
      <c r="D6" s="18"/>
      <c r="E6" s="17">
        <f t="shared" si="0"/>
        <v>0</v>
      </c>
    </row>
    <row r="7" spans="1:6" s="46" customFormat="1" ht="14.25" thickBot="1" x14ac:dyDescent="0.3">
      <c r="A7" s="25" t="s">
        <v>5</v>
      </c>
      <c r="B7" s="184">
        <f>B6+1</f>
        <v>42949</v>
      </c>
      <c r="C7" s="12"/>
      <c r="D7" s="18"/>
      <c r="E7" s="17">
        <f t="shared" si="0"/>
        <v>0</v>
      </c>
    </row>
    <row r="8" spans="1:6" s="46" customFormat="1" ht="14.25" thickBot="1" x14ac:dyDescent="0.3">
      <c r="A8" s="25" t="s">
        <v>6</v>
      </c>
      <c r="B8" s="184">
        <f>B7+1</f>
        <v>42950</v>
      </c>
      <c r="C8" s="12"/>
      <c r="D8" s="18"/>
      <c r="E8" s="17">
        <f t="shared" si="0"/>
        <v>0</v>
      </c>
      <c r="F8" s="150"/>
    </row>
    <row r="9" spans="1:6" s="46" customFormat="1" ht="14.25" thickBot="1" x14ac:dyDescent="0.3">
      <c r="A9" s="25" t="s">
        <v>0</v>
      </c>
      <c r="B9" s="184">
        <f>B8+1</f>
        <v>42951</v>
      </c>
      <c r="C9" s="12"/>
      <c r="D9" s="18"/>
      <c r="E9" s="17">
        <f t="shared" si="0"/>
        <v>0</v>
      </c>
      <c r="F9" s="150"/>
    </row>
    <row r="10" spans="1:6" s="46" customFormat="1" ht="14.25" customHeight="1" outlineLevel="1" thickBot="1" x14ac:dyDescent="0.3">
      <c r="A10" s="25" t="s">
        <v>1</v>
      </c>
      <c r="B10" s="184">
        <f>B9+1</f>
        <v>42952</v>
      </c>
      <c r="C10" s="18"/>
      <c r="D10" s="18"/>
      <c r="E10" s="17">
        <f t="shared" si="0"/>
        <v>0</v>
      </c>
      <c r="F10" s="150"/>
    </row>
    <row r="11" spans="1:6" s="46" customFormat="1" ht="15" customHeight="1" outlineLevel="1" thickBot="1" x14ac:dyDescent="0.3">
      <c r="A11" s="25" t="s">
        <v>2</v>
      </c>
      <c r="B11" s="184">
        <f>B10+1</f>
        <v>42953</v>
      </c>
      <c r="C11" s="21"/>
      <c r="D11" s="21"/>
      <c r="E11" s="17">
        <f t="shared" si="0"/>
        <v>0</v>
      </c>
      <c r="F11" s="150"/>
    </row>
    <row r="12" spans="1:6" s="47" customFormat="1" ht="15" customHeight="1" outlineLevel="1" thickBot="1" x14ac:dyDescent="0.3">
      <c r="A12" s="158" t="s">
        <v>21</v>
      </c>
      <c r="B12" s="681" t="s">
        <v>24</v>
      </c>
      <c r="C12" s="114">
        <f>SUM(C5:C11)</f>
        <v>0</v>
      </c>
      <c r="D12" s="114">
        <f>SUM(D5:D11)</f>
        <v>0</v>
      </c>
      <c r="E12" s="117">
        <f>SUM(E5:E11)</f>
        <v>0</v>
      </c>
    </row>
    <row r="13" spans="1:6" s="47" customFormat="1" ht="15" customHeight="1" outlineLevel="1" thickBot="1" x14ac:dyDescent="0.3">
      <c r="A13" s="109" t="s">
        <v>23</v>
      </c>
      <c r="B13" s="682"/>
      <c r="C13" s="110" t="e">
        <f>AVERAGE(C5:C11)</f>
        <v>#DIV/0!</v>
      </c>
      <c r="D13" s="110" t="e">
        <f>AVERAGE(D5:D11)</f>
        <v>#DIV/0!</v>
      </c>
      <c r="E13" s="113">
        <f>AVERAGE(E5:E11)</f>
        <v>0</v>
      </c>
    </row>
    <row r="14" spans="1:6" s="47" customFormat="1" ht="15" customHeight="1" thickBot="1" x14ac:dyDescent="0.3">
      <c r="A14" s="26" t="s">
        <v>20</v>
      </c>
      <c r="B14" s="682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7" customFormat="1" ht="15" customHeight="1" thickBot="1" x14ac:dyDescent="0.3">
      <c r="A15" s="26" t="s">
        <v>22</v>
      </c>
      <c r="B15" s="682"/>
      <c r="C15" s="31" t="e">
        <f>AVERAGE(C5:C9)</f>
        <v>#DIV/0!</v>
      </c>
      <c r="D15" s="31" t="e">
        <f>AVERAGE(D5:D9)</f>
        <v>#DIV/0!</v>
      </c>
      <c r="E15" s="31">
        <f>AVERAGE(E5:E9)</f>
        <v>0</v>
      </c>
    </row>
    <row r="16" spans="1:6" s="47" customFormat="1" ht="15" customHeight="1" thickBot="1" x14ac:dyDescent="0.3">
      <c r="A16" s="25" t="s">
        <v>3</v>
      </c>
      <c r="B16" s="170">
        <f>B11+1</f>
        <v>42954</v>
      </c>
      <c r="C16" s="12"/>
      <c r="D16" s="13"/>
      <c r="E16" s="16">
        <f t="shared" ref="E16:E22" si="1">SUM(C16:D16)</f>
        <v>0</v>
      </c>
    </row>
    <row r="17" spans="1:6" s="47" customFormat="1" ht="15" customHeight="1" thickBot="1" x14ac:dyDescent="0.3">
      <c r="A17" s="25" t="s">
        <v>4</v>
      </c>
      <c r="B17" s="171">
        <f t="shared" ref="B17:B22" si="2">B16+1</f>
        <v>42955</v>
      </c>
      <c r="C17" s="12"/>
      <c r="D17" s="19"/>
      <c r="E17" s="17">
        <f t="shared" si="1"/>
        <v>0</v>
      </c>
    </row>
    <row r="18" spans="1:6" s="47" customFormat="1" ht="15" customHeight="1" thickBot="1" x14ac:dyDescent="0.3">
      <c r="A18" s="25" t="s">
        <v>5</v>
      </c>
      <c r="B18" s="171">
        <f t="shared" si="2"/>
        <v>42956</v>
      </c>
      <c r="C18" s="12"/>
      <c r="D18" s="19"/>
      <c r="E18" s="17">
        <f t="shared" si="1"/>
        <v>0</v>
      </c>
    </row>
    <row r="19" spans="1:6" s="47" customFormat="1" ht="15" customHeight="1" thickBot="1" x14ac:dyDescent="0.3">
      <c r="A19" s="25" t="s">
        <v>6</v>
      </c>
      <c r="B19" s="172">
        <f t="shared" si="2"/>
        <v>42957</v>
      </c>
      <c r="C19" s="12"/>
      <c r="D19" s="19"/>
      <c r="E19" s="17">
        <f t="shared" si="1"/>
        <v>0</v>
      </c>
    </row>
    <row r="20" spans="1:6" s="47" customFormat="1" ht="15" customHeight="1" thickBot="1" x14ac:dyDescent="0.3">
      <c r="A20" s="25" t="s">
        <v>0</v>
      </c>
      <c r="B20" s="172">
        <f t="shared" si="2"/>
        <v>42958</v>
      </c>
      <c r="C20" s="12"/>
      <c r="D20" s="19"/>
      <c r="E20" s="17">
        <f t="shared" si="1"/>
        <v>0</v>
      </c>
    </row>
    <row r="21" spans="1:6" s="47" customFormat="1" ht="15" customHeight="1" outlineLevel="1" thickBot="1" x14ac:dyDescent="0.3">
      <c r="A21" s="25" t="s">
        <v>1</v>
      </c>
      <c r="B21" s="184">
        <f t="shared" si="2"/>
        <v>42959</v>
      </c>
      <c r="C21" s="18"/>
      <c r="D21" s="19"/>
      <c r="E21" s="17">
        <f t="shared" si="1"/>
        <v>0</v>
      </c>
      <c r="F21" s="153"/>
    </row>
    <row r="22" spans="1:6" s="47" customFormat="1" ht="15" customHeight="1" outlineLevel="1" thickBot="1" x14ac:dyDescent="0.3">
      <c r="A22" s="25" t="s">
        <v>2</v>
      </c>
      <c r="B22" s="171">
        <f t="shared" si="2"/>
        <v>42960</v>
      </c>
      <c r="C22" s="21"/>
      <c r="D22" s="22"/>
      <c r="E22" s="66">
        <f t="shared" si="1"/>
        <v>0</v>
      </c>
    </row>
    <row r="23" spans="1:6" s="47" customFormat="1" ht="15" customHeight="1" outlineLevel="1" thickBot="1" x14ac:dyDescent="0.3">
      <c r="A23" s="158" t="s">
        <v>21</v>
      </c>
      <c r="B23" s="681" t="s">
        <v>25</v>
      </c>
      <c r="C23" s="114">
        <f>SUM(C16:C22)</f>
        <v>0</v>
      </c>
      <c r="D23" s="114">
        <f>SUM(D16:D22)</f>
        <v>0</v>
      </c>
      <c r="E23" s="114">
        <f>SUM(E16:E22)</f>
        <v>0</v>
      </c>
    </row>
    <row r="24" spans="1:6" s="47" customFormat="1" ht="15" customHeight="1" outlineLevel="1" thickBot="1" x14ac:dyDescent="0.3">
      <c r="A24" s="109" t="s">
        <v>23</v>
      </c>
      <c r="B24" s="682"/>
      <c r="C24" s="110" t="e">
        <f>AVERAGE(C16:C22)</f>
        <v>#DIV/0!</v>
      </c>
      <c r="D24" s="110" t="e">
        <f>AVERAGE(D16:D22)</f>
        <v>#DIV/0!</v>
      </c>
      <c r="E24" s="110">
        <f>AVERAGE(E16:E22)</f>
        <v>0</v>
      </c>
    </row>
    <row r="25" spans="1:6" s="47" customFormat="1" ht="15" customHeight="1" thickBot="1" x14ac:dyDescent="0.3">
      <c r="A25" s="26" t="s">
        <v>20</v>
      </c>
      <c r="B25" s="682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7" customFormat="1" ht="15" customHeight="1" thickBot="1" x14ac:dyDescent="0.3">
      <c r="A26" s="26" t="s">
        <v>22</v>
      </c>
      <c r="B26" s="683"/>
      <c r="C26" s="31" t="e">
        <f>AVERAGE(C16:C20)</f>
        <v>#DIV/0!</v>
      </c>
      <c r="D26" s="31" t="e">
        <f>AVERAGE(D16:D20)</f>
        <v>#DIV/0!</v>
      </c>
      <c r="E26" s="31">
        <f>AVERAGE(E16:E20)</f>
        <v>0</v>
      </c>
    </row>
    <row r="27" spans="1:6" s="47" customFormat="1" ht="15" customHeight="1" thickBot="1" x14ac:dyDescent="0.3">
      <c r="A27" s="25" t="s">
        <v>3</v>
      </c>
      <c r="B27" s="173">
        <f>B22+1</f>
        <v>42961</v>
      </c>
      <c r="C27" s="12"/>
      <c r="D27" s="12"/>
      <c r="E27" s="16">
        <f t="shared" ref="E27:E33" si="3">SUM(C27:D27)</f>
        <v>0</v>
      </c>
    </row>
    <row r="28" spans="1:6" s="47" customFormat="1" ht="15" customHeight="1" thickBot="1" x14ac:dyDescent="0.3">
      <c r="A28" s="25" t="s">
        <v>4</v>
      </c>
      <c r="B28" s="174">
        <f t="shared" ref="B28:B33" si="4">B27+1</f>
        <v>42962</v>
      </c>
      <c r="C28" s="12"/>
      <c r="D28" s="18"/>
      <c r="E28" s="17">
        <f t="shared" si="3"/>
        <v>0</v>
      </c>
    </row>
    <row r="29" spans="1:6" s="47" customFormat="1" ht="15" customHeight="1" thickBot="1" x14ac:dyDescent="0.3">
      <c r="A29" s="25" t="s">
        <v>5</v>
      </c>
      <c r="B29" s="174">
        <f t="shared" si="4"/>
        <v>42963</v>
      </c>
      <c r="C29" s="12"/>
      <c r="D29" s="18"/>
      <c r="E29" s="17">
        <f t="shared" si="3"/>
        <v>0</v>
      </c>
    </row>
    <row r="30" spans="1:6" s="47" customFormat="1" ht="15" customHeight="1" thickBot="1" x14ac:dyDescent="0.3">
      <c r="A30" s="25" t="s">
        <v>6</v>
      </c>
      <c r="B30" s="174">
        <f t="shared" si="4"/>
        <v>42964</v>
      </c>
      <c r="C30" s="12"/>
      <c r="D30" s="18"/>
      <c r="E30" s="17">
        <f t="shared" si="3"/>
        <v>0</v>
      </c>
    </row>
    <row r="31" spans="1:6" s="47" customFormat="1" ht="15" customHeight="1" thickBot="1" x14ac:dyDescent="0.3">
      <c r="A31" s="25" t="s">
        <v>0</v>
      </c>
      <c r="B31" s="174">
        <f t="shared" si="4"/>
        <v>42965</v>
      </c>
      <c r="C31" s="12"/>
      <c r="D31" s="18"/>
      <c r="E31" s="17">
        <f t="shared" si="3"/>
        <v>0</v>
      </c>
    </row>
    <row r="32" spans="1:6" s="47" customFormat="1" ht="15" customHeight="1" outlineLevel="1" thickBot="1" x14ac:dyDescent="0.3">
      <c r="A32" s="25" t="s">
        <v>1</v>
      </c>
      <c r="B32" s="174">
        <f t="shared" si="4"/>
        <v>42966</v>
      </c>
      <c r="C32" s="18"/>
      <c r="D32" s="18"/>
      <c r="E32" s="17">
        <f t="shared" si="3"/>
        <v>0</v>
      </c>
    </row>
    <row r="33" spans="1:6" s="47" customFormat="1" ht="15" customHeight="1" outlineLevel="1" thickBot="1" x14ac:dyDescent="0.3">
      <c r="A33" s="25" t="s">
        <v>2</v>
      </c>
      <c r="B33" s="174">
        <f t="shared" si="4"/>
        <v>42967</v>
      </c>
      <c r="C33" s="21"/>
      <c r="D33" s="21"/>
      <c r="E33" s="66">
        <f t="shared" si="3"/>
        <v>0</v>
      </c>
      <c r="F33" s="153"/>
    </row>
    <row r="34" spans="1:6" s="47" customFormat="1" ht="15" customHeight="1" outlineLevel="1" thickBot="1" x14ac:dyDescent="0.3">
      <c r="A34" s="158" t="s">
        <v>21</v>
      </c>
      <c r="B34" s="681" t="s">
        <v>26</v>
      </c>
      <c r="C34" s="114">
        <f>SUM(C27:C33)</f>
        <v>0</v>
      </c>
      <c r="D34" s="114">
        <f>SUM(D27:D33)</f>
        <v>0</v>
      </c>
      <c r="E34" s="114">
        <f>SUM(E27:E33)</f>
        <v>0</v>
      </c>
    </row>
    <row r="35" spans="1:6" s="47" customFormat="1" ht="15" customHeight="1" outlineLevel="1" thickBot="1" x14ac:dyDescent="0.3">
      <c r="A35" s="109" t="s">
        <v>23</v>
      </c>
      <c r="B35" s="682"/>
      <c r="C35" s="110" t="e">
        <f>AVERAGE(C27:C33)</f>
        <v>#DIV/0!</v>
      </c>
      <c r="D35" s="110" t="e">
        <f>AVERAGE(D27:D33)</f>
        <v>#DIV/0!</v>
      </c>
      <c r="E35" s="110">
        <f>AVERAGE(E27:E33)</f>
        <v>0</v>
      </c>
    </row>
    <row r="36" spans="1:6" s="47" customFormat="1" ht="15" customHeight="1" thickBot="1" x14ac:dyDescent="0.3">
      <c r="A36" s="26" t="s">
        <v>20</v>
      </c>
      <c r="B36" s="682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7" customFormat="1" ht="15" customHeight="1" thickBot="1" x14ac:dyDescent="0.3">
      <c r="A37" s="26" t="s">
        <v>22</v>
      </c>
      <c r="B37" s="683"/>
      <c r="C37" s="31" t="e">
        <f>AVERAGE(C27:C31)</f>
        <v>#DIV/0!</v>
      </c>
      <c r="D37" s="31" t="e">
        <f>AVERAGE(D27:D31)</f>
        <v>#DIV/0!</v>
      </c>
      <c r="E37" s="31">
        <f>AVERAGE(E27:E31)</f>
        <v>0</v>
      </c>
    </row>
    <row r="38" spans="1:6" s="47" customFormat="1" ht="15" customHeight="1" thickBot="1" x14ac:dyDescent="0.3">
      <c r="A38" s="25" t="s">
        <v>3</v>
      </c>
      <c r="B38" s="175">
        <f>B33+1</f>
        <v>42968</v>
      </c>
      <c r="C38" s="12"/>
      <c r="D38" s="12"/>
      <c r="E38" s="16">
        <f t="shared" ref="E38:E44" si="5">SUM(C38:D38)</f>
        <v>0</v>
      </c>
      <c r="F38" s="153"/>
    </row>
    <row r="39" spans="1:6" s="47" customFormat="1" ht="15" customHeight="1" thickBot="1" x14ac:dyDescent="0.3">
      <c r="A39" s="25" t="s">
        <v>4</v>
      </c>
      <c r="B39" s="176">
        <f t="shared" ref="B39:B44" si="6">B38+1</f>
        <v>42969</v>
      </c>
      <c r="C39" s="12"/>
      <c r="D39" s="18"/>
      <c r="E39" s="17">
        <f t="shared" si="5"/>
        <v>0</v>
      </c>
      <c r="F39" s="153"/>
    </row>
    <row r="40" spans="1:6" s="47" customFormat="1" ht="15" customHeight="1" thickBot="1" x14ac:dyDescent="0.3">
      <c r="A40" s="25" t="s">
        <v>5</v>
      </c>
      <c r="B40" s="176">
        <f t="shared" si="6"/>
        <v>42970</v>
      </c>
      <c r="C40" s="12"/>
      <c r="D40" s="18"/>
      <c r="E40" s="17">
        <f t="shared" si="5"/>
        <v>0</v>
      </c>
      <c r="F40" s="153"/>
    </row>
    <row r="41" spans="1:6" s="47" customFormat="1" ht="15" customHeight="1" thickBot="1" x14ac:dyDescent="0.3">
      <c r="A41" s="25" t="s">
        <v>6</v>
      </c>
      <c r="B41" s="176">
        <f t="shared" si="6"/>
        <v>42971</v>
      </c>
      <c r="C41" s="12"/>
      <c r="D41" s="18"/>
      <c r="E41" s="17">
        <f t="shared" si="5"/>
        <v>0</v>
      </c>
      <c r="F41" s="153"/>
    </row>
    <row r="42" spans="1:6" s="47" customFormat="1" ht="15" customHeight="1" thickBot="1" x14ac:dyDescent="0.3">
      <c r="A42" s="25" t="s">
        <v>0</v>
      </c>
      <c r="B42" s="176">
        <f t="shared" si="6"/>
        <v>42972</v>
      </c>
      <c r="C42" s="12"/>
      <c r="D42" s="18"/>
      <c r="E42" s="17">
        <f t="shared" si="5"/>
        <v>0</v>
      </c>
      <c r="F42" s="153"/>
    </row>
    <row r="43" spans="1:6" s="47" customFormat="1" ht="15" customHeight="1" outlineLevel="1" thickBot="1" x14ac:dyDescent="0.3">
      <c r="A43" s="25" t="s">
        <v>1</v>
      </c>
      <c r="B43" s="176">
        <f t="shared" si="6"/>
        <v>42973</v>
      </c>
      <c r="C43" s="18"/>
      <c r="D43" s="18"/>
      <c r="E43" s="17">
        <f t="shared" si="5"/>
        <v>0</v>
      </c>
      <c r="F43" s="153"/>
    </row>
    <row r="44" spans="1:6" s="47" customFormat="1" ht="15" customHeight="1" outlineLevel="1" thickBot="1" x14ac:dyDescent="0.3">
      <c r="A44" s="25" t="s">
        <v>2</v>
      </c>
      <c r="B44" s="176">
        <f t="shared" si="6"/>
        <v>42974</v>
      </c>
      <c r="C44" s="21"/>
      <c r="D44" s="21"/>
      <c r="E44" s="66">
        <f t="shared" si="5"/>
        <v>0</v>
      </c>
      <c r="F44" s="153"/>
    </row>
    <row r="45" spans="1:6" s="47" customFormat="1" ht="15" customHeight="1" outlineLevel="1" thickBot="1" x14ac:dyDescent="0.3">
      <c r="A45" s="158" t="s">
        <v>21</v>
      </c>
      <c r="B45" s="681" t="s">
        <v>27</v>
      </c>
      <c r="C45" s="114">
        <f>SUM(C38:C44)</f>
        <v>0</v>
      </c>
      <c r="D45" s="114">
        <f>SUM(D38:D44)</f>
        <v>0</v>
      </c>
      <c r="E45" s="114">
        <f>SUM(E38:E44)</f>
        <v>0</v>
      </c>
    </row>
    <row r="46" spans="1:6" s="47" customFormat="1" ht="15" customHeight="1" outlineLevel="1" thickBot="1" x14ac:dyDescent="0.3">
      <c r="A46" s="109" t="s">
        <v>23</v>
      </c>
      <c r="B46" s="682"/>
      <c r="C46" s="110" t="e">
        <f>AVERAGE(C38:C44)</f>
        <v>#DIV/0!</v>
      </c>
      <c r="D46" s="110" t="e">
        <f>AVERAGE(D38:D44)</f>
        <v>#DIV/0!</v>
      </c>
      <c r="E46" s="110">
        <f>AVERAGE(E38:E44)</f>
        <v>0</v>
      </c>
    </row>
    <row r="47" spans="1:6" s="47" customFormat="1" ht="15" customHeight="1" thickBot="1" x14ac:dyDescent="0.3">
      <c r="A47" s="26" t="s">
        <v>20</v>
      </c>
      <c r="B47" s="682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7" customFormat="1" ht="15" customHeight="1" thickBot="1" x14ac:dyDescent="0.3">
      <c r="A48" s="26" t="s">
        <v>22</v>
      </c>
      <c r="B48" s="683"/>
      <c r="C48" s="31" t="e">
        <f>AVERAGE(C38:C42)</f>
        <v>#DIV/0!</v>
      </c>
      <c r="D48" s="31" t="e">
        <f>AVERAGE(D38:D42)</f>
        <v>#DIV/0!</v>
      </c>
      <c r="E48" s="31">
        <f>AVERAGE(E38:E42)</f>
        <v>0</v>
      </c>
    </row>
    <row r="49" spans="1:6" s="47" customFormat="1" ht="15" customHeight="1" thickBot="1" x14ac:dyDescent="0.3">
      <c r="A49" s="25" t="s">
        <v>3</v>
      </c>
      <c r="B49" s="175">
        <f>B44+1</f>
        <v>42975</v>
      </c>
      <c r="C49" s="51"/>
      <c r="D49" s="54"/>
      <c r="E49" s="17">
        <f t="shared" ref="E49:E55" si="7">SUM(C49:D49)</f>
        <v>0</v>
      </c>
      <c r="F49" s="153"/>
    </row>
    <row r="50" spans="1:6" s="47" customFormat="1" ht="15" customHeight="1" thickBot="1" x14ac:dyDescent="0.3">
      <c r="A50" s="149" t="s">
        <v>4</v>
      </c>
      <c r="B50" s="176">
        <f t="shared" ref="B50:B55" si="8">B49+1</f>
        <v>42976</v>
      </c>
      <c r="C50" s="12"/>
      <c r="D50" s="15"/>
      <c r="E50" s="17">
        <f t="shared" si="7"/>
        <v>0</v>
      </c>
      <c r="F50" s="153"/>
    </row>
    <row r="51" spans="1:6" s="47" customFormat="1" ht="13.5" customHeight="1" thickBot="1" x14ac:dyDescent="0.3">
      <c r="A51" s="149" t="s">
        <v>5</v>
      </c>
      <c r="B51" s="176">
        <f t="shared" si="8"/>
        <v>42977</v>
      </c>
      <c r="C51" s="12"/>
      <c r="D51" s="15"/>
      <c r="E51" s="17">
        <f t="shared" si="7"/>
        <v>0</v>
      </c>
      <c r="F51" s="153"/>
    </row>
    <row r="52" spans="1:6" s="47" customFormat="1" ht="15" customHeight="1" thickBot="1" x14ac:dyDescent="0.3">
      <c r="A52" s="149" t="s">
        <v>6</v>
      </c>
      <c r="B52" s="176">
        <f t="shared" si="8"/>
        <v>42978</v>
      </c>
      <c r="C52" s="12"/>
      <c r="D52" s="15"/>
      <c r="E52" s="17">
        <f t="shared" si="7"/>
        <v>0</v>
      </c>
      <c r="F52" s="153"/>
    </row>
    <row r="53" spans="1:6" s="47" customFormat="1" ht="14.25" thickBot="1" x14ac:dyDescent="0.3">
      <c r="A53" s="25" t="s">
        <v>0</v>
      </c>
      <c r="B53" s="178">
        <f t="shared" si="8"/>
        <v>42979</v>
      </c>
      <c r="C53" s="12"/>
      <c r="D53" s="15"/>
      <c r="E53" s="17">
        <f t="shared" si="7"/>
        <v>0</v>
      </c>
      <c r="F53" s="153"/>
    </row>
    <row r="54" spans="1:6" s="47" customFormat="1" ht="14.25" outlineLevel="1" thickBot="1" x14ac:dyDescent="0.3">
      <c r="A54" s="25" t="s">
        <v>1</v>
      </c>
      <c r="B54" s="178">
        <f t="shared" si="8"/>
        <v>42980</v>
      </c>
      <c r="C54" s="18"/>
      <c r="D54" s="18"/>
      <c r="E54" s="17">
        <f t="shared" si="7"/>
        <v>0</v>
      </c>
      <c r="F54" s="153"/>
    </row>
    <row r="55" spans="1:6" s="47" customFormat="1" ht="14.25" outlineLevel="1" thickBot="1" x14ac:dyDescent="0.3">
      <c r="A55" s="149" t="s">
        <v>2</v>
      </c>
      <c r="B55" s="178">
        <f t="shared" si="8"/>
        <v>42981</v>
      </c>
      <c r="C55" s="21"/>
      <c r="D55" s="21"/>
      <c r="E55" s="17">
        <f t="shared" si="7"/>
        <v>0</v>
      </c>
    </row>
    <row r="56" spans="1:6" s="47" customFormat="1" ht="15" customHeight="1" outlineLevel="1" thickBot="1" x14ac:dyDescent="0.3">
      <c r="A56" s="158" t="s">
        <v>21</v>
      </c>
      <c r="B56" s="681" t="s">
        <v>28</v>
      </c>
      <c r="C56" s="114">
        <f>SUM(C49:C55)</f>
        <v>0</v>
      </c>
      <c r="D56" s="114">
        <f>SUM(D49:D55)</f>
        <v>0</v>
      </c>
      <c r="E56" s="117">
        <f>SUM(E49:E55)</f>
        <v>0</v>
      </c>
    </row>
    <row r="57" spans="1:6" s="47" customFormat="1" ht="15" customHeight="1" outlineLevel="1" thickBot="1" x14ac:dyDescent="0.3">
      <c r="A57" s="109" t="s">
        <v>23</v>
      </c>
      <c r="B57" s="682"/>
      <c r="C57" s="110" t="e">
        <f>AVERAGE(C49:C55)</f>
        <v>#DIV/0!</v>
      </c>
      <c r="D57" s="110" t="e">
        <f>AVERAGE(D49:D55)</f>
        <v>#DIV/0!</v>
      </c>
      <c r="E57" s="113">
        <f>AVERAGE(E49:E55)</f>
        <v>0</v>
      </c>
    </row>
    <row r="58" spans="1:6" s="47" customFormat="1" ht="15" customHeight="1" thickBot="1" x14ac:dyDescent="0.3">
      <c r="A58" s="26" t="s">
        <v>20</v>
      </c>
      <c r="B58" s="682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7" customFormat="1" ht="14.25" thickBot="1" x14ac:dyDescent="0.3">
      <c r="A59" s="26" t="s">
        <v>22</v>
      </c>
      <c r="B59" s="683"/>
      <c r="C59" s="31" t="e">
        <f>AVERAGE(C49:C53)</f>
        <v>#DIV/0!</v>
      </c>
      <c r="D59" s="31" t="e">
        <f>AVERAGE(D49:D53)</f>
        <v>#DIV/0!</v>
      </c>
      <c r="E59" s="31">
        <f>AVERAGE(E49:E53)</f>
        <v>0</v>
      </c>
    </row>
    <row r="60" spans="1:6" s="47" customFormat="1" ht="14.25" thickBot="1" x14ac:dyDescent="0.3">
      <c r="A60" s="149" t="s">
        <v>3</v>
      </c>
      <c r="B60" s="175">
        <f>B55+1</f>
        <v>42982</v>
      </c>
      <c r="C60" s="12"/>
      <c r="D60" s="12"/>
      <c r="E60" s="17">
        <f>SUM(C60:D60)</f>
        <v>0</v>
      </c>
    </row>
    <row r="61" spans="1:6" s="47" customFormat="1" ht="14.25" thickBot="1" x14ac:dyDescent="0.3">
      <c r="A61" s="149" t="s">
        <v>4</v>
      </c>
      <c r="B61" s="176">
        <f>B60+1</f>
        <v>42983</v>
      </c>
      <c r="C61" s="12"/>
      <c r="D61" s="18"/>
      <c r="E61" s="17"/>
    </row>
    <row r="62" spans="1:6" s="47" customFormat="1" ht="14.25" thickBot="1" x14ac:dyDescent="0.3">
      <c r="A62" s="149"/>
      <c r="B62" s="177"/>
      <c r="C62" s="12"/>
      <c r="D62" s="18"/>
      <c r="E62" s="17"/>
    </row>
    <row r="63" spans="1:6" s="47" customFormat="1" ht="14.25" thickBot="1" x14ac:dyDescent="0.3">
      <c r="A63" s="149"/>
      <c r="B63" s="177"/>
      <c r="C63" s="12"/>
      <c r="D63" s="18"/>
      <c r="E63" s="17"/>
    </row>
    <row r="64" spans="1:6" s="47" customFormat="1" ht="14.25" thickBot="1" x14ac:dyDescent="0.3">
      <c r="A64" s="25"/>
      <c r="B64" s="177"/>
      <c r="C64" s="12"/>
      <c r="D64" s="18"/>
      <c r="E64" s="17"/>
    </row>
    <row r="65" spans="1:6" s="47" customFormat="1" ht="14.25" thickBot="1" x14ac:dyDescent="0.3">
      <c r="A65" s="25"/>
      <c r="B65" s="177"/>
      <c r="C65" s="18"/>
      <c r="D65" s="18"/>
      <c r="E65" s="17"/>
    </row>
    <row r="66" spans="1:6" s="47" customFormat="1" ht="14.25" thickBot="1" x14ac:dyDescent="0.3">
      <c r="A66" s="25"/>
      <c r="B66" s="179"/>
      <c r="C66" s="21"/>
      <c r="D66" s="21"/>
      <c r="E66" s="66"/>
    </row>
    <row r="67" spans="1:6" s="47" customFormat="1" ht="14.25" thickBot="1" x14ac:dyDescent="0.3">
      <c r="A67" s="158" t="s">
        <v>21</v>
      </c>
      <c r="B67" s="681" t="s">
        <v>32</v>
      </c>
      <c r="C67" s="114">
        <f>SUM(C60:C66)</f>
        <v>0</v>
      </c>
      <c r="D67" s="114">
        <f>SUM(D60:D66)</f>
        <v>0</v>
      </c>
      <c r="E67" s="114">
        <f>SUM(E60:E66)</f>
        <v>0</v>
      </c>
    </row>
    <row r="68" spans="1:6" s="47" customFormat="1" ht="14.25" thickBot="1" x14ac:dyDescent="0.3">
      <c r="A68" s="109" t="s">
        <v>23</v>
      </c>
      <c r="B68" s="682"/>
      <c r="C68" s="110" t="e">
        <f>AVERAGE(C60:C66)</f>
        <v>#DIV/0!</v>
      </c>
      <c r="D68" s="110" t="e">
        <f>AVERAGE(D60:D66)</f>
        <v>#DIV/0!</v>
      </c>
      <c r="E68" s="110">
        <f>AVERAGE(E60:E66)</f>
        <v>0</v>
      </c>
    </row>
    <row r="69" spans="1:6" s="47" customFormat="1" ht="14.25" thickBot="1" x14ac:dyDescent="0.3">
      <c r="A69" s="26" t="s">
        <v>20</v>
      </c>
      <c r="B69" s="682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7" customFormat="1" ht="14.25" thickBot="1" x14ac:dyDescent="0.3">
      <c r="A70" s="26" t="s">
        <v>22</v>
      </c>
      <c r="B70" s="683"/>
      <c r="C70" s="31" t="e">
        <f>AVERAGE(C60:C64)</f>
        <v>#DIV/0!</v>
      </c>
      <c r="D70" s="31" t="e">
        <f>AVERAGE(D60:D64)</f>
        <v>#DIV/0!</v>
      </c>
      <c r="E70" s="31">
        <f>AVERAGE(E60:E64)</f>
        <v>0</v>
      </c>
    </row>
    <row r="71" spans="1:6" s="47" customFormat="1" x14ac:dyDescent="0.25">
      <c r="A71" s="4"/>
      <c r="B71" s="131"/>
      <c r="C71" s="50"/>
      <c r="D71" s="50"/>
      <c r="E71" s="50"/>
    </row>
    <row r="72" spans="1:6" s="47" customFormat="1" x14ac:dyDescent="0.25">
      <c r="B72" s="187"/>
      <c r="C72" s="39" t="s">
        <v>67</v>
      </c>
      <c r="D72" s="39" t="s">
        <v>8</v>
      </c>
      <c r="E72" s="689" t="s">
        <v>73</v>
      </c>
      <c r="F72" s="691"/>
    </row>
    <row r="73" spans="1:6" ht="25.5" x14ac:dyDescent="0.25">
      <c r="A73" s="11"/>
      <c r="B73" s="42" t="s">
        <v>30</v>
      </c>
      <c r="C73" s="189">
        <f>SUM(C58:C58, C47:C47, C36:C36, C25:C25, C14:C14, C69:C69)</f>
        <v>0</v>
      </c>
      <c r="D73" s="37">
        <f>SUM(D69:D69, D58:D58, D47:D47, D36:D36, D25:D25, D14:D14)</f>
        <v>0</v>
      </c>
      <c r="E73" s="219" t="s">
        <v>30</v>
      </c>
      <c r="F73" s="106">
        <f>SUM(E14, E25, E36, E47, E58, E69)</f>
        <v>0</v>
      </c>
    </row>
    <row r="74" spans="1:6" ht="25.5" x14ac:dyDescent="0.25">
      <c r="A74" s="11"/>
      <c r="B74" s="42" t="s">
        <v>29</v>
      </c>
      <c r="C74" s="189">
        <f>SUM(C56:C56, C45:C45, C34:C34, C23:C23, C12:C12, C67:C67)</f>
        <v>0</v>
      </c>
      <c r="D74" s="37">
        <f>SUM(D67:D67, D56:D56, D45:D45, D34:D34, D23:D23, D12:D12)</f>
        <v>0</v>
      </c>
      <c r="E74" s="219" t="s">
        <v>29</v>
      </c>
      <c r="F74" s="107">
        <f>SUM(E56, E45, E34, E23, E12, E67)</f>
        <v>0</v>
      </c>
    </row>
    <row r="75" spans="1:6" x14ac:dyDescent="0.25">
      <c r="C75" s="132"/>
      <c r="E75" s="219" t="s">
        <v>22</v>
      </c>
      <c r="F75" s="107">
        <f>AVERAGE(E14, E25, E36, E47, E58, E69)</f>
        <v>0</v>
      </c>
    </row>
    <row r="76" spans="1:6" x14ac:dyDescent="0.25">
      <c r="C76" s="132"/>
      <c r="E76" s="219" t="s">
        <v>61</v>
      </c>
      <c r="F76" s="106">
        <f>AVERAGE(E56, E45, E34, E23, E12, E67)</f>
        <v>0</v>
      </c>
    </row>
    <row r="78" spans="1:6" x14ac:dyDescent="0.25">
      <c r="C78" s="151"/>
    </row>
  </sheetData>
  <mergeCells count="14">
    <mergeCell ref="A3:A4"/>
    <mergeCell ref="B3:B4"/>
    <mergeCell ref="C3:C4"/>
    <mergeCell ref="D3:D4"/>
    <mergeCell ref="C1:C2"/>
    <mergeCell ref="E72:F72"/>
    <mergeCell ref="B56:B59"/>
    <mergeCell ref="B67:B70"/>
    <mergeCell ref="D1:D2"/>
    <mergeCell ref="E1:E4"/>
    <mergeCell ref="B12:B15"/>
    <mergeCell ref="B23:B26"/>
    <mergeCell ref="B34:B37"/>
    <mergeCell ref="B45:B48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67" bestFit="1" customWidth="1"/>
    <col min="2" max="2" width="10.140625" style="67" bestFit="1" customWidth="1"/>
    <col min="3" max="7" width="15.7109375" style="67" customWidth="1"/>
    <col min="8" max="8" width="16.28515625" style="67" bestFit="1" customWidth="1"/>
    <col min="9" max="16384" width="9.140625" style="67"/>
  </cols>
  <sheetData>
    <row r="1" spans="1:7" ht="15" customHeight="1" x14ac:dyDescent="0.25">
      <c r="B1" s="133"/>
      <c r="C1" s="701" t="s">
        <v>47</v>
      </c>
      <c r="D1" s="702"/>
      <c r="E1" s="701"/>
      <c r="F1" s="703"/>
      <c r="G1" s="699" t="s">
        <v>19</v>
      </c>
    </row>
    <row r="2" spans="1:7" ht="15" customHeight="1" thickBot="1" x14ac:dyDescent="0.3">
      <c r="B2" s="133"/>
      <c r="C2" s="716"/>
      <c r="D2" s="742"/>
      <c r="E2" s="716"/>
      <c r="F2" s="717"/>
      <c r="G2" s="700"/>
    </row>
    <row r="3" spans="1:7" x14ac:dyDescent="0.25">
      <c r="A3" s="712" t="s">
        <v>52</v>
      </c>
      <c r="B3" s="739" t="s">
        <v>53</v>
      </c>
      <c r="C3" s="738" t="s">
        <v>50</v>
      </c>
      <c r="D3" s="743" t="s">
        <v>51</v>
      </c>
      <c r="E3" s="738"/>
      <c r="F3" s="743"/>
      <c r="G3" s="700"/>
    </row>
    <row r="4" spans="1:7" ht="14.25" customHeight="1" thickBot="1" x14ac:dyDescent="0.3">
      <c r="A4" s="713"/>
      <c r="B4" s="740"/>
      <c r="C4" s="713"/>
      <c r="D4" s="711"/>
      <c r="E4" s="713"/>
      <c r="F4" s="711"/>
      <c r="G4" s="700"/>
    </row>
    <row r="5" spans="1:7" s="73" customFormat="1" ht="12.75" customHeight="1" thickBot="1" x14ac:dyDescent="0.3">
      <c r="A5" s="147"/>
      <c r="B5" s="130"/>
      <c r="C5" s="68"/>
      <c r="D5" s="69"/>
      <c r="E5" s="70"/>
      <c r="F5" s="71"/>
      <c r="G5" s="72"/>
    </row>
    <row r="6" spans="1:7" s="73" customFormat="1" ht="12.75" customHeight="1" thickBot="1" x14ac:dyDescent="0.3">
      <c r="A6" s="147"/>
      <c r="B6" s="123"/>
      <c r="C6" s="68"/>
      <c r="D6" s="69"/>
      <c r="E6" s="70"/>
      <c r="F6" s="71"/>
      <c r="G6" s="72"/>
    </row>
    <row r="7" spans="1:7" s="73" customFormat="1" ht="12.75" customHeight="1" thickBot="1" x14ac:dyDescent="0.3">
      <c r="A7" s="147"/>
      <c r="B7" s="123"/>
      <c r="C7" s="68"/>
      <c r="D7" s="69"/>
      <c r="E7" s="70"/>
      <c r="F7" s="71"/>
      <c r="G7" s="72"/>
    </row>
    <row r="8" spans="1:7" s="73" customFormat="1" ht="12.75" customHeight="1" thickBot="1" x14ac:dyDescent="0.3">
      <c r="A8" s="152"/>
      <c r="B8" s="123"/>
      <c r="C8" s="68"/>
      <c r="D8" s="69"/>
      <c r="E8" s="70"/>
      <c r="F8" s="71"/>
      <c r="G8" s="72"/>
    </row>
    <row r="9" spans="1:7" s="73" customFormat="1" ht="12.75" customHeight="1" thickBot="1" x14ac:dyDescent="0.3">
      <c r="A9" s="152"/>
      <c r="B9" s="123"/>
      <c r="C9" s="68"/>
      <c r="D9" s="69"/>
      <c r="E9" s="70"/>
      <c r="F9" s="71"/>
      <c r="G9" s="72"/>
    </row>
    <row r="10" spans="1:7" s="73" customFormat="1" ht="12.75" customHeight="1" outlineLevel="1" thickBot="1" x14ac:dyDescent="0.3">
      <c r="A10" s="152"/>
      <c r="B10" s="157"/>
      <c r="C10" s="70"/>
      <c r="D10" s="74"/>
      <c r="E10" s="70"/>
      <c r="F10" s="71"/>
      <c r="G10" s="72">
        <f>SUM(C10:F10)</f>
        <v>0</v>
      </c>
    </row>
    <row r="11" spans="1:7" s="73" customFormat="1" ht="14.25" outlineLevel="1" thickBot="1" x14ac:dyDescent="0.3">
      <c r="A11" s="152"/>
      <c r="B11" s="123"/>
      <c r="C11" s="75"/>
      <c r="D11" s="76"/>
      <c r="E11" s="75"/>
      <c r="F11" s="77"/>
      <c r="G11" s="72">
        <f>SUM(C11:F11)</f>
        <v>0</v>
      </c>
    </row>
    <row r="12" spans="1:7" s="79" customFormat="1" ht="14.25" customHeight="1" outlineLevel="1" thickBot="1" x14ac:dyDescent="0.3">
      <c r="A12" s="108" t="s">
        <v>21</v>
      </c>
      <c r="B12" s="681" t="s">
        <v>24</v>
      </c>
      <c r="C12" s="119">
        <f>SUM(C5:C11)</f>
        <v>0</v>
      </c>
      <c r="D12" s="119">
        <f>SUM(D5:D11)</f>
        <v>0</v>
      </c>
      <c r="E12" s="119">
        <f>SUM(E5:E11)</f>
        <v>0</v>
      </c>
      <c r="F12" s="119">
        <f>SUM(F5:F11)</f>
        <v>0</v>
      </c>
      <c r="G12" s="119">
        <f>SUM(G5:G11)</f>
        <v>0</v>
      </c>
    </row>
    <row r="13" spans="1:7" s="79" customFormat="1" ht="14.25" customHeight="1" outlineLevel="1" thickBot="1" x14ac:dyDescent="0.3">
      <c r="A13" s="109" t="s">
        <v>23</v>
      </c>
      <c r="B13" s="682"/>
      <c r="C13" s="120" t="e">
        <f>AVERAGE(C5:C11)</f>
        <v>#DIV/0!</v>
      </c>
      <c r="D13" s="120" t="e">
        <f>AVERAGE(D5:D11)</f>
        <v>#DIV/0!</v>
      </c>
      <c r="E13" s="120" t="e">
        <f>AVERAGE(E5:E11)</f>
        <v>#DIV/0!</v>
      </c>
      <c r="F13" s="120" t="e">
        <f>AVERAGE(F5:F11)</f>
        <v>#DIV/0!</v>
      </c>
      <c r="G13" s="120">
        <f>AVERAGE(G5:G11)</f>
        <v>0</v>
      </c>
    </row>
    <row r="14" spans="1:7" s="79" customFormat="1" ht="14.25" customHeight="1" thickBot="1" x14ac:dyDescent="0.3">
      <c r="A14" s="26" t="s">
        <v>20</v>
      </c>
      <c r="B14" s="682"/>
      <c r="C14" s="86">
        <f>SUM(C5:C9)</f>
        <v>0</v>
      </c>
      <c r="D14" s="86">
        <f>SUM(D5:D9)</f>
        <v>0</v>
      </c>
      <c r="E14" s="86">
        <f>SUM(E5:E9)</f>
        <v>0</v>
      </c>
      <c r="F14" s="86">
        <f>SUM(F5:F9)</f>
        <v>0</v>
      </c>
      <c r="G14" s="86">
        <f>SUM(G5:G9)</f>
        <v>0</v>
      </c>
    </row>
    <row r="15" spans="1:7" s="79" customFormat="1" ht="14.25" customHeight="1" thickBot="1" x14ac:dyDescent="0.3">
      <c r="A15" s="26" t="s">
        <v>22</v>
      </c>
      <c r="B15" s="683"/>
      <c r="C15" s="87" t="e">
        <f>AVERAGE(C5:C9)</f>
        <v>#DIV/0!</v>
      </c>
      <c r="D15" s="87" t="e">
        <f>AVERAGE(D5:D9)</f>
        <v>#DIV/0!</v>
      </c>
      <c r="E15" s="87" t="e">
        <f>AVERAGE(E5:E9)</f>
        <v>#DIV/0!</v>
      </c>
      <c r="F15" s="87" t="e">
        <f>AVERAGE(F5:F9)</f>
        <v>#DIV/0!</v>
      </c>
      <c r="G15" s="87" t="e">
        <f>AVERAGE(G5:G9)</f>
        <v>#DIV/0!</v>
      </c>
    </row>
    <row r="16" spans="1:7" s="79" customFormat="1" ht="13.5" customHeight="1" thickBot="1" x14ac:dyDescent="0.3">
      <c r="A16" s="25"/>
      <c r="B16" s="124"/>
      <c r="C16" s="68"/>
      <c r="D16" s="69"/>
      <c r="E16" s="68"/>
      <c r="F16" s="80"/>
      <c r="G16" s="154"/>
    </row>
    <row r="17" spans="1:7" s="79" customFormat="1" ht="13.5" customHeight="1" thickBot="1" x14ac:dyDescent="0.3">
      <c r="A17" s="25"/>
      <c r="B17" s="125"/>
      <c r="C17" s="68"/>
      <c r="D17" s="69"/>
      <c r="E17" s="70"/>
      <c r="F17" s="71"/>
      <c r="G17" s="154"/>
    </row>
    <row r="18" spans="1:7" s="79" customFormat="1" ht="15" customHeight="1" thickBot="1" x14ac:dyDescent="0.3">
      <c r="A18" s="25"/>
      <c r="B18" s="125"/>
      <c r="C18" s="68"/>
      <c r="D18" s="69"/>
      <c r="E18" s="70"/>
      <c r="F18" s="71"/>
      <c r="G18" s="154"/>
    </row>
    <row r="19" spans="1:7" s="79" customFormat="1" ht="14.25" customHeight="1" thickBot="1" x14ac:dyDescent="0.3">
      <c r="A19" s="25"/>
      <c r="B19" s="125"/>
      <c r="C19" s="68"/>
      <c r="D19" s="69"/>
      <c r="E19" s="70"/>
      <c r="F19" s="71"/>
      <c r="G19" s="154"/>
    </row>
    <row r="20" spans="1:7" s="79" customFormat="1" ht="14.25" customHeight="1" thickBot="1" x14ac:dyDescent="0.3">
      <c r="A20" s="25"/>
      <c r="B20" s="125"/>
      <c r="C20" s="68"/>
      <c r="D20" s="69"/>
      <c r="E20" s="70"/>
      <c r="F20" s="71"/>
      <c r="G20" s="154"/>
    </row>
    <row r="21" spans="1:7" s="79" customFormat="1" ht="14.25" customHeight="1" outlineLevel="1" thickBot="1" x14ac:dyDescent="0.3">
      <c r="A21" s="149"/>
      <c r="B21" s="125"/>
      <c r="C21" s="70"/>
      <c r="D21" s="74"/>
      <c r="E21" s="70"/>
      <c r="F21" s="71"/>
      <c r="G21" s="154">
        <f>SUM(C21:F21)</f>
        <v>0</v>
      </c>
    </row>
    <row r="22" spans="1:7" s="79" customFormat="1" ht="14.25" customHeight="1" outlineLevel="1" thickBot="1" x14ac:dyDescent="0.3">
      <c r="A22" s="149"/>
      <c r="B22" s="125"/>
      <c r="C22" s="75"/>
      <c r="D22" s="76"/>
      <c r="E22" s="75"/>
      <c r="F22" s="77"/>
      <c r="G22" s="154">
        <f>SUM(C22:F22)</f>
        <v>0</v>
      </c>
    </row>
    <row r="23" spans="1:7" s="79" customFormat="1" ht="14.25" customHeight="1" outlineLevel="1" thickBot="1" x14ac:dyDescent="0.3">
      <c r="A23" s="108" t="s">
        <v>21</v>
      </c>
      <c r="B23" s="681" t="s">
        <v>25</v>
      </c>
      <c r="C23" s="119">
        <f>SUM(C16:C22)</f>
        <v>0</v>
      </c>
      <c r="D23" s="119">
        <f>SUM(D16:D22)</f>
        <v>0</v>
      </c>
      <c r="E23" s="119">
        <f>SUM(E16:E22)</f>
        <v>0</v>
      </c>
      <c r="F23" s="119">
        <f>SUM(F16:F22)</f>
        <v>0</v>
      </c>
      <c r="G23" s="119">
        <f>SUM(G16:G22)</f>
        <v>0</v>
      </c>
    </row>
    <row r="24" spans="1:7" s="79" customFormat="1" ht="14.25" customHeight="1" outlineLevel="1" thickBot="1" x14ac:dyDescent="0.3">
      <c r="A24" s="109" t="s">
        <v>23</v>
      </c>
      <c r="B24" s="682"/>
      <c r="C24" s="120" t="e">
        <f>AVERAGE(C16:C22)</f>
        <v>#DIV/0!</v>
      </c>
      <c r="D24" s="120" t="e">
        <f>AVERAGE(D16:D22)</f>
        <v>#DIV/0!</v>
      </c>
      <c r="E24" s="120" t="e">
        <f>AVERAGE(E16:E22)</f>
        <v>#DIV/0!</v>
      </c>
      <c r="F24" s="120" t="e">
        <f>AVERAGE(F16:F22)</f>
        <v>#DIV/0!</v>
      </c>
      <c r="G24" s="120">
        <f>AVERAGE(G16:G22)</f>
        <v>0</v>
      </c>
    </row>
    <row r="25" spans="1:7" s="79" customFormat="1" ht="14.25" customHeight="1" thickBot="1" x14ac:dyDescent="0.3">
      <c r="A25" s="26" t="s">
        <v>20</v>
      </c>
      <c r="B25" s="682"/>
      <c r="C25" s="86">
        <f>SUM(C16:C20)</f>
        <v>0</v>
      </c>
      <c r="D25" s="86">
        <f>SUM(D16:D20)</f>
        <v>0</v>
      </c>
      <c r="E25" s="86">
        <f>SUM(E16:E20)</f>
        <v>0</v>
      </c>
      <c r="F25" s="86">
        <f>SUM(F16:F20)</f>
        <v>0</v>
      </c>
      <c r="G25" s="86">
        <f>SUM(G16:G20)</f>
        <v>0</v>
      </c>
    </row>
    <row r="26" spans="1:7" s="79" customFormat="1" ht="14.25" customHeight="1" thickBot="1" x14ac:dyDescent="0.3">
      <c r="A26" s="26" t="s">
        <v>22</v>
      </c>
      <c r="B26" s="683"/>
      <c r="C26" s="87" t="e">
        <f>AVERAGE(C16:C20)</f>
        <v>#DIV/0!</v>
      </c>
      <c r="D26" s="87" t="e">
        <f>AVERAGE(D16:D20)</f>
        <v>#DIV/0!</v>
      </c>
      <c r="E26" s="87" t="e">
        <f>AVERAGE(E16:E20)</f>
        <v>#DIV/0!</v>
      </c>
      <c r="F26" s="87" t="e">
        <f>AVERAGE(F16:F20)</f>
        <v>#DIV/0!</v>
      </c>
      <c r="G26" s="87" t="e">
        <f>AVERAGE(G16:G20)</f>
        <v>#DIV/0!</v>
      </c>
    </row>
    <row r="27" spans="1:7" s="79" customFormat="1" ht="14.25" customHeight="1" thickBot="1" x14ac:dyDescent="0.3">
      <c r="A27" s="25"/>
      <c r="B27" s="148"/>
      <c r="C27" s="68"/>
      <c r="D27" s="69"/>
      <c r="E27" s="68"/>
      <c r="F27" s="80"/>
      <c r="G27" s="154"/>
    </row>
    <row r="28" spans="1:7" s="79" customFormat="1" ht="15.75" customHeight="1" thickBot="1" x14ac:dyDescent="0.3">
      <c r="A28" s="25"/>
      <c r="B28" s="127"/>
      <c r="C28" s="68"/>
      <c r="D28" s="69"/>
      <c r="E28" s="70"/>
      <c r="F28" s="71"/>
      <c r="G28" s="154"/>
    </row>
    <row r="29" spans="1:7" s="79" customFormat="1" ht="13.5" customHeight="1" thickBot="1" x14ac:dyDescent="0.3">
      <c r="A29" s="25"/>
      <c r="B29" s="127"/>
      <c r="C29" s="68"/>
      <c r="D29" s="69"/>
      <c r="E29" s="70"/>
      <c r="F29" s="71"/>
      <c r="G29" s="154"/>
    </row>
    <row r="30" spans="1:7" s="79" customFormat="1" ht="12.75" customHeight="1" thickBot="1" x14ac:dyDescent="0.3">
      <c r="A30" s="25"/>
      <c r="B30" s="127"/>
      <c r="C30" s="68"/>
      <c r="D30" s="69"/>
      <c r="E30" s="70"/>
      <c r="F30" s="71"/>
      <c r="G30" s="154"/>
    </row>
    <row r="31" spans="1:7" s="79" customFormat="1" ht="14.25" thickBot="1" x14ac:dyDescent="0.3">
      <c r="A31" s="25"/>
      <c r="B31" s="127"/>
      <c r="C31" s="68"/>
      <c r="D31" s="69"/>
      <c r="E31" s="70"/>
      <c r="F31" s="71"/>
      <c r="G31" s="154"/>
    </row>
    <row r="32" spans="1:7" s="79" customFormat="1" ht="14.25" customHeight="1" outlineLevel="1" thickBot="1" x14ac:dyDescent="0.3">
      <c r="A32" s="149"/>
      <c r="B32" s="125"/>
      <c r="C32" s="70"/>
      <c r="D32" s="74"/>
      <c r="E32" s="70"/>
      <c r="F32" s="71"/>
      <c r="G32" s="154">
        <f>SUM(C32:F32)</f>
        <v>0</v>
      </c>
    </row>
    <row r="33" spans="1:8" s="79" customFormat="1" ht="14.25" customHeight="1" outlineLevel="1" thickBot="1" x14ac:dyDescent="0.3">
      <c r="A33" s="149"/>
      <c r="B33" s="125"/>
      <c r="C33" s="75"/>
      <c r="D33" s="76"/>
      <c r="E33" s="75"/>
      <c r="F33" s="77"/>
      <c r="G33" s="154">
        <f>SUM(C33:F33)</f>
        <v>0</v>
      </c>
    </row>
    <row r="34" spans="1:8" s="79" customFormat="1" ht="14.25" customHeight="1" outlineLevel="1" thickBot="1" x14ac:dyDescent="0.3">
      <c r="A34" s="108" t="s">
        <v>21</v>
      </c>
      <c r="B34" s="681" t="s">
        <v>26</v>
      </c>
      <c r="C34" s="119">
        <f>SUM(C27:C33)</f>
        <v>0</v>
      </c>
      <c r="D34" s="119">
        <f>SUM(D27:D33)</f>
        <v>0</v>
      </c>
      <c r="E34" s="119">
        <f>SUM(E27:E33)</f>
        <v>0</v>
      </c>
      <c r="F34" s="119">
        <f>SUM(F27:F33)</f>
        <v>0</v>
      </c>
      <c r="G34" s="119">
        <f>SUM(G27:G33)</f>
        <v>0</v>
      </c>
    </row>
    <row r="35" spans="1:8" s="79" customFormat="1" ht="14.25" customHeight="1" outlineLevel="1" thickBot="1" x14ac:dyDescent="0.3">
      <c r="A35" s="109" t="s">
        <v>23</v>
      </c>
      <c r="B35" s="682"/>
      <c r="C35" s="120" t="e">
        <f>AVERAGE(C27:C33)</f>
        <v>#DIV/0!</v>
      </c>
      <c r="D35" s="120" t="e">
        <f>AVERAGE(D27:D33)</f>
        <v>#DIV/0!</v>
      </c>
      <c r="E35" s="120" t="e">
        <f>AVERAGE(E27:E33)</f>
        <v>#DIV/0!</v>
      </c>
      <c r="F35" s="120" t="e">
        <f>AVERAGE(F27:F33)</f>
        <v>#DIV/0!</v>
      </c>
      <c r="G35" s="120">
        <f>AVERAGE(G27:G33)</f>
        <v>0</v>
      </c>
    </row>
    <row r="36" spans="1:8" s="79" customFormat="1" ht="14.25" customHeight="1" thickBot="1" x14ac:dyDescent="0.3">
      <c r="A36" s="26" t="s">
        <v>20</v>
      </c>
      <c r="B36" s="682"/>
      <c r="C36" s="86">
        <f>SUM(C27:C31)</f>
        <v>0</v>
      </c>
      <c r="D36" s="86">
        <f>SUM(D27:D31)</f>
        <v>0</v>
      </c>
      <c r="E36" s="86">
        <f>SUM(E27:E31)</f>
        <v>0</v>
      </c>
      <c r="F36" s="86">
        <f>SUM(F27:F31)</f>
        <v>0</v>
      </c>
      <c r="G36" s="86">
        <f>SUM(G27:G31)</f>
        <v>0</v>
      </c>
    </row>
    <row r="37" spans="1:8" s="79" customFormat="1" ht="15.75" customHeight="1" thickBot="1" x14ac:dyDescent="0.3">
      <c r="A37" s="26" t="s">
        <v>22</v>
      </c>
      <c r="B37" s="683"/>
      <c r="C37" s="87" t="e">
        <f>AVERAGE(C27:C31)</f>
        <v>#DIV/0!</v>
      </c>
      <c r="D37" s="87" t="e">
        <f>AVERAGE(D27:D31)</f>
        <v>#DIV/0!</v>
      </c>
      <c r="E37" s="87" t="e">
        <f>AVERAGE(E27:E31)</f>
        <v>#DIV/0!</v>
      </c>
      <c r="F37" s="87" t="e">
        <f>AVERAGE(F27:F31)</f>
        <v>#DIV/0!</v>
      </c>
      <c r="G37" s="87" t="e">
        <f>AVERAGE(G27:G31)</f>
        <v>#DIV/0!</v>
      </c>
    </row>
    <row r="38" spans="1:8" s="79" customFormat="1" ht="12.75" customHeight="1" thickBot="1" x14ac:dyDescent="0.3">
      <c r="A38" s="25"/>
      <c r="B38" s="148"/>
      <c r="C38" s="68"/>
      <c r="D38" s="69"/>
      <c r="E38" s="68"/>
      <c r="F38" s="80"/>
      <c r="G38" s="81"/>
    </row>
    <row r="39" spans="1:8" s="79" customFormat="1" ht="15.75" customHeight="1" thickBot="1" x14ac:dyDescent="0.3">
      <c r="A39" s="25"/>
      <c r="B39" s="127"/>
      <c r="C39" s="68"/>
      <c r="D39" s="69"/>
      <c r="E39" s="70"/>
      <c r="F39" s="71"/>
      <c r="G39" s="72"/>
    </row>
    <row r="40" spans="1:8" s="79" customFormat="1" ht="17.25" customHeight="1" thickBot="1" x14ac:dyDescent="0.3">
      <c r="A40" s="25"/>
      <c r="B40" s="127"/>
      <c r="C40" s="68"/>
      <c r="D40" s="69"/>
      <c r="E40" s="70"/>
      <c r="F40" s="71"/>
      <c r="G40" s="72"/>
    </row>
    <row r="41" spans="1:8" s="79" customFormat="1" ht="14.25" customHeight="1" thickBot="1" x14ac:dyDescent="0.3">
      <c r="A41" s="25"/>
      <c r="B41" s="127"/>
      <c r="C41" s="68"/>
      <c r="D41" s="69"/>
      <c r="E41" s="70"/>
      <c r="F41" s="71"/>
      <c r="G41" s="72"/>
    </row>
    <row r="42" spans="1:8" s="79" customFormat="1" ht="17.25" customHeight="1" thickBot="1" x14ac:dyDescent="0.3">
      <c r="A42" s="25"/>
      <c r="B42" s="127"/>
      <c r="C42" s="68"/>
      <c r="D42" s="69"/>
      <c r="E42" s="70"/>
      <c r="F42" s="71"/>
      <c r="G42" s="72"/>
    </row>
    <row r="43" spans="1:8" s="79" customFormat="1" ht="14.25" customHeight="1" outlineLevel="1" thickBot="1" x14ac:dyDescent="0.3">
      <c r="A43" s="149"/>
      <c r="B43" s="125"/>
      <c r="C43" s="70"/>
      <c r="D43" s="74"/>
      <c r="E43" s="70"/>
      <c r="F43" s="71"/>
      <c r="G43" s="72">
        <f>SUM(C43:F43)</f>
        <v>0</v>
      </c>
      <c r="H43" s="122"/>
    </row>
    <row r="44" spans="1:8" s="79" customFormat="1" ht="14.25" customHeight="1" outlineLevel="1" thickBot="1" x14ac:dyDescent="0.3">
      <c r="A44" s="149"/>
      <c r="B44" s="125"/>
      <c r="C44" s="75"/>
      <c r="D44" s="76"/>
      <c r="E44" s="75"/>
      <c r="F44" s="77"/>
      <c r="G44" s="78">
        <f>SUM(C44:F44)</f>
        <v>0</v>
      </c>
      <c r="H44" s="122"/>
    </row>
    <row r="45" spans="1:8" s="79" customFormat="1" ht="14.25" customHeight="1" outlineLevel="1" thickBot="1" x14ac:dyDescent="0.3">
      <c r="A45" s="108" t="s">
        <v>21</v>
      </c>
      <c r="B45" s="681" t="s">
        <v>27</v>
      </c>
      <c r="C45" s="119">
        <f>SUM(C38:C44)</f>
        <v>0</v>
      </c>
      <c r="D45" s="119">
        <f>SUM(D38:D44)</f>
        <v>0</v>
      </c>
      <c r="E45" s="119">
        <f>SUM(E38:E44)</f>
        <v>0</v>
      </c>
      <c r="F45" s="119">
        <f>SUM(F38:F44)</f>
        <v>0</v>
      </c>
      <c r="G45" s="119">
        <f>SUM(G38:G44)</f>
        <v>0</v>
      </c>
    </row>
    <row r="46" spans="1:8" s="79" customFormat="1" ht="14.25" customHeight="1" outlineLevel="1" thickBot="1" x14ac:dyDescent="0.3">
      <c r="A46" s="109" t="s">
        <v>23</v>
      </c>
      <c r="B46" s="682"/>
      <c r="C46" s="120" t="e">
        <f>AVERAGE(C38:C44)</f>
        <v>#DIV/0!</v>
      </c>
      <c r="D46" s="120" t="e">
        <f>AVERAGE(D38:D44)</f>
        <v>#DIV/0!</v>
      </c>
      <c r="E46" s="120" t="e">
        <f>AVERAGE(E38:E44)</f>
        <v>#DIV/0!</v>
      </c>
      <c r="F46" s="120" t="e">
        <f>AVERAGE(F38:F44)</f>
        <v>#DIV/0!</v>
      </c>
      <c r="G46" s="120">
        <f>AVERAGE(G38:G44)</f>
        <v>0</v>
      </c>
    </row>
    <row r="47" spans="1:8" s="79" customFormat="1" ht="14.25" customHeight="1" thickBot="1" x14ac:dyDescent="0.3">
      <c r="A47" s="26" t="s">
        <v>20</v>
      </c>
      <c r="B47" s="682"/>
      <c r="C47" s="86">
        <f>SUM(C38:C42)</f>
        <v>0</v>
      </c>
      <c r="D47" s="86">
        <f>SUM(D38:D42)</f>
        <v>0</v>
      </c>
      <c r="E47" s="86">
        <f>SUM(E38:E42)</f>
        <v>0</v>
      </c>
      <c r="F47" s="86">
        <f>SUM(F38:F42)</f>
        <v>0</v>
      </c>
      <c r="G47" s="86">
        <f>SUM(G38:G42)</f>
        <v>0</v>
      </c>
    </row>
    <row r="48" spans="1:8" s="79" customFormat="1" ht="13.5" customHeight="1" thickBot="1" x14ac:dyDescent="0.3">
      <c r="A48" s="26" t="s">
        <v>22</v>
      </c>
      <c r="B48" s="683"/>
      <c r="C48" s="87" t="e">
        <f>AVERAGE(C38:C42)</f>
        <v>#DIV/0!</v>
      </c>
      <c r="D48" s="87" t="e">
        <f>AVERAGE(D38:D42)</f>
        <v>#DIV/0!</v>
      </c>
      <c r="E48" s="87" t="e">
        <f>AVERAGE(E38:E42)</f>
        <v>#DIV/0!</v>
      </c>
      <c r="F48" s="87" t="e">
        <f>AVERAGE(F38:F42)</f>
        <v>#DIV/0!</v>
      </c>
      <c r="G48" s="87" t="e">
        <f>AVERAGE(G38:G42)</f>
        <v>#DIV/0!</v>
      </c>
    </row>
    <row r="49" spans="1:7" s="79" customFormat="1" ht="13.5" customHeight="1" thickBot="1" x14ac:dyDescent="0.3">
      <c r="A49" s="25"/>
      <c r="B49" s="126"/>
      <c r="C49" s="143"/>
      <c r="D49" s="144"/>
      <c r="E49" s="68"/>
      <c r="F49" s="80"/>
      <c r="G49" s="81"/>
    </row>
    <row r="50" spans="1:7" s="79" customFormat="1" ht="14.25" customHeight="1" thickBot="1" x14ac:dyDescent="0.3">
      <c r="A50" s="25"/>
      <c r="B50" s="142"/>
      <c r="C50" s="145"/>
      <c r="D50" s="146"/>
      <c r="E50" s="70"/>
      <c r="F50" s="71"/>
      <c r="G50" s="72"/>
    </row>
    <row r="51" spans="1:7" s="79" customFormat="1" ht="13.5" customHeight="1" thickBot="1" x14ac:dyDescent="0.3">
      <c r="A51" s="25"/>
      <c r="B51" s="142"/>
      <c r="C51" s="68"/>
      <c r="D51" s="80"/>
      <c r="E51" s="70"/>
      <c r="F51" s="71"/>
      <c r="G51" s="72"/>
    </row>
    <row r="52" spans="1:7" s="79" customFormat="1" ht="13.5" customHeight="1" thickBot="1" x14ac:dyDescent="0.3">
      <c r="A52" s="149"/>
      <c r="B52" s="142"/>
      <c r="C52" s="68"/>
      <c r="D52" s="80"/>
      <c r="E52" s="70"/>
      <c r="F52" s="71"/>
      <c r="G52" s="72"/>
    </row>
    <row r="53" spans="1:7" s="79" customFormat="1" ht="12" customHeight="1" x14ac:dyDescent="0.25">
      <c r="A53" s="149"/>
      <c r="B53" s="142"/>
      <c r="C53" s="143"/>
      <c r="D53" s="180"/>
      <c r="E53" s="75"/>
      <c r="F53" s="77"/>
      <c r="G53" s="78"/>
    </row>
    <row r="54" spans="1:7" s="79" customFormat="1" ht="14.25" customHeight="1" outlineLevel="1" thickBot="1" x14ac:dyDescent="0.3">
      <c r="A54" s="183"/>
      <c r="B54" s="192"/>
      <c r="C54" s="70"/>
      <c r="D54" s="71"/>
      <c r="E54" s="70"/>
      <c r="F54" s="71"/>
      <c r="G54" s="70">
        <f>SUM(C54:F54)</f>
        <v>0</v>
      </c>
    </row>
    <row r="55" spans="1:7" s="79" customFormat="1" ht="16.5" hidden="1" customHeight="1" outlineLevel="1" thickBot="1" x14ac:dyDescent="0.3">
      <c r="A55" s="149" t="s">
        <v>2</v>
      </c>
      <c r="B55" s="125">
        <f>B54+1</f>
        <v>1</v>
      </c>
      <c r="C55" s="181"/>
      <c r="D55" s="182"/>
      <c r="E55" s="143"/>
      <c r="F55" s="180"/>
      <c r="G55" s="70">
        <f>SUM(C55:F55)</f>
        <v>0</v>
      </c>
    </row>
    <row r="56" spans="1:7" s="79" customFormat="1" ht="16.5" customHeight="1" outlineLevel="1" thickBot="1" x14ac:dyDescent="0.3">
      <c r="A56" s="108" t="s">
        <v>21</v>
      </c>
      <c r="B56" s="681" t="s">
        <v>28</v>
      </c>
      <c r="C56" s="119">
        <f>SUM(C49:C55)</f>
        <v>0</v>
      </c>
      <c r="D56" s="119">
        <f>SUM(D49:D55)</f>
        <v>0</v>
      </c>
      <c r="E56" s="119">
        <f>SUM(E49:E55)</f>
        <v>0</v>
      </c>
      <c r="F56" s="119">
        <f>SUM(F49:F55)</f>
        <v>0</v>
      </c>
      <c r="G56" s="119">
        <f>SUM(G49:G55)</f>
        <v>0</v>
      </c>
    </row>
    <row r="57" spans="1:7" s="79" customFormat="1" ht="14.25" customHeight="1" outlineLevel="1" thickBot="1" x14ac:dyDescent="0.3">
      <c r="A57" s="109" t="s">
        <v>23</v>
      </c>
      <c r="B57" s="682"/>
      <c r="C57" s="120" t="e">
        <f>AVERAGE(C49:C55)</f>
        <v>#DIV/0!</v>
      </c>
      <c r="D57" s="120" t="e">
        <f>AVERAGE(D49:D55)</f>
        <v>#DIV/0!</v>
      </c>
      <c r="E57" s="120" t="e">
        <f>AVERAGE(E49:E55)</f>
        <v>#DIV/0!</v>
      </c>
      <c r="F57" s="120" t="e">
        <f>AVERAGE(F49:F55)</f>
        <v>#DIV/0!</v>
      </c>
      <c r="G57" s="120">
        <f>AVERAGE(G49:G55)</f>
        <v>0</v>
      </c>
    </row>
    <row r="58" spans="1:7" s="79" customFormat="1" ht="15.75" customHeight="1" thickBot="1" x14ac:dyDescent="0.3">
      <c r="A58" s="26" t="s">
        <v>20</v>
      </c>
      <c r="B58" s="682"/>
      <c r="C58" s="86">
        <f>SUM(C49:C53)</f>
        <v>0</v>
      </c>
      <c r="D58" s="86">
        <f>SUM(D49:D53)</f>
        <v>0</v>
      </c>
      <c r="E58" s="86">
        <f>SUM(E49:E53)</f>
        <v>0</v>
      </c>
      <c r="F58" s="86">
        <f>SUM(F49:F53)</f>
        <v>0</v>
      </c>
      <c r="G58" s="86">
        <f>SUM(G49:G53)</f>
        <v>0</v>
      </c>
    </row>
    <row r="59" spans="1:7" s="79" customFormat="1" ht="14.25" customHeight="1" thickBot="1" x14ac:dyDescent="0.3">
      <c r="A59" s="26" t="s">
        <v>22</v>
      </c>
      <c r="B59" s="683"/>
      <c r="C59" s="87" t="e">
        <f>AVERAGE(C49:C53)</f>
        <v>#DIV/0!</v>
      </c>
      <c r="D59" s="87" t="e">
        <f>AVERAGE(D49:D53)</f>
        <v>#DIV/0!</v>
      </c>
      <c r="E59" s="87" t="e">
        <f>AVERAGE(E49:E53)</f>
        <v>#DIV/0!</v>
      </c>
      <c r="F59" s="87" t="e">
        <f>AVERAGE(F49:F53)</f>
        <v>#DIV/0!</v>
      </c>
      <c r="G59" s="87" t="e">
        <f>AVERAGE(G49:G53)</f>
        <v>#DIV/0!</v>
      </c>
    </row>
    <row r="60" spans="1:7" s="79" customFormat="1" ht="1.5" hidden="1" customHeight="1" x14ac:dyDescent="0.25">
      <c r="A60" s="138"/>
      <c r="B60" s="129"/>
      <c r="C60" s="68"/>
      <c r="D60" s="69"/>
      <c r="E60" s="68"/>
      <c r="F60" s="80"/>
      <c r="G60" s="81"/>
    </row>
    <row r="61" spans="1:7" s="79" customFormat="1" ht="17.25" hidden="1" customHeight="1" x14ac:dyDescent="0.25">
      <c r="A61" s="139"/>
      <c r="B61" s="127"/>
      <c r="C61" s="68"/>
      <c r="D61" s="69"/>
      <c r="E61" s="70"/>
      <c r="F61" s="71"/>
      <c r="G61" s="72"/>
    </row>
    <row r="62" spans="1:7" s="79" customFormat="1" ht="18" hidden="1" customHeight="1" x14ac:dyDescent="0.25">
      <c r="A62" s="134"/>
      <c r="B62" s="127"/>
      <c r="C62" s="68"/>
      <c r="D62" s="69"/>
      <c r="E62" s="70"/>
      <c r="F62" s="71"/>
      <c r="G62" s="72"/>
    </row>
    <row r="63" spans="1:7" s="79" customFormat="1" ht="16.5" hidden="1" customHeight="1" x14ac:dyDescent="0.25">
      <c r="A63" s="134"/>
      <c r="B63" s="127"/>
      <c r="C63" s="68"/>
      <c r="D63" s="69"/>
      <c r="E63" s="70"/>
      <c r="F63" s="71"/>
      <c r="G63" s="72"/>
    </row>
    <row r="64" spans="1:7" s="79" customFormat="1" ht="15" hidden="1" customHeight="1" x14ac:dyDescent="0.25">
      <c r="A64" s="134"/>
      <c r="B64" s="127"/>
      <c r="C64" s="68"/>
      <c r="D64" s="69"/>
      <c r="E64" s="70"/>
      <c r="F64" s="71"/>
      <c r="G64" s="72"/>
    </row>
    <row r="65" spans="1:7" s="79" customFormat="1" ht="17.25" hidden="1" customHeight="1" outlineLevel="1" x14ac:dyDescent="0.25">
      <c r="A65" s="134"/>
      <c r="B65" s="127"/>
      <c r="C65" s="70"/>
      <c r="D65" s="74"/>
      <c r="E65" s="70"/>
      <c r="F65" s="71"/>
      <c r="G65" s="72"/>
    </row>
    <row r="66" spans="1:7" s="79" customFormat="1" ht="12" hidden="1" customHeight="1" outlineLevel="1" thickBot="1" x14ac:dyDescent="0.3">
      <c r="A66" s="134"/>
      <c r="B66" s="128"/>
      <c r="C66" s="75"/>
      <c r="D66" s="76"/>
      <c r="E66" s="75"/>
      <c r="F66" s="77"/>
      <c r="G66" s="78"/>
    </row>
    <row r="67" spans="1:7" s="79" customFormat="1" ht="15" hidden="1" customHeight="1" outlineLevel="1" thickBot="1" x14ac:dyDescent="0.3">
      <c r="A67" s="108" t="s">
        <v>21</v>
      </c>
      <c r="B67" s="681" t="s">
        <v>32</v>
      </c>
      <c r="C67" s="119">
        <f>SUM(C60:C66)</f>
        <v>0</v>
      </c>
      <c r="D67" s="119">
        <f>SUM(D60:D66)</f>
        <v>0</v>
      </c>
      <c r="E67" s="119">
        <f>SUM(E60:E66)</f>
        <v>0</v>
      </c>
      <c r="F67" s="119">
        <f>SUM(F60:F66)</f>
        <v>0</v>
      </c>
      <c r="G67" s="119">
        <f>SUM(G60:G66)</f>
        <v>0</v>
      </c>
    </row>
    <row r="68" spans="1:7" s="79" customFormat="1" ht="14.25" hidden="1" customHeight="1" outlineLevel="1" thickBot="1" x14ac:dyDescent="0.3">
      <c r="A68" s="109" t="s">
        <v>23</v>
      </c>
      <c r="B68" s="682"/>
      <c r="C68" s="120" t="e">
        <f>AVERAGE(C60:C66)</f>
        <v>#DIV/0!</v>
      </c>
      <c r="D68" s="120" t="e">
        <f>AVERAGE(D60:D66)</f>
        <v>#DIV/0!</v>
      </c>
      <c r="E68" s="120" t="e">
        <f>AVERAGE(E60:E66)</f>
        <v>#DIV/0!</v>
      </c>
      <c r="F68" s="120" t="e">
        <f>AVERAGE(F60:F66)</f>
        <v>#DIV/0!</v>
      </c>
      <c r="G68" s="120" t="e">
        <f>AVERAGE(G60:G66)</f>
        <v>#DIV/0!</v>
      </c>
    </row>
    <row r="69" spans="1:7" s="79" customFormat="1" ht="15.75" hidden="1" customHeight="1" thickBot="1" x14ac:dyDescent="0.3">
      <c r="A69" s="26" t="s">
        <v>20</v>
      </c>
      <c r="B69" s="682"/>
      <c r="C69" s="86">
        <f>SUM(C60:C64)</f>
        <v>0</v>
      </c>
      <c r="D69" s="86">
        <f>SUM(D60:D64)</f>
        <v>0</v>
      </c>
      <c r="E69" s="86">
        <f>SUM(E60:E64)</f>
        <v>0</v>
      </c>
      <c r="F69" s="86">
        <f>SUM(F60:F64)</f>
        <v>0</v>
      </c>
      <c r="G69" s="86">
        <f>SUM(G60:G64)</f>
        <v>0</v>
      </c>
    </row>
    <row r="70" spans="1:7" s="79" customFormat="1" ht="17.25" hidden="1" customHeight="1" thickBot="1" x14ac:dyDescent="0.3">
      <c r="A70" s="26" t="s">
        <v>22</v>
      </c>
      <c r="B70" s="683"/>
      <c r="C70" s="87" t="e">
        <f>AVERAGE(C60:C64)</f>
        <v>#DIV/0!</v>
      </c>
      <c r="D70" s="87" t="e">
        <f>AVERAGE(D60:D64)</f>
        <v>#DIV/0!</v>
      </c>
      <c r="E70" s="87" t="e">
        <f>AVERAGE(E60:E64)</f>
        <v>#DIV/0!</v>
      </c>
      <c r="F70" s="87" t="e">
        <f>AVERAGE(F60:F64)</f>
        <v>#DIV/0!</v>
      </c>
      <c r="G70" s="87" t="e">
        <f>AVERAGE(G60:G64)</f>
        <v>#DIV/0!</v>
      </c>
    </row>
    <row r="71" spans="1:7" s="79" customFormat="1" ht="14.25" customHeight="1" x14ac:dyDescent="0.25">
      <c r="A71" s="48"/>
      <c r="B71" s="49"/>
      <c r="C71" s="82"/>
      <c r="D71" s="82"/>
      <c r="E71" s="82"/>
      <c r="F71" s="82"/>
      <c r="G71" s="82"/>
    </row>
    <row r="72" spans="1:7" s="79" customFormat="1" ht="30" customHeight="1" x14ac:dyDescent="0.25">
      <c r="B72" s="83"/>
      <c r="C72" s="39" t="s">
        <v>50</v>
      </c>
      <c r="D72" s="39" t="s">
        <v>51</v>
      </c>
      <c r="E72" s="689" t="s">
        <v>60</v>
      </c>
      <c r="F72" s="690"/>
      <c r="G72" s="691"/>
    </row>
    <row r="73" spans="1:7" ht="30" customHeight="1" x14ac:dyDescent="0.25">
      <c r="B73" s="42" t="s">
        <v>29</v>
      </c>
      <c r="C73" s="84">
        <f>SUM(C56:D56, C45:D45, C34:D34, C23:D23, C12:D12, C67:D67)</f>
        <v>0</v>
      </c>
      <c r="D73" s="84">
        <f>SUM(E67:F67, E56:F56, E45:F45, E34:F34, E23:F23, E12:F12)</f>
        <v>0</v>
      </c>
      <c r="E73" s="677" t="s">
        <v>29</v>
      </c>
      <c r="F73" s="678"/>
      <c r="G73" s="106">
        <f>SUM(G12, G23, G34, G45, G56, G67)</f>
        <v>0</v>
      </c>
    </row>
    <row r="74" spans="1:7" ht="30" customHeight="1" x14ac:dyDescent="0.25">
      <c r="B74" s="42" t="s">
        <v>30</v>
      </c>
      <c r="C74" s="84">
        <f>SUM(C58:D58, C47:D47, C36:D36, C25:D25, C14:D14, C69:D69)</f>
        <v>0</v>
      </c>
      <c r="D74" s="84">
        <f>SUM(E69:F69, E58:F58, E47:F47, E36:F36, E25:F25, E14:F14)</f>
        <v>0</v>
      </c>
      <c r="E74" s="741" t="s">
        <v>30</v>
      </c>
      <c r="F74" s="741"/>
      <c r="G74" s="107">
        <f>SUM(G58, G47, G36, G25, G14, G69)</f>
        <v>0</v>
      </c>
    </row>
    <row r="75" spans="1:7" ht="30" customHeight="1" x14ac:dyDescent="0.25">
      <c r="E75" s="677" t="s">
        <v>61</v>
      </c>
      <c r="F75" s="678"/>
      <c r="G75" s="107">
        <f>AVERAGE(G12, G23, G34, G45, G56, G67)</f>
        <v>0</v>
      </c>
    </row>
    <row r="76" spans="1:7" ht="30" customHeight="1" x14ac:dyDescent="0.25">
      <c r="E76" s="741" t="s">
        <v>22</v>
      </c>
      <c r="F76" s="741"/>
      <c r="G76" s="106">
        <f>AVERAGE(G58, G47, G36, G25, G14, G69)</f>
        <v>0</v>
      </c>
    </row>
    <row r="86" spans="2:2" x14ac:dyDescent="0.25">
      <c r="B86" s="85"/>
    </row>
    <row r="87" spans="2:2" x14ac:dyDescent="0.25">
      <c r="B87" s="85"/>
    </row>
    <row r="88" spans="2:2" x14ac:dyDescent="0.25">
      <c r="B88" s="85"/>
    </row>
    <row r="89" spans="2:2" x14ac:dyDescent="0.25">
      <c r="B89" s="85"/>
    </row>
    <row r="90" spans="2:2" x14ac:dyDescent="0.25">
      <c r="B90" s="85"/>
    </row>
    <row r="91" spans="2:2" x14ac:dyDescent="0.25">
      <c r="B91" s="85"/>
    </row>
    <row r="92" spans="2:2" x14ac:dyDescent="0.25">
      <c r="B92" s="85"/>
    </row>
    <row r="97" spans="2:2" x14ac:dyDescent="0.25">
      <c r="B97" s="85"/>
    </row>
    <row r="98" spans="2:2" x14ac:dyDescent="0.25">
      <c r="B98" s="85"/>
    </row>
    <row r="99" spans="2:2" x14ac:dyDescent="0.25">
      <c r="B99" s="85"/>
    </row>
    <row r="100" spans="2:2" x14ac:dyDescent="0.25">
      <c r="B100" s="85"/>
    </row>
    <row r="101" spans="2:2" x14ac:dyDescent="0.25">
      <c r="B101" s="85"/>
    </row>
    <row r="102" spans="2:2" x14ac:dyDescent="0.25">
      <c r="B102" s="85"/>
    </row>
    <row r="103" spans="2:2" x14ac:dyDescent="0.25">
      <c r="B103" s="85"/>
    </row>
    <row r="104" spans="2:2" x14ac:dyDescent="0.25">
      <c r="B104" s="85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zoomScaleNormal="100" workbookViewId="0">
      <selection activeCell="A2" sqref="A2:B2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630" t="s">
        <v>127</v>
      </c>
      <c r="B1" s="631"/>
    </row>
    <row r="2" spans="1:2" ht="15.75" thickBot="1" x14ac:dyDescent="0.3">
      <c r="A2" s="632"/>
      <c r="B2" s="633"/>
    </row>
    <row r="3" spans="1:2" ht="15.75" thickBot="1" x14ac:dyDescent="0.3">
      <c r="A3" s="583" t="s">
        <v>44</v>
      </c>
      <c r="B3" s="628"/>
    </row>
    <row r="4" spans="1:2" ht="12.75" customHeight="1" x14ac:dyDescent="0.25">
      <c r="A4" s="567" t="s">
        <v>45</v>
      </c>
      <c r="B4" s="569">
        <f>SUM('NY Waterway-(Port Imperial FC)'!H79)</f>
        <v>381333</v>
      </c>
    </row>
    <row r="5" spans="1:2" ht="13.5" customHeight="1" thickBot="1" x14ac:dyDescent="0.3">
      <c r="A5" s="568"/>
      <c r="B5" s="570"/>
    </row>
    <row r="6" spans="1:2" ht="12.75" customHeight="1" x14ac:dyDescent="0.25">
      <c r="A6" s="564" t="s">
        <v>46</v>
      </c>
      <c r="B6" s="576">
        <f>SUM('NY Waterway-(Billy Bey FC)'!F82)</f>
        <v>305701</v>
      </c>
    </row>
    <row r="7" spans="1:2" ht="13.5" customHeight="1" thickBot="1" x14ac:dyDescent="0.3">
      <c r="A7" s="626"/>
      <c r="B7" s="577"/>
    </row>
    <row r="8" spans="1:2" ht="12.75" customHeight="1" x14ac:dyDescent="0.25">
      <c r="A8" s="567" t="s">
        <v>47</v>
      </c>
      <c r="B8" s="569">
        <f>SUM(SeaStreak!G79)</f>
        <v>91262</v>
      </c>
    </row>
    <row r="9" spans="1:2" ht="13.5" customHeight="1" thickBot="1" x14ac:dyDescent="0.3">
      <c r="A9" s="624"/>
      <c r="B9" s="570"/>
    </row>
    <row r="10" spans="1:2" ht="12.75" customHeight="1" x14ac:dyDescent="0.25">
      <c r="A10" s="564" t="s">
        <v>48</v>
      </c>
      <c r="B10" s="576">
        <f>'New York Water Taxi'!M79</f>
        <v>33654</v>
      </c>
    </row>
    <row r="11" spans="1:2" ht="13.5" customHeight="1" thickBot="1" x14ac:dyDescent="0.3">
      <c r="A11" s="625"/>
      <c r="B11" s="577"/>
    </row>
    <row r="12" spans="1:2" ht="12.75" customHeight="1" x14ac:dyDescent="0.25">
      <c r="A12" s="578" t="s">
        <v>33</v>
      </c>
      <c r="B12" s="576">
        <f>SUM('Liberty Landing Ferry'!F79)</f>
        <v>19488</v>
      </c>
    </row>
    <row r="13" spans="1:2" ht="13.5" customHeight="1" thickBot="1" x14ac:dyDescent="0.3">
      <c r="A13" s="629"/>
      <c r="B13" s="577"/>
    </row>
    <row r="14" spans="1:2" ht="13.5" customHeight="1" x14ac:dyDescent="0.25">
      <c r="A14" s="578" t="s">
        <v>71</v>
      </c>
      <c r="B14" s="576">
        <f>'NYC Ferry'!E82</f>
        <v>364062</v>
      </c>
    </row>
    <row r="15" spans="1:2" ht="13.5" customHeight="1" thickBot="1" x14ac:dyDescent="0.3">
      <c r="A15" s="629"/>
      <c r="B15" s="577"/>
    </row>
    <row r="16" spans="1:2" ht="13.5" hidden="1" customHeight="1" x14ac:dyDescent="0.25">
      <c r="A16" s="578" t="s">
        <v>66</v>
      </c>
      <c r="B16" s="576">
        <f>'Water Tours'!F74</f>
        <v>0</v>
      </c>
    </row>
    <row r="17" spans="1:2" ht="13.5" hidden="1" customHeight="1" thickBot="1" x14ac:dyDescent="0.3">
      <c r="A17" s="629"/>
      <c r="B17" s="577"/>
    </row>
    <row r="18" spans="1:2" x14ac:dyDescent="0.25">
      <c r="A18" s="581" t="s">
        <v>19</v>
      </c>
      <c r="B18" s="556">
        <f>SUM(B4:B17)</f>
        <v>1195500</v>
      </c>
    </row>
    <row r="19" spans="1:2" ht="15.75" thickBot="1" x14ac:dyDescent="0.3">
      <c r="A19" s="627"/>
      <c r="B19" s="621"/>
    </row>
    <row r="20" spans="1:2" ht="15.75" thickBot="1" x14ac:dyDescent="0.3">
      <c r="A20" s="43"/>
      <c r="B20" s="44"/>
    </row>
    <row r="21" spans="1:2" ht="15.75" thickBot="1" x14ac:dyDescent="0.3">
      <c r="A21" s="583" t="s">
        <v>49</v>
      </c>
      <c r="B21" s="628"/>
    </row>
    <row r="22" spans="1:2" x14ac:dyDescent="0.25">
      <c r="A22" s="567" t="s">
        <v>10</v>
      </c>
      <c r="B22" s="569">
        <f>SUM('NYC Ferry'!C77,'NY Waterway-(Port Imperial FC)'!D78,'NY Waterway-(Billy Bey FC)'!G78,SeaStreak!B78,'New York Water Taxi'!J78,)</f>
        <v>263909</v>
      </c>
    </row>
    <row r="23" spans="1:2" ht="15.75" thickBot="1" x14ac:dyDescent="0.3">
      <c r="A23" s="568"/>
      <c r="B23" s="570"/>
    </row>
    <row r="24" spans="1:2" x14ac:dyDescent="0.25">
      <c r="A24" s="567" t="s">
        <v>67</v>
      </c>
      <c r="B24" s="569">
        <f>SUM('NY Waterway-(Billy Bey FC)'!E78)</f>
        <v>6912</v>
      </c>
    </row>
    <row r="25" spans="1:2" ht="15.75" thickBot="1" x14ac:dyDescent="0.3">
      <c r="A25" s="568"/>
      <c r="B25" s="570"/>
    </row>
    <row r="26" spans="1:2" x14ac:dyDescent="0.25">
      <c r="A26" s="564" t="s">
        <v>8</v>
      </c>
      <c r="B26" s="576">
        <f>SUM('NY Waterway-(Port Imperial FC)'!B78,'NY Waterway-(Billy Bey FC)'!D78)</f>
        <v>308167</v>
      </c>
    </row>
    <row r="27" spans="1:2" ht="15.75" thickBot="1" x14ac:dyDescent="0.3">
      <c r="A27" s="626"/>
      <c r="B27" s="577"/>
    </row>
    <row r="28" spans="1:2" x14ac:dyDescent="0.25">
      <c r="A28" s="567" t="s">
        <v>14</v>
      </c>
      <c r="B28" s="569">
        <f>SUM('NYC Ferry'!D77,SeaStreak!C78,'New York Water Taxi'!H78,)</f>
        <v>105360</v>
      </c>
    </row>
    <row r="29" spans="1:2" ht="15.75" thickBot="1" x14ac:dyDescent="0.3">
      <c r="A29" s="624"/>
      <c r="B29" s="570"/>
    </row>
    <row r="30" spans="1:2" ht="12.75" customHeight="1" x14ac:dyDescent="0.25">
      <c r="A30" s="567" t="s">
        <v>112</v>
      </c>
      <c r="B30" s="569">
        <f>SUM('NY Waterway-(Port Imperial FC)'!C78,'NY Waterway-(Billy Bey FC)'!F78,'Liberty Landing Ferry'!B78)</f>
        <v>263540</v>
      </c>
    </row>
    <row r="31" spans="1:2" ht="15.75" thickBot="1" x14ac:dyDescent="0.3">
      <c r="A31" s="624"/>
      <c r="B31" s="570"/>
    </row>
    <row r="32" spans="1:2" x14ac:dyDescent="0.25">
      <c r="A32" s="564" t="s">
        <v>7</v>
      </c>
      <c r="B32" s="552">
        <f>SUM('New York Water Taxi'!D78)</f>
        <v>5791</v>
      </c>
    </row>
    <row r="33" spans="1:6" ht="15.75" thickBot="1" x14ac:dyDescent="0.3">
      <c r="A33" s="625"/>
      <c r="B33" s="553"/>
    </row>
    <row r="34" spans="1:6" x14ac:dyDescent="0.25">
      <c r="A34" s="567" t="s">
        <v>96</v>
      </c>
      <c r="B34" s="552">
        <f>SUM('New York Water Taxi'!F78)</f>
        <v>5178</v>
      </c>
    </row>
    <row r="35" spans="1:6" ht="15.75" thickBot="1" x14ac:dyDescent="0.3">
      <c r="A35" s="624"/>
      <c r="B35" s="553"/>
    </row>
    <row r="36" spans="1:6" ht="13.5" customHeight="1" x14ac:dyDescent="0.25">
      <c r="A36" s="550" t="s">
        <v>62</v>
      </c>
      <c r="B36" s="552">
        <f>SUM('NYC Ferry'!E77,'New York Water Taxi'!E78)</f>
        <v>38740</v>
      </c>
    </row>
    <row r="37" spans="1:6" ht="14.25" customHeight="1" thickBot="1" x14ac:dyDescent="0.3">
      <c r="A37" s="551"/>
      <c r="B37" s="553"/>
    </row>
    <row r="38" spans="1:6" ht="14.25" customHeight="1" x14ac:dyDescent="0.25">
      <c r="A38" s="550" t="s">
        <v>93</v>
      </c>
      <c r="B38" s="552">
        <f>SUM('New York Water Taxi'!G78)</f>
        <v>3345</v>
      </c>
    </row>
    <row r="39" spans="1:6" ht="14.25" customHeight="1" thickBot="1" x14ac:dyDescent="0.3">
      <c r="A39" s="551"/>
      <c r="B39" s="553"/>
    </row>
    <row r="40" spans="1:6" ht="13.5" customHeight="1" x14ac:dyDescent="0.25">
      <c r="A40" s="550" t="s">
        <v>63</v>
      </c>
      <c r="B40" s="552">
        <f>SUM('NYC Ferry'!I77)</f>
        <v>14301</v>
      </c>
    </row>
    <row r="41" spans="1:6" ht="14.25" customHeight="1" thickBot="1" x14ac:dyDescent="0.3">
      <c r="A41" s="551"/>
      <c r="B41" s="553"/>
    </row>
    <row r="42" spans="1:6" ht="13.5" customHeight="1" x14ac:dyDescent="0.25">
      <c r="A42" s="550" t="s">
        <v>11</v>
      </c>
      <c r="B42" s="552">
        <f>SUM('NYC Ferry'!J77)</f>
        <v>33080</v>
      </c>
    </row>
    <row r="43" spans="1:6" ht="14.25" customHeight="1" thickBot="1" x14ac:dyDescent="0.3">
      <c r="A43" s="551"/>
      <c r="B43" s="553"/>
    </row>
    <row r="44" spans="1:6" ht="13.5" customHeight="1" x14ac:dyDescent="0.25">
      <c r="A44" s="550" t="s">
        <v>12</v>
      </c>
      <c r="B44" s="552">
        <f>SUM('NYC Ferry'!G77)</f>
        <v>17440</v>
      </c>
    </row>
    <row r="45" spans="1:6" ht="14.25" customHeight="1" thickBot="1" x14ac:dyDescent="0.3">
      <c r="A45" s="551"/>
      <c r="B45" s="553"/>
    </row>
    <row r="46" spans="1:6" ht="13.5" customHeight="1" x14ac:dyDescent="0.25">
      <c r="A46" s="550" t="s">
        <v>99</v>
      </c>
      <c r="B46" s="552">
        <f>SUM('NYC Ferry'!H77)</f>
        <v>9537</v>
      </c>
    </row>
    <row r="47" spans="1:6" ht="14.25" customHeight="1" thickBot="1" x14ac:dyDescent="0.3">
      <c r="A47" s="551"/>
      <c r="B47" s="553"/>
    </row>
    <row r="48" spans="1:6" ht="14.25" customHeight="1" x14ac:dyDescent="0.25">
      <c r="A48" s="550" t="s">
        <v>31</v>
      </c>
      <c r="B48" s="552">
        <f>SUM('NYC Ferry'!W77)</f>
        <v>0</v>
      </c>
      <c r="F48" s="6"/>
    </row>
    <row r="49" spans="1:2" ht="14.25" customHeight="1" thickBot="1" x14ac:dyDescent="0.3">
      <c r="A49" s="551"/>
      <c r="B49" s="553"/>
    </row>
    <row r="50" spans="1:2" ht="14.25" customHeight="1" x14ac:dyDescent="0.25">
      <c r="A50" s="550" t="s">
        <v>76</v>
      </c>
      <c r="B50" s="552">
        <f>SUM('NYC Ferry'!N77)</f>
        <v>5357</v>
      </c>
    </row>
    <row r="51" spans="1:2" ht="14.25" customHeight="1" thickBot="1" x14ac:dyDescent="0.3">
      <c r="A51" s="551"/>
      <c r="B51" s="553"/>
    </row>
    <row r="52" spans="1:2" ht="14.25" customHeight="1" x14ac:dyDescent="0.25">
      <c r="A52" s="550" t="s">
        <v>102</v>
      </c>
      <c r="B52" s="552">
        <f>SUM('New York Water Taxi'!K78)</f>
        <v>4271</v>
      </c>
    </row>
    <row r="53" spans="1:2" ht="14.25" customHeight="1" thickBot="1" x14ac:dyDescent="0.3">
      <c r="A53" s="551"/>
      <c r="B53" s="553"/>
    </row>
    <row r="54" spans="1:2" ht="14.25" customHeight="1" x14ac:dyDescent="0.25">
      <c r="A54" s="562" t="s">
        <v>113</v>
      </c>
      <c r="B54" s="552">
        <f>SUM('NYC Ferry'!K77,'New York Water Taxi'!I78)</f>
        <v>10108</v>
      </c>
    </row>
    <row r="55" spans="1:2" ht="14.25" customHeight="1" thickBot="1" x14ac:dyDescent="0.3">
      <c r="A55" s="563"/>
      <c r="B55" s="553"/>
    </row>
    <row r="56" spans="1:2" ht="14.25" customHeight="1" x14ac:dyDescent="0.25">
      <c r="A56" s="550" t="s">
        <v>83</v>
      </c>
      <c r="B56" s="552">
        <f>SUM('NYC Ferry'!V77)</f>
        <v>4986</v>
      </c>
    </row>
    <row r="57" spans="1:2" ht="14.25" customHeight="1" thickBot="1" x14ac:dyDescent="0.3">
      <c r="A57" s="551"/>
      <c r="B57" s="553"/>
    </row>
    <row r="58" spans="1:2" ht="14.25" customHeight="1" x14ac:dyDescent="0.25">
      <c r="A58" s="550" t="s">
        <v>84</v>
      </c>
      <c r="B58" s="552">
        <f>SUM('NYC Ferry'!U77)</f>
        <v>1496</v>
      </c>
    </row>
    <row r="59" spans="1:2" ht="14.25" customHeight="1" thickBot="1" x14ac:dyDescent="0.3">
      <c r="A59" s="551"/>
      <c r="B59" s="553"/>
    </row>
    <row r="60" spans="1:2" ht="14.25" customHeight="1" x14ac:dyDescent="0.25">
      <c r="A60" s="550" t="s">
        <v>86</v>
      </c>
      <c r="B60" s="552">
        <f>SUM('NYC Ferry'!T77)</f>
        <v>15013</v>
      </c>
    </row>
    <row r="61" spans="1:2" ht="14.25" customHeight="1" thickBot="1" x14ac:dyDescent="0.3">
      <c r="A61" s="551"/>
      <c r="B61" s="553"/>
    </row>
    <row r="62" spans="1:2" ht="14.25" customHeight="1" x14ac:dyDescent="0.25">
      <c r="A62" s="550" t="s">
        <v>85</v>
      </c>
      <c r="B62" s="552">
        <f>SUM('NYC Ferry'!S77)</f>
        <v>8710</v>
      </c>
    </row>
    <row r="63" spans="1:2" ht="14.25" customHeight="1" thickBot="1" x14ac:dyDescent="0.3">
      <c r="A63" s="551"/>
      <c r="B63" s="553"/>
    </row>
    <row r="64" spans="1:2" ht="14.25" customHeight="1" x14ac:dyDescent="0.25">
      <c r="A64" s="622" t="s">
        <v>100</v>
      </c>
      <c r="B64" s="552">
        <f>SUM('NYC Ferry'!M77)</f>
        <v>3267</v>
      </c>
    </row>
    <row r="65" spans="1:2" ht="14.25" customHeight="1" thickBot="1" x14ac:dyDescent="0.3">
      <c r="A65" s="623"/>
      <c r="B65" s="553"/>
    </row>
    <row r="66" spans="1:2" ht="14.25" customHeight="1" x14ac:dyDescent="0.25">
      <c r="A66" s="550" t="s">
        <v>115</v>
      </c>
      <c r="B66" s="552">
        <f>SUM('NYC Ferry'!O77)</f>
        <v>4403</v>
      </c>
    </row>
    <row r="67" spans="1:2" ht="14.25" customHeight="1" thickBot="1" x14ac:dyDescent="0.3">
      <c r="A67" s="551"/>
      <c r="B67" s="553"/>
    </row>
    <row r="68" spans="1:2" ht="14.25" customHeight="1" x14ac:dyDescent="0.25">
      <c r="A68" s="550" t="s">
        <v>70</v>
      </c>
      <c r="B68" s="552">
        <f>SUM('NYC Ferry'!L77)</f>
        <v>14384</v>
      </c>
    </row>
    <row r="69" spans="1:2" ht="14.25" customHeight="1" thickBot="1" x14ac:dyDescent="0.3">
      <c r="A69" s="551"/>
      <c r="B69" s="553"/>
    </row>
    <row r="70" spans="1:2" ht="14.25" customHeight="1" x14ac:dyDescent="0.25">
      <c r="A70" s="550" t="s">
        <v>77</v>
      </c>
      <c r="B70" s="552">
        <f>SUM('NYC Ferry'!R77)</f>
        <v>12224</v>
      </c>
    </row>
    <row r="71" spans="1:2" ht="14.25" customHeight="1" thickBot="1" x14ac:dyDescent="0.3">
      <c r="A71" s="551"/>
      <c r="B71" s="553"/>
    </row>
    <row r="72" spans="1:2" ht="14.25" customHeight="1" x14ac:dyDescent="0.25">
      <c r="A72" s="550" t="s">
        <v>78</v>
      </c>
      <c r="B72" s="552">
        <f>SUM('NYC Ferry'!Q77)</f>
        <v>9219</v>
      </c>
    </row>
    <row r="73" spans="1:2" ht="14.25" customHeight="1" thickBot="1" x14ac:dyDescent="0.3">
      <c r="A73" s="551"/>
      <c r="B73" s="553"/>
    </row>
    <row r="74" spans="1:2" ht="14.25" customHeight="1" x14ac:dyDescent="0.25">
      <c r="A74" s="550" t="s">
        <v>106</v>
      </c>
      <c r="B74" s="552">
        <f>SUM('NYC Ferry'!P77)</f>
        <v>7126</v>
      </c>
    </row>
    <row r="75" spans="1:2" ht="14.25" customHeight="1" thickBot="1" x14ac:dyDescent="0.3">
      <c r="A75" s="551"/>
      <c r="B75" s="553"/>
    </row>
    <row r="76" spans="1:2" ht="14.25" customHeight="1" x14ac:dyDescent="0.25">
      <c r="A76" s="550" t="s">
        <v>64</v>
      </c>
      <c r="B76" s="552">
        <f>SUM('NYC Ferry'!F77)</f>
        <v>19636</v>
      </c>
    </row>
    <row r="77" spans="1:2" ht="14.25" customHeight="1" thickBot="1" x14ac:dyDescent="0.3">
      <c r="A77" s="551"/>
      <c r="B77" s="553"/>
    </row>
    <row r="78" spans="1:2" x14ac:dyDescent="0.25">
      <c r="A78" s="608" t="s">
        <v>19</v>
      </c>
      <c r="B78" s="556">
        <f>SUM(B22:B77)</f>
        <v>1195500</v>
      </c>
    </row>
    <row r="79" spans="1:2" ht="15.75" thickBot="1" x14ac:dyDescent="0.3">
      <c r="A79" s="620"/>
      <c r="B79" s="621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J94" s="6"/>
    </row>
    <row r="95" spans="9:10" x14ac:dyDescent="0.25"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  <c r="J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</row>
    <row r="112" spans="9:10" x14ac:dyDescent="0.25">
      <c r="I112" s="6"/>
      <c r="J112" s="6"/>
    </row>
    <row r="113" spans="9:10" x14ac:dyDescent="0.25">
      <c r="I113" s="6"/>
      <c r="J113" s="6"/>
    </row>
    <row r="114" spans="9:10" x14ac:dyDescent="0.25">
      <c r="I114" s="6"/>
      <c r="J114" s="6"/>
    </row>
    <row r="115" spans="9:10" x14ac:dyDescent="0.25">
      <c r="I115" s="6"/>
      <c r="J115" s="6"/>
    </row>
  </sheetData>
  <mergeCells count="78">
    <mergeCell ref="A1:B1"/>
    <mergeCell ref="A2:B2"/>
    <mergeCell ref="A3:B3"/>
    <mergeCell ref="A4:A5"/>
    <mergeCell ref="B4:B5"/>
    <mergeCell ref="B6:B7"/>
    <mergeCell ref="B12:B13"/>
    <mergeCell ref="A18:A19"/>
    <mergeCell ref="B18:B19"/>
    <mergeCell ref="A21:B21"/>
    <mergeCell ref="A14:A15"/>
    <mergeCell ref="B14:B15"/>
    <mergeCell ref="A16:A17"/>
    <mergeCell ref="B16:B17"/>
    <mergeCell ref="A12:A13"/>
    <mergeCell ref="A8:A9"/>
    <mergeCell ref="B8:B9"/>
    <mergeCell ref="A10:A11"/>
    <mergeCell ref="B10:B11"/>
    <mergeCell ref="A6:A7"/>
    <mergeCell ref="A22:A23"/>
    <mergeCell ref="B22:B23"/>
    <mergeCell ref="A26:A27"/>
    <mergeCell ref="B26:B27"/>
    <mergeCell ref="A28:A29"/>
    <mergeCell ref="B28:B29"/>
    <mergeCell ref="A24:A25"/>
    <mergeCell ref="B24:B25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46:A47"/>
    <mergeCell ref="B46:B47"/>
    <mergeCell ref="A48:A49"/>
    <mergeCell ref="B48:B49"/>
    <mergeCell ref="A66:A67"/>
    <mergeCell ref="B66:B67"/>
    <mergeCell ref="A54:A55"/>
    <mergeCell ref="B54:B55"/>
    <mergeCell ref="A50:A51"/>
    <mergeCell ref="B50:B51"/>
    <mergeCell ref="B58:B59"/>
    <mergeCell ref="A60:A61"/>
    <mergeCell ref="A64:A65"/>
    <mergeCell ref="B64:B65"/>
    <mergeCell ref="A52:A53"/>
    <mergeCell ref="B52:B53"/>
    <mergeCell ref="A70:A71"/>
    <mergeCell ref="B70:B71"/>
    <mergeCell ref="A78:A79"/>
    <mergeCell ref="B78:B79"/>
    <mergeCell ref="A68:A69"/>
    <mergeCell ref="B68:B69"/>
    <mergeCell ref="A74:A75"/>
    <mergeCell ref="B74:B75"/>
    <mergeCell ref="A76:A77"/>
    <mergeCell ref="B76:B77"/>
    <mergeCell ref="A72:A73"/>
    <mergeCell ref="B72:B73"/>
    <mergeCell ref="A56:A57"/>
    <mergeCell ref="A58:A59"/>
    <mergeCell ref="B56:B57"/>
    <mergeCell ref="A62:A63"/>
    <mergeCell ref="B60:B61"/>
    <mergeCell ref="B62:B63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4" sqref="C54:AG59"/>
    </sheetView>
  </sheetViews>
  <sheetFormatPr defaultRowHeight="15" x14ac:dyDescent="0.25"/>
  <cols>
    <col min="1" max="1" width="18.7109375" style="1" bestFit="1" customWidth="1"/>
    <col min="2" max="2" width="10.7109375" style="132" bestFit="1" customWidth="1"/>
    <col min="3" max="3" width="10.7109375" style="132" customWidth="1"/>
    <col min="4" max="4" width="12.7109375" style="1" customWidth="1"/>
    <col min="5" max="5" width="14.5703125" style="1" customWidth="1"/>
    <col min="6" max="6" width="13.7109375" style="1" customWidth="1"/>
    <col min="7" max="8" width="11.7109375" style="1" customWidth="1"/>
    <col min="9" max="9" width="14.85546875" style="1" bestFit="1" customWidth="1"/>
    <col min="10" max="10" width="13" style="1" customWidth="1"/>
    <col min="11" max="11" width="11.7109375" style="1" customWidth="1"/>
    <col min="12" max="14" width="11.7109375" style="267" customWidth="1"/>
    <col min="15" max="16" width="11.7109375" style="1" customWidth="1"/>
    <col min="17" max="25" width="11.7109375" style="267" customWidth="1"/>
    <col min="26" max="26" width="13.42578125" customWidth="1"/>
    <col min="27" max="27" width="11" customWidth="1"/>
    <col min="28" max="28" width="10.85546875" style="334" bestFit="1" customWidth="1"/>
    <col min="29" max="29" width="11.7109375" style="267" customWidth="1"/>
    <col min="30" max="30" width="14.28515625" customWidth="1"/>
    <col min="31" max="31" width="12.42578125" customWidth="1"/>
    <col min="32" max="32" width="10.85546875" customWidth="1"/>
    <col min="33" max="33" width="10.5703125" customWidth="1"/>
    <col min="34" max="34" width="9.140625" style="269"/>
    <col min="35" max="35" width="10.5703125" style="269" customWidth="1"/>
  </cols>
  <sheetData>
    <row r="1" spans="1:36" ht="15" customHeight="1" x14ac:dyDescent="0.25">
      <c r="A1" s="655" t="s">
        <v>52</v>
      </c>
      <c r="B1" s="658" t="s">
        <v>53</v>
      </c>
      <c r="C1" s="668" t="s">
        <v>69</v>
      </c>
      <c r="D1" s="669"/>
      <c r="E1" s="669"/>
      <c r="F1" s="669"/>
      <c r="G1" s="669"/>
      <c r="H1" s="669"/>
      <c r="I1" s="670"/>
      <c r="J1" s="662" t="s">
        <v>70</v>
      </c>
      <c r="K1" s="663"/>
      <c r="L1" s="664"/>
      <c r="M1" s="662" t="s">
        <v>74</v>
      </c>
      <c r="N1" s="663"/>
      <c r="O1" s="663"/>
      <c r="P1" s="663"/>
      <c r="Q1" s="663"/>
      <c r="R1" s="663"/>
      <c r="S1" s="634" t="s">
        <v>77</v>
      </c>
      <c r="T1" s="635"/>
      <c r="U1" s="635"/>
      <c r="V1" s="635"/>
      <c r="W1" s="635"/>
      <c r="X1" s="636"/>
      <c r="Y1" s="634" t="s">
        <v>86</v>
      </c>
      <c r="Z1" s="635"/>
      <c r="AA1" s="635"/>
      <c r="AB1" s="636"/>
      <c r="AC1" s="634" t="s">
        <v>82</v>
      </c>
      <c r="AD1" s="635"/>
      <c r="AE1" s="635"/>
      <c r="AF1" s="635"/>
      <c r="AG1" s="636"/>
      <c r="AH1" s="648" t="s">
        <v>105</v>
      </c>
      <c r="AI1" s="649"/>
      <c r="AJ1" s="642"/>
    </row>
    <row r="2" spans="1:36" ht="15.75" customHeight="1" x14ac:dyDescent="0.25">
      <c r="A2" s="656"/>
      <c r="B2" s="659"/>
      <c r="C2" s="671"/>
      <c r="D2" s="672"/>
      <c r="E2" s="672"/>
      <c r="F2" s="672"/>
      <c r="G2" s="672"/>
      <c r="H2" s="672"/>
      <c r="I2" s="673"/>
      <c r="J2" s="665"/>
      <c r="K2" s="666"/>
      <c r="L2" s="667"/>
      <c r="M2" s="665"/>
      <c r="N2" s="666"/>
      <c r="O2" s="666"/>
      <c r="P2" s="666"/>
      <c r="Q2" s="666"/>
      <c r="R2" s="666"/>
      <c r="S2" s="637"/>
      <c r="T2" s="638"/>
      <c r="U2" s="638"/>
      <c r="V2" s="638"/>
      <c r="W2" s="638"/>
      <c r="X2" s="639"/>
      <c r="Y2" s="637"/>
      <c r="Z2" s="638"/>
      <c r="AA2" s="638"/>
      <c r="AB2" s="639"/>
      <c r="AC2" s="637"/>
      <c r="AD2" s="638"/>
      <c r="AE2" s="638"/>
      <c r="AF2" s="638"/>
      <c r="AG2" s="639"/>
      <c r="AH2" s="650"/>
      <c r="AI2" s="651"/>
      <c r="AJ2" s="642"/>
    </row>
    <row r="3" spans="1:36" ht="15" customHeight="1" x14ac:dyDescent="0.25">
      <c r="A3" s="656"/>
      <c r="B3" s="659"/>
      <c r="C3" s="640" t="s">
        <v>10</v>
      </c>
      <c r="D3" s="646" t="s">
        <v>62</v>
      </c>
      <c r="E3" s="646" t="s">
        <v>63</v>
      </c>
      <c r="F3" s="646" t="s">
        <v>11</v>
      </c>
      <c r="G3" s="646" t="s">
        <v>12</v>
      </c>
      <c r="H3" s="646" t="s">
        <v>99</v>
      </c>
      <c r="I3" s="652" t="s">
        <v>14</v>
      </c>
      <c r="J3" s="684" t="s">
        <v>10</v>
      </c>
      <c r="K3" s="646" t="s">
        <v>109</v>
      </c>
      <c r="L3" s="644" t="s">
        <v>70</v>
      </c>
      <c r="M3" s="640" t="s">
        <v>10</v>
      </c>
      <c r="N3" s="646" t="s">
        <v>62</v>
      </c>
      <c r="O3" s="646" t="s">
        <v>116</v>
      </c>
      <c r="P3" s="646" t="s">
        <v>76</v>
      </c>
      <c r="Q3" s="646" t="s">
        <v>109</v>
      </c>
      <c r="R3" s="644" t="s">
        <v>75</v>
      </c>
      <c r="S3" s="640" t="s">
        <v>10</v>
      </c>
      <c r="T3" s="646" t="s">
        <v>106</v>
      </c>
      <c r="U3" s="646" t="s">
        <v>14</v>
      </c>
      <c r="V3" s="646" t="s">
        <v>64</v>
      </c>
      <c r="W3" s="646" t="s">
        <v>78</v>
      </c>
      <c r="X3" s="644" t="s">
        <v>77</v>
      </c>
      <c r="Y3" s="640" t="s">
        <v>10</v>
      </c>
      <c r="Z3" s="646" t="s">
        <v>14</v>
      </c>
      <c r="AA3" s="646" t="s">
        <v>85</v>
      </c>
      <c r="AB3" s="644" t="s">
        <v>86</v>
      </c>
      <c r="AC3" s="640" t="s">
        <v>10</v>
      </c>
      <c r="AD3" s="646" t="s">
        <v>84</v>
      </c>
      <c r="AE3" s="646" t="s">
        <v>83</v>
      </c>
      <c r="AF3" s="646" t="s">
        <v>14</v>
      </c>
      <c r="AG3" s="644" t="s">
        <v>64</v>
      </c>
      <c r="AH3" s="640" t="s">
        <v>10</v>
      </c>
      <c r="AI3" s="652" t="s">
        <v>31</v>
      </c>
      <c r="AJ3" s="642"/>
    </row>
    <row r="4" spans="1:36" ht="40.5" customHeight="1" thickBot="1" x14ac:dyDescent="0.3">
      <c r="A4" s="657"/>
      <c r="B4" s="659"/>
      <c r="C4" s="661"/>
      <c r="D4" s="660"/>
      <c r="E4" s="660"/>
      <c r="F4" s="660"/>
      <c r="G4" s="660"/>
      <c r="H4" s="660"/>
      <c r="I4" s="653"/>
      <c r="J4" s="685"/>
      <c r="K4" s="660"/>
      <c r="L4" s="645"/>
      <c r="M4" s="641"/>
      <c r="N4" s="647"/>
      <c r="O4" s="647"/>
      <c r="P4" s="647"/>
      <c r="Q4" s="647"/>
      <c r="R4" s="654"/>
      <c r="S4" s="641"/>
      <c r="T4" s="660"/>
      <c r="U4" s="647"/>
      <c r="V4" s="647"/>
      <c r="W4" s="647"/>
      <c r="X4" s="654"/>
      <c r="Y4" s="641"/>
      <c r="Z4" s="647"/>
      <c r="AA4" s="647"/>
      <c r="AB4" s="645"/>
      <c r="AC4" s="641"/>
      <c r="AD4" s="647"/>
      <c r="AE4" s="647"/>
      <c r="AF4" s="647"/>
      <c r="AG4" s="654"/>
      <c r="AH4" s="641"/>
      <c r="AI4" s="653"/>
      <c r="AJ4" s="643"/>
    </row>
    <row r="5" spans="1:36" s="497" customFormat="1" ht="17.25" hidden="1" thickBot="1" x14ac:dyDescent="0.35">
      <c r="A5" s="149" t="s">
        <v>2</v>
      </c>
      <c r="B5" s="487">
        <v>43709</v>
      </c>
      <c r="C5" s="475">
        <v>2545</v>
      </c>
      <c r="D5" s="474">
        <v>3483</v>
      </c>
      <c r="E5" s="474">
        <v>1094</v>
      </c>
      <c r="F5" s="474"/>
      <c r="G5" s="474"/>
      <c r="H5" s="474"/>
      <c r="I5" s="495"/>
      <c r="J5" s="496"/>
      <c r="K5" s="474"/>
      <c r="L5" s="477"/>
      <c r="M5" s="475"/>
      <c r="N5" s="474"/>
      <c r="O5" s="474"/>
      <c r="P5" s="474"/>
      <c r="Q5" s="474"/>
      <c r="R5" s="477"/>
      <c r="S5" s="475"/>
      <c r="T5" s="474"/>
      <c r="U5" s="474"/>
      <c r="V5" s="474"/>
      <c r="W5" s="474"/>
      <c r="X5" s="477"/>
      <c r="Y5" s="475"/>
      <c r="Z5" s="493"/>
      <c r="AA5" s="474"/>
      <c r="AB5" s="477"/>
      <c r="AC5" s="475"/>
      <c r="AD5" s="474"/>
      <c r="AE5" s="474"/>
      <c r="AF5" s="474"/>
      <c r="AG5" s="477"/>
      <c r="AH5" s="475"/>
      <c r="AI5" s="476"/>
      <c r="AJ5" s="194">
        <f>SUM(C5:AI5)</f>
        <v>7122</v>
      </c>
    </row>
    <row r="6" spans="1:36" ht="15.75" hidden="1" thickBot="1" x14ac:dyDescent="0.3">
      <c r="A6" s="158" t="s">
        <v>21</v>
      </c>
      <c r="B6" s="679" t="s">
        <v>24</v>
      </c>
      <c r="C6" s="257">
        <f t="shared" ref="C6:AJ6" si="0">SUM(C5)</f>
        <v>2545</v>
      </c>
      <c r="D6" s="237">
        <f t="shared" si="0"/>
        <v>3483</v>
      </c>
      <c r="E6" s="237">
        <f t="shared" si="0"/>
        <v>1094</v>
      </c>
      <c r="F6" s="237">
        <f t="shared" si="0"/>
        <v>0</v>
      </c>
      <c r="G6" s="237">
        <f t="shared" si="0"/>
        <v>0</v>
      </c>
      <c r="H6" s="237">
        <f t="shared" si="0"/>
        <v>0</v>
      </c>
      <c r="I6" s="237">
        <f t="shared" si="0"/>
        <v>0</v>
      </c>
      <c r="J6" s="237">
        <f t="shared" si="0"/>
        <v>0</v>
      </c>
      <c r="K6" s="237">
        <f t="shared" si="0"/>
        <v>0</v>
      </c>
      <c r="L6" s="237">
        <f t="shared" si="0"/>
        <v>0</v>
      </c>
      <c r="M6" s="237">
        <f t="shared" si="0"/>
        <v>0</v>
      </c>
      <c r="N6" s="237">
        <f t="shared" si="0"/>
        <v>0</v>
      </c>
      <c r="O6" s="237">
        <f t="shared" si="0"/>
        <v>0</v>
      </c>
      <c r="P6" s="237">
        <f t="shared" si="0"/>
        <v>0</v>
      </c>
      <c r="Q6" s="237">
        <f t="shared" si="0"/>
        <v>0</v>
      </c>
      <c r="R6" s="237">
        <f t="shared" si="0"/>
        <v>0</v>
      </c>
      <c r="S6" s="237">
        <f t="shared" si="0"/>
        <v>0</v>
      </c>
      <c r="T6" s="237">
        <f t="shared" si="0"/>
        <v>0</v>
      </c>
      <c r="U6" s="237">
        <f t="shared" si="0"/>
        <v>0</v>
      </c>
      <c r="V6" s="237">
        <f t="shared" si="0"/>
        <v>0</v>
      </c>
      <c r="W6" s="237">
        <f t="shared" si="0"/>
        <v>0</v>
      </c>
      <c r="X6" s="237">
        <f t="shared" si="0"/>
        <v>0</v>
      </c>
      <c r="Y6" s="237">
        <f t="shared" si="0"/>
        <v>0</v>
      </c>
      <c r="Z6" s="237">
        <f t="shared" si="0"/>
        <v>0</v>
      </c>
      <c r="AA6" s="237">
        <f t="shared" si="0"/>
        <v>0</v>
      </c>
      <c r="AB6" s="237">
        <f t="shared" si="0"/>
        <v>0</v>
      </c>
      <c r="AC6" s="237">
        <f t="shared" si="0"/>
        <v>0</v>
      </c>
      <c r="AD6" s="237">
        <f t="shared" si="0"/>
        <v>0</v>
      </c>
      <c r="AE6" s="237">
        <f t="shared" si="0"/>
        <v>0</v>
      </c>
      <c r="AF6" s="237">
        <f t="shared" si="0"/>
        <v>0</v>
      </c>
      <c r="AG6" s="237">
        <f t="shared" si="0"/>
        <v>0</v>
      </c>
      <c r="AH6" s="237">
        <f t="shared" si="0"/>
        <v>0</v>
      </c>
      <c r="AI6" s="237">
        <f t="shared" si="0"/>
        <v>0</v>
      </c>
      <c r="AJ6" s="159">
        <f t="shared" si="0"/>
        <v>7122</v>
      </c>
    </row>
    <row r="7" spans="1:36" ht="15.75" hidden="1" thickBot="1" x14ac:dyDescent="0.3">
      <c r="A7" s="109" t="s">
        <v>23</v>
      </c>
      <c r="B7" s="679"/>
      <c r="C7" s="257">
        <f>AVERAGE(C5)</f>
        <v>2545</v>
      </c>
      <c r="D7" s="257">
        <f t="shared" ref="D7:AJ7" si="1">AVERAGE(D5)</f>
        <v>3483</v>
      </c>
      <c r="E7" s="257">
        <f t="shared" si="1"/>
        <v>1094</v>
      </c>
      <c r="F7" s="257" t="e">
        <f t="shared" si="1"/>
        <v>#DIV/0!</v>
      </c>
      <c r="G7" s="257" t="e">
        <f t="shared" si="1"/>
        <v>#DIV/0!</v>
      </c>
      <c r="H7" s="257" t="e">
        <f t="shared" si="1"/>
        <v>#DIV/0!</v>
      </c>
      <c r="I7" s="257" t="e">
        <f t="shared" si="1"/>
        <v>#DIV/0!</v>
      </c>
      <c r="J7" s="257" t="e">
        <f t="shared" si="1"/>
        <v>#DIV/0!</v>
      </c>
      <c r="K7" s="257" t="e">
        <f t="shared" si="1"/>
        <v>#DIV/0!</v>
      </c>
      <c r="L7" s="257" t="e">
        <f t="shared" si="1"/>
        <v>#DIV/0!</v>
      </c>
      <c r="M7" s="257" t="e">
        <f t="shared" si="1"/>
        <v>#DIV/0!</v>
      </c>
      <c r="N7" s="257" t="e">
        <f t="shared" si="1"/>
        <v>#DIV/0!</v>
      </c>
      <c r="O7" s="257" t="e">
        <f t="shared" si="1"/>
        <v>#DIV/0!</v>
      </c>
      <c r="P7" s="257" t="e">
        <f t="shared" si="1"/>
        <v>#DIV/0!</v>
      </c>
      <c r="Q7" s="257" t="e">
        <f t="shared" si="1"/>
        <v>#DIV/0!</v>
      </c>
      <c r="R7" s="257" t="e">
        <f t="shared" si="1"/>
        <v>#DIV/0!</v>
      </c>
      <c r="S7" s="257" t="e">
        <f t="shared" si="1"/>
        <v>#DIV/0!</v>
      </c>
      <c r="T7" s="257" t="e">
        <f t="shared" si="1"/>
        <v>#DIV/0!</v>
      </c>
      <c r="U7" s="257" t="e">
        <f t="shared" si="1"/>
        <v>#DIV/0!</v>
      </c>
      <c r="V7" s="257" t="e">
        <f t="shared" si="1"/>
        <v>#DIV/0!</v>
      </c>
      <c r="W7" s="257" t="e">
        <f t="shared" si="1"/>
        <v>#DIV/0!</v>
      </c>
      <c r="X7" s="257" t="e">
        <f t="shared" si="1"/>
        <v>#DIV/0!</v>
      </c>
      <c r="Y7" s="257" t="e">
        <f t="shared" si="1"/>
        <v>#DIV/0!</v>
      </c>
      <c r="Z7" s="257" t="e">
        <f t="shared" si="1"/>
        <v>#DIV/0!</v>
      </c>
      <c r="AA7" s="257" t="e">
        <f t="shared" si="1"/>
        <v>#DIV/0!</v>
      </c>
      <c r="AB7" s="257" t="e">
        <f t="shared" si="1"/>
        <v>#DIV/0!</v>
      </c>
      <c r="AC7" s="257" t="e">
        <f t="shared" si="1"/>
        <v>#DIV/0!</v>
      </c>
      <c r="AD7" s="257" t="e">
        <f t="shared" si="1"/>
        <v>#DIV/0!</v>
      </c>
      <c r="AE7" s="257" t="e">
        <f t="shared" si="1"/>
        <v>#DIV/0!</v>
      </c>
      <c r="AF7" s="257" t="e">
        <f t="shared" si="1"/>
        <v>#DIV/0!</v>
      </c>
      <c r="AG7" s="257" t="e">
        <f t="shared" si="1"/>
        <v>#DIV/0!</v>
      </c>
      <c r="AH7" s="257" t="e">
        <f t="shared" si="1"/>
        <v>#DIV/0!</v>
      </c>
      <c r="AI7" s="257" t="e">
        <f t="shared" si="1"/>
        <v>#DIV/0!</v>
      </c>
      <c r="AJ7" s="257">
        <f t="shared" si="1"/>
        <v>7122</v>
      </c>
    </row>
    <row r="8" spans="1:36" ht="15.75" hidden="1" thickBot="1" x14ac:dyDescent="0.3">
      <c r="A8" s="26" t="s">
        <v>20</v>
      </c>
      <c r="B8" s="679"/>
      <c r="C8" s="259" t="e">
        <f>SUM(#REF!)</f>
        <v>#REF!</v>
      </c>
      <c r="D8" s="238" t="e">
        <f>SUM(#REF!)</f>
        <v>#REF!</v>
      </c>
      <c r="E8" s="238" t="e">
        <f>SUM(#REF!)</f>
        <v>#REF!</v>
      </c>
      <c r="F8" s="238" t="e">
        <f>SUM(#REF!)</f>
        <v>#REF!</v>
      </c>
      <c r="G8" s="238" t="e">
        <f>SUM(#REF!)</f>
        <v>#REF!</v>
      </c>
      <c r="H8" s="238" t="e">
        <f>SUM(#REF!)</f>
        <v>#REF!</v>
      </c>
      <c r="I8" s="238" t="e">
        <f>SUM(#REF!)</f>
        <v>#REF!</v>
      </c>
      <c r="J8" s="238" t="e">
        <f>SUM(#REF!)</f>
        <v>#REF!</v>
      </c>
      <c r="K8" s="238" t="e">
        <f>SUM(#REF!)</f>
        <v>#REF!</v>
      </c>
      <c r="L8" s="238" t="e">
        <f>SUM(#REF!)</f>
        <v>#REF!</v>
      </c>
      <c r="M8" s="238" t="e">
        <f>SUM(#REF!)</f>
        <v>#REF!</v>
      </c>
      <c r="N8" s="238" t="e">
        <f>SUM(#REF!)</f>
        <v>#REF!</v>
      </c>
      <c r="O8" s="238" t="e">
        <f>SUM(#REF!)</f>
        <v>#REF!</v>
      </c>
      <c r="P8" s="238" t="e">
        <f>SUM(#REF!)</f>
        <v>#REF!</v>
      </c>
      <c r="Q8" s="238" t="e">
        <f>SUM(#REF!)</f>
        <v>#REF!</v>
      </c>
      <c r="R8" s="238" t="e">
        <f>SUM(#REF!)</f>
        <v>#REF!</v>
      </c>
      <c r="S8" s="238" t="e">
        <f>SUM(#REF!)</f>
        <v>#REF!</v>
      </c>
      <c r="T8" s="238" t="e">
        <f>SUM(#REF!)</f>
        <v>#REF!</v>
      </c>
      <c r="U8" s="238" t="e">
        <f>SUM(#REF!)</f>
        <v>#REF!</v>
      </c>
      <c r="V8" s="238" t="e">
        <f>SUM(#REF!)</f>
        <v>#REF!</v>
      </c>
      <c r="W8" s="238" t="e">
        <f>SUM(#REF!)</f>
        <v>#REF!</v>
      </c>
      <c r="X8" s="238" t="e">
        <f>SUM(#REF!)</f>
        <v>#REF!</v>
      </c>
      <c r="Y8" s="238" t="e">
        <f>SUM(#REF!)</f>
        <v>#REF!</v>
      </c>
      <c r="Z8" s="238" t="e">
        <f>SUM(#REF!)</f>
        <v>#REF!</v>
      </c>
      <c r="AA8" s="238" t="e">
        <f>SUM(#REF!)</f>
        <v>#REF!</v>
      </c>
      <c r="AB8" s="238" t="e">
        <f>SUM(#REF!)</f>
        <v>#REF!</v>
      </c>
      <c r="AC8" s="238" t="e">
        <f>SUM(#REF!)</f>
        <v>#REF!</v>
      </c>
      <c r="AD8" s="238" t="e">
        <f>SUM(#REF!)</f>
        <v>#REF!</v>
      </c>
      <c r="AE8" s="238" t="e">
        <f>SUM(#REF!)</f>
        <v>#REF!</v>
      </c>
      <c r="AF8" s="238" t="e">
        <f>SUM(#REF!)</f>
        <v>#REF!</v>
      </c>
      <c r="AG8" s="238" t="e">
        <f>SUM(#REF!)</f>
        <v>#REF!</v>
      </c>
      <c r="AH8" s="238" t="e">
        <f>SUM(#REF!)</f>
        <v>#REF!</v>
      </c>
      <c r="AI8" s="238" t="e">
        <f>SUM(#REF!)</f>
        <v>#REF!</v>
      </c>
      <c r="AJ8" s="161" t="e">
        <f>SUM(#REF!)</f>
        <v>#REF!</v>
      </c>
    </row>
    <row r="9" spans="1:36" ht="15.75" hidden="1" thickBot="1" x14ac:dyDescent="0.3">
      <c r="A9" s="26" t="s">
        <v>22</v>
      </c>
      <c r="B9" s="679"/>
      <c r="C9" s="259" t="e">
        <f>AVERAGE(#REF!)</f>
        <v>#REF!</v>
      </c>
      <c r="D9" s="238" t="e">
        <f>AVERAGE(#REF!)</f>
        <v>#REF!</v>
      </c>
      <c r="E9" s="238" t="e">
        <f>AVERAGE(#REF!)</f>
        <v>#REF!</v>
      </c>
      <c r="F9" s="238" t="e">
        <f>AVERAGE(#REF!)</f>
        <v>#REF!</v>
      </c>
      <c r="G9" s="238" t="e">
        <f>AVERAGE(#REF!)</f>
        <v>#REF!</v>
      </c>
      <c r="H9" s="238" t="e">
        <f>AVERAGE(#REF!)</f>
        <v>#REF!</v>
      </c>
      <c r="I9" s="238" t="e">
        <f>AVERAGE(#REF!)</f>
        <v>#REF!</v>
      </c>
      <c r="J9" s="238" t="e">
        <f>AVERAGE(#REF!)</f>
        <v>#REF!</v>
      </c>
      <c r="K9" s="238" t="e">
        <f>AVERAGE(#REF!)</f>
        <v>#REF!</v>
      </c>
      <c r="L9" s="238" t="e">
        <f>AVERAGE(#REF!)</f>
        <v>#REF!</v>
      </c>
      <c r="M9" s="238" t="e">
        <f>AVERAGE(#REF!)</f>
        <v>#REF!</v>
      </c>
      <c r="N9" s="238" t="e">
        <f>AVERAGE(#REF!)</f>
        <v>#REF!</v>
      </c>
      <c r="O9" s="238" t="e">
        <f>AVERAGE(#REF!)</f>
        <v>#REF!</v>
      </c>
      <c r="P9" s="238" t="e">
        <f>AVERAGE(#REF!)</f>
        <v>#REF!</v>
      </c>
      <c r="Q9" s="238" t="e">
        <f>AVERAGE(#REF!)</f>
        <v>#REF!</v>
      </c>
      <c r="R9" s="238" t="e">
        <f>AVERAGE(#REF!)</f>
        <v>#REF!</v>
      </c>
      <c r="S9" s="238" t="e">
        <f>AVERAGE(#REF!)</f>
        <v>#REF!</v>
      </c>
      <c r="T9" s="238" t="e">
        <f>AVERAGE(#REF!)</f>
        <v>#REF!</v>
      </c>
      <c r="U9" s="238" t="e">
        <f>AVERAGE(#REF!)</f>
        <v>#REF!</v>
      </c>
      <c r="V9" s="238" t="e">
        <f>AVERAGE(#REF!)</f>
        <v>#REF!</v>
      </c>
      <c r="W9" s="238" t="e">
        <f>AVERAGE(#REF!)</f>
        <v>#REF!</v>
      </c>
      <c r="X9" s="238" t="e">
        <f>AVERAGE(#REF!)</f>
        <v>#REF!</v>
      </c>
      <c r="Y9" s="238" t="e">
        <f>AVERAGE(#REF!)</f>
        <v>#REF!</v>
      </c>
      <c r="Z9" s="238" t="e">
        <f>AVERAGE(#REF!)</f>
        <v>#REF!</v>
      </c>
      <c r="AA9" s="238" t="e">
        <f>AVERAGE(#REF!)</f>
        <v>#REF!</v>
      </c>
      <c r="AB9" s="238" t="e">
        <f>AVERAGE(#REF!)</f>
        <v>#REF!</v>
      </c>
      <c r="AC9" s="238" t="e">
        <f>AVERAGE(#REF!)</f>
        <v>#REF!</v>
      </c>
      <c r="AD9" s="238" t="e">
        <f>AVERAGE(#REF!)</f>
        <v>#REF!</v>
      </c>
      <c r="AE9" s="238" t="e">
        <f>AVERAGE(#REF!)</f>
        <v>#REF!</v>
      </c>
      <c r="AF9" s="238" t="e">
        <f>AVERAGE(#REF!)</f>
        <v>#REF!</v>
      </c>
      <c r="AG9" s="238" t="e">
        <f>AVERAGE(#REF!)</f>
        <v>#REF!</v>
      </c>
      <c r="AH9" s="238" t="e">
        <f>AVERAGE(#REF!)</f>
        <v>#REF!</v>
      </c>
      <c r="AI9" s="238" t="e">
        <f>AVERAGE(#REF!)</f>
        <v>#REF!</v>
      </c>
      <c r="AJ9" s="162" t="e">
        <f>AVERAGE(#REF!)</f>
        <v>#REF!</v>
      </c>
    </row>
    <row r="10" spans="1:36" ht="15.75" hidden="1" customHeight="1" thickBot="1" x14ac:dyDescent="0.3">
      <c r="A10" s="149" t="s">
        <v>3</v>
      </c>
      <c r="B10" s="488">
        <v>43738</v>
      </c>
      <c r="C10" s="262"/>
      <c r="D10" s="222"/>
      <c r="E10" s="222"/>
      <c r="F10" s="222"/>
      <c r="G10" s="222"/>
      <c r="H10" s="222"/>
      <c r="I10" s="250"/>
      <c r="J10" s="430"/>
      <c r="K10" s="222"/>
      <c r="L10" s="313"/>
      <c r="M10" s="262"/>
      <c r="N10" s="222"/>
      <c r="O10" s="222"/>
      <c r="P10" s="222"/>
      <c r="Q10" s="222"/>
      <c r="R10" s="313"/>
      <c r="S10" s="262"/>
      <c r="T10" s="222"/>
      <c r="U10" s="222"/>
      <c r="V10" s="222"/>
      <c r="W10" s="429"/>
      <c r="X10" s="313"/>
      <c r="Y10" s="262"/>
      <c r="Z10" s="492"/>
      <c r="AA10" s="222"/>
      <c r="AB10" s="313"/>
      <c r="AC10" s="262"/>
      <c r="AD10" s="492"/>
      <c r="AE10" s="222"/>
      <c r="AF10" s="222"/>
      <c r="AG10" s="313"/>
      <c r="AH10" s="262"/>
      <c r="AI10" s="250"/>
      <c r="AJ10" s="194">
        <f t="shared" ref="AJ10:AJ16" si="2">SUM(C10:AI10)</f>
        <v>0</v>
      </c>
    </row>
    <row r="11" spans="1:36" ht="17.25" hidden="1" customHeight="1" thickBot="1" x14ac:dyDescent="0.3">
      <c r="A11" s="149" t="s">
        <v>4</v>
      </c>
      <c r="B11" s="489">
        <v>43739</v>
      </c>
      <c r="C11" s="319"/>
      <c r="D11" s="320"/>
      <c r="E11" s="320"/>
      <c r="F11" s="320"/>
      <c r="G11" s="320"/>
      <c r="H11" s="320"/>
      <c r="I11" s="490"/>
      <c r="J11" s="435"/>
      <c r="K11" s="320"/>
      <c r="L11" s="245"/>
      <c r="M11" s="256"/>
      <c r="N11" s="223"/>
      <c r="O11" s="223"/>
      <c r="P11" s="223"/>
      <c r="Q11" s="223"/>
      <c r="R11" s="245"/>
      <c r="S11" s="256"/>
      <c r="T11" s="223"/>
      <c r="U11" s="223"/>
      <c r="V11" s="223"/>
      <c r="W11" s="223"/>
      <c r="X11" s="245"/>
      <c r="Y11" s="256"/>
      <c r="Z11" s="320"/>
      <c r="AA11" s="223"/>
      <c r="AB11" s="245"/>
      <c r="AC11" s="256"/>
      <c r="AD11" s="494"/>
      <c r="AE11" s="223"/>
      <c r="AF11" s="223"/>
      <c r="AG11" s="245"/>
      <c r="AH11" s="256"/>
      <c r="AI11" s="247"/>
      <c r="AJ11" s="194">
        <f t="shared" si="2"/>
        <v>0</v>
      </c>
    </row>
    <row r="12" spans="1:36" ht="15.75" hidden="1" customHeight="1" thickBot="1" x14ac:dyDescent="0.3">
      <c r="A12" s="149" t="s">
        <v>5</v>
      </c>
      <c r="B12" s="489">
        <v>43740</v>
      </c>
      <c r="C12" s="319"/>
      <c r="D12" s="320"/>
      <c r="E12" s="320"/>
      <c r="F12" s="320"/>
      <c r="G12" s="320"/>
      <c r="H12" s="320"/>
      <c r="I12" s="490"/>
      <c r="J12" s="435"/>
      <c r="K12" s="320"/>
      <c r="L12" s="245"/>
      <c r="M12" s="256"/>
      <c r="N12" s="223"/>
      <c r="O12" s="223"/>
      <c r="P12" s="223"/>
      <c r="Q12" s="223"/>
      <c r="R12" s="245"/>
      <c r="S12" s="256"/>
      <c r="T12" s="223"/>
      <c r="U12" s="223"/>
      <c r="V12" s="223"/>
      <c r="W12" s="223"/>
      <c r="X12" s="245"/>
      <c r="Y12" s="256"/>
      <c r="Z12" s="320"/>
      <c r="AA12" s="223"/>
      <c r="AB12" s="245"/>
      <c r="AC12" s="256"/>
      <c r="AD12" s="223"/>
      <c r="AE12" s="223"/>
      <c r="AF12" s="223"/>
      <c r="AG12" s="245"/>
      <c r="AH12" s="256"/>
      <c r="AI12" s="247"/>
      <c r="AJ12" s="194">
        <f t="shared" si="2"/>
        <v>0</v>
      </c>
    </row>
    <row r="13" spans="1:36" ht="15.75" hidden="1" customHeight="1" thickBot="1" x14ac:dyDescent="0.3">
      <c r="A13" s="149" t="s">
        <v>6</v>
      </c>
      <c r="B13" s="489">
        <v>43769</v>
      </c>
      <c r="C13" s="319"/>
      <c r="D13" s="320"/>
      <c r="E13" s="320"/>
      <c r="F13" s="320"/>
      <c r="G13" s="320"/>
      <c r="H13" s="320"/>
      <c r="I13" s="490"/>
      <c r="J13" s="435"/>
      <c r="K13" s="320"/>
      <c r="L13" s="245"/>
      <c r="M13" s="256"/>
      <c r="N13" s="223"/>
      <c r="O13" s="223"/>
      <c r="P13" s="223"/>
      <c r="Q13" s="223"/>
      <c r="R13" s="245"/>
      <c r="S13" s="256"/>
      <c r="T13" s="223"/>
      <c r="U13" s="223"/>
      <c r="V13" s="223"/>
      <c r="W13" s="223"/>
      <c r="X13" s="245"/>
      <c r="Y13" s="256"/>
      <c r="Z13" s="320"/>
      <c r="AA13" s="223"/>
      <c r="AB13" s="245"/>
      <c r="AC13" s="256"/>
      <c r="AD13" s="223"/>
      <c r="AE13" s="223"/>
      <c r="AF13" s="223"/>
      <c r="AG13" s="245"/>
      <c r="AH13" s="256"/>
      <c r="AI13" s="247"/>
      <c r="AJ13" s="194">
        <f t="shared" si="2"/>
        <v>0</v>
      </c>
    </row>
    <row r="14" spans="1:36" ht="15.75" thickBot="1" x14ac:dyDescent="0.3">
      <c r="A14" s="149" t="s">
        <v>0</v>
      </c>
      <c r="B14" s="489">
        <v>43770</v>
      </c>
      <c r="C14" s="319">
        <v>1433</v>
      </c>
      <c r="D14" s="320">
        <v>1486</v>
      </c>
      <c r="E14" s="320">
        <v>680</v>
      </c>
      <c r="F14" s="320">
        <v>1566</v>
      </c>
      <c r="G14" s="320">
        <v>825</v>
      </c>
      <c r="H14" s="320">
        <v>500</v>
      </c>
      <c r="I14" s="490">
        <v>1677</v>
      </c>
      <c r="J14" s="435">
        <v>617</v>
      </c>
      <c r="K14" s="320">
        <v>188</v>
      </c>
      <c r="L14" s="245">
        <v>552</v>
      </c>
      <c r="M14" s="256">
        <v>626</v>
      </c>
      <c r="N14" s="223">
        <v>318</v>
      </c>
      <c r="O14" s="223">
        <v>143</v>
      </c>
      <c r="P14" s="223">
        <v>241</v>
      </c>
      <c r="Q14" s="223">
        <v>94</v>
      </c>
      <c r="R14" s="245">
        <v>194</v>
      </c>
      <c r="S14" s="256">
        <v>528</v>
      </c>
      <c r="T14" s="223">
        <v>361</v>
      </c>
      <c r="U14" s="223">
        <v>688</v>
      </c>
      <c r="V14" s="223">
        <v>498</v>
      </c>
      <c r="W14" s="223">
        <v>416</v>
      </c>
      <c r="X14" s="245">
        <v>582</v>
      </c>
      <c r="Y14" s="256">
        <v>526</v>
      </c>
      <c r="Z14" s="320">
        <v>486</v>
      </c>
      <c r="AA14" s="223">
        <v>404</v>
      </c>
      <c r="AB14" s="245">
        <v>658</v>
      </c>
      <c r="AC14" s="256">
        <v>221</v>
      </c>
      <c r="AD14" s="223">
        <v>85</v>
      </c>
      <c r="AE14" s="223">
        <v>251</v>
      </c>
      <c r="AF14" s="223">
        <v>231</v>
      </c>
      <c r="AG14" s="245">
        <v>405</v>
      </c>
      <c r="AH14" s="256"/>
      <c r="AI14" s="247"/>
      <c r="AJ14" s="194">
        <f t="shared" si="2"/>
        <v>17480</v>
      </c>
    </row>
    <row r="15" spans="1:36" ht="15.75" thickBot="1" x14ac:dyDescent="0.3">
      <c r="A15" s="149" t="s">
        <v>1</v>
      </c>
      <c r="B15" s="489">
        <v>43771</v>
      </c>
      <c r="C15" s="319">
        <v>1280</v>
      </c>
      <c r="D15" s="320">
        <v>2086</v>
      </c>
      <c r="E15" s="320">
        <v>638</v>
      </c>
      <c r="F15" s="320">
        <v>2156</v>
      </c>
      <c r="G15" s="320">
        <v>663</v>
      </c>
      <c r="H15" s="320">
        <v>701</v>
      </c>
      <c r="I15" s="490">
        <v>1678</v>
      </c>
      <c r="J15" s="435">
        <v>436</v>
      </c>
      <c r="K15" s="320">
        <v>100</v>
      </c>
      <c r="L15" s="245">
        <v>529</v>
      </c>
      <c r="M15" s="256">
        <v>1144</v>
      </c>
      <c r="N15" s="223">
        <v>502</v>
      </c>
      <c r="O15" s="223">
        <v>241</v>
      </c>
      <c r="P15" s="223">
        <v>731</v>
      </c>
      <c r="Q15" s="223">
        <v>114</v>
      </c>
      <c r="R15" s="245">
        <v>342</v>
      </c>
      <c r="S15" s="256">
        <v>462</v>
      </c>
      <c r="T15" s="223">
        <v>286</v>
      </c>
      <c r="U15" s="223">
        <v>481</v>
      </c>
      <c r="V15" s="223">
        <v>530</v>
      </c>
      <c r="W15" s="223">
        <v>620</v>
      </c>
      <c r="X15" s="245">
        <v>648</v>
      </c>
      <c r="Y15" s="256">
        <v>324</v>
      </c>
      <c r="Z15" s="320">
        <v>334</v>
      </c>
      <c r="AA15" s="223">
        <v>424</v>
      </c>
      <c r="AB15" s="245">
        <v>472</v>
      </c>
      <c r="AC15" s="256">
        <v>163</v>
      </c>
      <c r="AD15" s="223">
        <v>73</v>
      </c>
      <c r="AE15" s="223">
        <v>212</v>
      </c>
      <c r="AF15" s="223">
        <v>176</v>
      </c>
      <c r="AG15" s="245">
        <v>386</v>
      </c>
      <c r="AH15" s="256"/>
      <c r="AI15" s="247"/>
      <c r="AJ15" s="194">
        <f t="shared" si="2"/>
        <v>18932</v>
      </c>
    </row>
    <row r="16" spans="1:36" ht="15.75" thickBot="1" x14ac:dyDescent="0.3">
      <c r="A16" s="149" t="s">
        <v>2</v>
      </c>
      <c r="B16" s="489">
        <v>43772</v>
      </c>
      <c r="C16" s="319">
        <v>751</v>
      </c>
      <c r="D16" s="320">
        <v>1305</v>
      </c>
      <c r="E16" s="320">
        <v>546</v>
      </c>
      <c r="F16" s="320">
        <v>1453</v>
      </c>
      <c r="G16" s="320">
        <v>691</v>
      </c>
      <c r="H16" s="320">
        <v>548</v>
      </c>
      <c r="I16" s="490">
        <v>1167</v>
      </c>
      <c r="J16" s="435">
        <v>544</v>
      </c>
      <c r="K16" s="320">
        <v>84</v>
      </c>
      <c r="L16" s="245">
        <v>596</v>
      </c>
      <c r="M16" s="256">
        <v>443</v>
      </c>
      <c r="N16" s="223">
        <v>366</v>
      </c>
      <c r="O16" s="223">
        <v>117</v>
      </c>
      <c r="P16" s="223">
        <v>173</v>
      </c>
      <c r="Q16" s="223">
        <v>147</v>
      </c>
      <c r="R16" s="245">
        <v>248</v>
      </c>
      <c r="S16" s="256">
        <v>396</v>
      </c>
      <c r="T16" s="223">
        <v>205</v>
      </c>
      <c r="U16" s="223">
        <v>427</v>
      </c>
      <c r="V16" s="223">
        <v>551</v>
      </c>
      <c r="W16" s="223">
        <v>467</v>
      </c>
      <c r="X16" s="245">
        <v>576</v>
      </c>
      <c r="Y16" s="256">
        <v>364</v>
      </c>
      <c r="Z16" s="320">
        <v>318</v>
      </c>
      <c r="AA16" s="223">
        <v>407</v>
      </c>
      <c r="AB16" s="245">
        <v>432</v>
      </c>
      <c r="AC16" s="256">
        <v>152</v>
      </c>
      <c r="AD16" s="223">
        <v>94</v>
      </c>
      <c r="AE16" s="223">
        <v>191</v>
      </c>
      <c r="AF16" s="223">
        <v>203</v>
      </c>
      <c r="AG16" s="245">
        <v>374</v>
      </c>
      <c r="AH16" s="256"/>
      <c r="AI16" s="247"/>
      <c r="AJ16" s="194">
        <f t="shared" si="2"/>
        <v>14336</v>
      </c>
    </row>
    <row r="17" spans="1:36" ht="15.75" thickBot="1" x14ac:dyDescent="0.3">
      <c r="A17" s="158" t="s">
        <v>21</v>
      </c>
      <c r="B17" s="679" t="s">
        <v>24</v>
      </c>
      <c r="C17" s="257">
        <f t="shared" ref="C17:H17" si="3">SUM(C10:C16)</f>
        <v>3464</v>
      </c>
      <c r="D17" s="237">
        <f t="shared" si="3"/>
        <v>4877</v>
      </c>
      <c r="E17" s="237">
        <f t="shared" si="3"/>
        <v>1864</v>
      </c>
      <c r="F17" s="237">
        <f t="shared" si="3"/>
        <v>5175</v>
      </c>
      <c r="G17" s="237">
        <f t="shared" si="3"/>
        <v>2179</v>
      </c>
      <c r="H17" s="237">
        <f t="shared" si="3"/>
        <v>1749</v>
      </c>
      <c r="I17" s="237">
        <f t="shared" ref="I17:AI17" si="4">SUM(I10:I16)</f>
        <v>4522</v>
      </c>
      <c r="J17" s="237">
        <f t="shared" si="4"/>
        <v>1597</v>
      </c>
      <c r="K17" s="237">
        <f t="shared" si="4"/>
        <v>372</v>
      </c>
      <c r="L17" s="237">
        <f t="shared" si="4"/>
        <v>1677</v>
      </c>
      <c r="M17" s="237">
        <f t="shared" si="4"/>
        <v>2213</v>
      </c>
      <c r="N17" s="237">
        <f t="shared" si="4"/>
        <v>1186</v>
      </c>
      <c r="O17" s="237">
        <f t="shared" si="4"/>
        <v>501</v>
      </c>
      <c r="P17" s="237">
        <f t="shared" si="4"/>
        <v>1145</v>
      </c>
      <c r="Q17" s="237">
        <f t="shared" si="4"/>
        <v>355</v>
      </c>
      <c r="R17" s="237">
        <f t="shared" si="4"/>
        <v>784</v>
      </c>
      <c r="S17" s="237">
        <f t="shared" si="4"/>
        <v>1386</v>
      </c>
      <c r="T17" s="237">
        <f t="shared" si="4"/>
        <v>852</v>
      </c>
      <c r="U17" s="237">
        <f t="shared" si="4"/>
        <v>1596</v>
      </c>
      <c r="V17" s="237">
        <f t="shared" si="4"/>
        <v>1579</v>
      </c>
      <c r="W17" s="237">
        <f t="shared" si="4"/>
        <v>1503</v>
      </c>
      <c r="X17" s="237">
        <f t="shared" si="4"/>
        <v>1806</v>
      </c>
      <c r="Y17" s="237">
        <f t="shared" si="4"/>
        <v>1214</v>
      </c>
      <c r="Z17" s="237">
        <f t="shared" si="4"/>
        <v>1138</v>
      </c>
      <c r="AA17" s="237">
        <f t="shared" si="4"/>
        <v>1235</v>
      </c>
      <c r="AB17" s="237">
        <f t="shared" si="4"/>
        <v>1562</v>
      </c>
      <c r="AC17" s="237">
        <f t="shared" si="4"/>
        <v>536</v>
      </c>
      <c r="AD17" s="237">
        <f t="shared" si="4"/>
        <v>252</v>
      </c>
      <c r="AE17" s="237">
        <f t="shared" si="4"/>
        <v>654</v>
      </c>
      <c r="AF17" s="237">
        <f t="shared" si="4"/>
        <v>610</v>
      </c>
      <c r="AG17" s="237">
        <f t="shared" si="4"/>
        <v>1165</v>
      </c>
      <c r="AH17" s="237">
        <f t="shared" si="4"/>
        <v>0</v>
      </c>
      <c r="AI17" s="237">
        <f t="shared" si="4"/>
        <v>0</v>
      </c>
      <c r="AJ17" s="159">
        <f>SUM(AJ10:AJ16)</f>
        <v>50748</v>
      </c>
    </row>
    <row r="18" spans="1:36" ht="15.75" thickBot="1" x14ac:dyDescent="0.3">
      <c r="A18" s="109" t="s">
        <v>23</v>
      </c>
      <c r="B18" s="679"/>
      <c r="C18" s="257">
        <f t="shared" ref="C18:H18" si="5">AVERAGE(C10:C16)</f>
        <v>1154.6666666666667</v>
      </c>
      <c r="D18" s="237">
        <f t="shared" si="5"/>
        <v>1625.6666666666667</v>
      </c>
      <c r="E18" s="237">
        <f t="shared" si="5"/>
        <v>621.33333333333337</v>
      </c>
      <c r="F18" s="237">
        <f t="shared" si="5"/>
        <v>1725</v>
      </c>
      <c r="G18" s="237">
        <f t="shared" si="5"/>
        <v>726.33333333333337</v>
      </c>
      <c r="H18" s="237">
        <f t="shared" si="5"/>
        <v>583</v>
      </c>
      <c r="I18" s="237">
        <f t="shared" ref="I18:AI18" si="6">AVERAGE(I10:I16)</f>
        <v>1507.3333333333333</v>
      </c>
      <c r="J18" s="237">
        <f t="shared" si="6"/>
        <v>532.33333333333337</v>
      </c>
      <c r="K18" s="237">
        <f t="shared" si="6"/>
        <v>124</v>
      </c>
      <c r="L18" s="237">
        <f t="shared" si="6"/>
        <v>559</v>
      </c>
      <c r="M18" s="237">
        <f t="shared" si="6"/>
        <v>737.66666666666663</v>
      </c>
      <c r="N18" s="237">
        <f t="shared" si="6"/>
        <v>395.33333333333331</v>
      </c>
      <c r="O18" s="237">
        <f t="shared" si="6"/>
        <v>167</v>
      </c>
      <c r="P18" s="237">
        <f t="shared" si="6"/>
        <v>381.66666666666669</v>
      </c>
      <c r="Q18" s="237">
        <f t="shared" si="6"/>
        <v>118.33333333333333</v>
      </c>
      <c r="R18" s="237">
        <f t="shared" si="6"/>
        <v>261.33333333333331</v>
      </c>
      <c r="S18" s="237">
        <f t="shared" si="6"/>
        <v>462</v>
      </c>
      <c r="T18" s="237">
        <f t="shared" si="6"/>
        <v>284</v>
      </c>
      <c r="U18" s="237">
        <f t="shared" si="6"/>
        <v>532</v>
      </c>
      <c r="V18" s="237">
        <f t="shared" si="6"/>
        <v>526.33333333333337</v>
      </c>
      <c r="W18" s="237">
        <f t="shared" si="6"/>
        <v>501</v>
      </c>
      <c r="X18" s="237">
        <f t="shared" si="6"/>
        <v>602</v>
      </c>
      <c r="Y18" s="237">
        <f t="shared" si="6"/>
        <v>404.66666666666669</v>
      </c>
      <c r="Z18" s="237">
        <f t="shared" si="6"/>
        <v>379.33333333333331</v>
      </c>
      <c r="AA18" s="237">
        <f t="shared" si="6"/>
        <v>411.66666666666669</v>
      </c>
      <c r="AB18" s="237">
        <f t="shared" si="6"/>
        <v>520.66666666666663</v>
      </c>
      <c r="AC18" s="237">
        <f t="shared" si="6"/>
        <v>178.66666666666666</v>
      </c>
      <c r="AD18" s="237">
        <f t="shared" si="6"/>
        <v>84</v>
      </c>
      <c r="AE18" s="237">
        <f t="shared" si="6"/>
        <v>218</v>
      </c>
      <c r="AF18" s="237">
        <f t="shared" si="6"/>
        <v>203.33333333333334</v>
      </c>
      <c r="AG18" s="237">
        <f t="shared" si="6"/>
        <v>388.33333333333331</v>
      </c>
      <c r="AH18" s="237" t="e">
        <f t="shared" si="6"/>
        <v>#DIV/0!</v>
      </c>
      <c r="AI18" s="237" t="e">
        <f t="shared" si="6"/>
        <v>#DIV/0!</v>
      </c>
      <c r="AJ18" s="160">
        <f>AVERAGE(AJ10:AJ16)</f>
        <v>7249.7142857142853</v>
      </c>
    </row>
    <row r="19" spans="1:36" ht="15.75" thickBot="1" x14ac:dyDescent="0.3">
      <c r="A19" s="26" t="s">
        <v>20</v>
      </c>
      <c r="B19" s="679"/>
      <c r="C19" s="259">
        <f t="shared" ref="C19:H19" si="7">SUM(C10:C14)</f>
        <v>1433</v>
      </c>
      <c r="D19" s="238">
        <f t="shared" si="7"/>
        <v>1486</v>
      </c>
      <c r="E19" s="238">
        <f t="shared" si="7"/>
        <v>680</v>
      </c>
      <c r="F19" s="238">
        <f t="shared" si="7"/>
        <v>1566</v>
      </c>
      <c r="G19" s="238">
        <f t="shared" si="7"/>
        <v>825</v>
      </c>
      <c r="H19" s="238">
        <f t="shared" si="7"/>
        <v>500</v>
      </c>
      <c r="I19" s="238">
        <f t="shared" ref="I19:AG19" si="8">SUM(I10:I14)</f>
        <v>1677</v>
      </c>
      <c r="J19" s="238">
        <f t="shared" si="8"/>
        <v>617</v>
      </c>
      <c r="K19" s="238">
        <f t="shared" si="8"/>
        <v>188</v>
      </c>
      <c r="L19" s="238">
        <f t="shared" si="8"/>
        <v>552</v>
      </c>
      <c r="M19" s="238">
        <f t="shared" si="8"/>
        <v>626</v>
      </c>
      <c r="N19" s="238">
        <f t="shared" si="8"/>
        <v>318</v>
      </c>
      <c r="O19" s="238">
        <f t="shared" si="8"/>
        <v>143</v>
      </c>
      <c r="P19" s="238">
        <f t="shared" si="8"/>
        <v>241</v>
      </c>
      <c r="Q19" s="238">
        <f t="shared" si="8"/>
        <v>94</v>
      </c>
      <c r="R19" s="238">
        <f t="shared" si="8"/>
        <v>194</v>
      </c>
      <c r="S19" s="238">
        <f t="shared" si="8"/>
        <v>528</v>
      </c>
      <c r="T19" s="238">
        <f t="shared" si="8"/>
        <v>361</v>
      </c>
      <c r="U19" s="238">
        <f t="shared" si="8"/>
        <v>688</v>
      </c>
      <c r="V19" s="238">
        <f t="shared" si="8"/>
        <v>498</v>
      </c>
      <c r="W19" s="238">
        <f t="shared" si="8"/>
        <v>416</v>
      </c>
      <c r="X19" s="238">
        <f t="shared" si="8"/>
        <v>582</v>
      </c>
      <c r="Y19" s="238">
        <f t="shared" si="8"/>
        <v>526</v>
      </c>
      <c r="Z19" s="238">
        <f t="shared" si="8"/>
        <v>486</v>
      </c>
      <c r="AA19" s="238">
        <f t="shared" si="8"/>
        <v>404</v>
      </c>
      <c r="AB19" s="238">
        <f t="shared" si="8"/>
        <v>658</v>
      </c>
      <c r="AC19" s="238">
        <f t="shared" si="8"/>
        <v>221</v>
      </c>
      <c r="AD19" s="238">
        <f t="shared" si="8"/>
        <v>85</v>
      </c>
      <c r="AE19" s="238">
        <f t="shared" si="8"/>
        <v>251</v>
      </c>
      <c r="AF19" s="238">
        <f t="shared" si="8"/>
        <v>231</v>
      </c>
      <c r="AG19" s="238">
        <f t="shared" si="8"/>
        <v>405</v>
      </c>
      <c r="AH19" s="238">
        <f>SUM(AH10:AH14)</f>
        <v>0</v>
      </c>
      <c r="AI19" s="238">
        <f>SUM(AI10:AI14)</f>
        <v>0</v>
      </c>
      <c r="AJ19" s="161">
        <f>SUM(AJ10:AJ14)</f>
        <v>17480</v>
      </c>
    </row>
    <row r="20" spans="1:36" ht="15.75" thickBot="1" x14ac:dyDescent="0.3">
      <c r="A20" s="26" t="s">
        <v>22</v>
      </c>
      <c r="B20" s="679"/>
      <c r="C20" s="259">
        <f t="shared" ref="C20:H20" si="9">AVERAGE(C10:C14)</f>
        <v>1433</v>
      </c>
      <c r="D20" s="238">
        <f t="shared" si="9"/>
        <v>1486</v>
      </c>
      <c r="E20" s="238">
        <f t="shared" si="9"/>
        <v>680</v>
      </c>
      <c r="F20" s="238">
        <f t="shared" si="9"/>
        <v>1566</v>
      </c>
      <c r="G20" s="238">
        <f t="shared" si="9"/>
        <v>825</v>
      </c>
      <c r="H20" s="238">
        <f t="shared" si="9"/>
        <v>500</v>
      </c>
      <c r="I20" s="238">
        <f t="shared" ref="I20:AI20" si="10">AVERAGE(I10:I14)</f>
        <v>1677</v>
      </c>
      <c r="J20" s="238">
        <f t="shared" si="10"/>
        <v>617</v>
      </c>
      <c r="K20" s="238">
        <f t="shared" si="10"/>
        <v>188</v>
      </c>
      <c r="L20" s="238">
        <f t="shared" si="10"/>
        <v>552</v>
      </c>
      <c r="M20" s="238">
        <f t="shared" si="10"/>
        <v>626</v>
      </c>
      <c r="N20" s="238">
        <f t="shared" si="10"/>
        <v>318</v>
      </c>
      <c r="O20" s="238">
        <f t="shared" si="10"/>
        <v>143</v>
      </c>
      <c r="P20" s="238">
        <f t="shared" si="10"/>
        <v>241</v>
      </c>
      <c r="Q20" s="238">
        <f t="shared" si="10"/>
        <v>94</v>
      </c>
      <c r="R20" s="238">
        <f t="shared" si="10"/>
        <v>194</v>
      </c>
      <c r="S20" s="238">
        <f t="shared" si="10"/>
        <v>528</v>
      </c>
      <c r="T20" s="238">
        <f t="shared" si="10"/>
        <v>361</v>
      </c>
      <c r="U20" s="238">
        <f t="shared" si="10"/>
        <v>688</v>
      </c>
      <c r="V20" s="238">
        <f t="shared" si="10"/>
        <v>498</v>
      </c>
      <c r="W20" s="238">
        <f t="shared" si="10"/>
        <v>416</v>
      </c>
      <c r="X20" s="238">
        <f t="shared" si="10"/>
        <v>582</v>
      </c>
      <c r="Y20" s="238">
        <f t="shared" si="10"/>
        <v>526</v>
      </c>
      <c r="Z20" s="238">
        <f t="shared" si="10"/>
        <v>486</v>
      </c>
      <c r="AA20" s="238">
        <f t="shared" si="10"/>
        <v>404</v>
      </c>
      <c r="AB20" s="238">
        <f t="shared" si="10"/>
        <v>658</v>
      </c>
      <c r="AC20" s="238">
        <f t="shared" si="10"/>
        <v>221</v>
      </c>
      <c r="AD20" s="238">
        <f t="shared" si="10"/>
        <v>85</v>
      </c>
      <c r="AE20" s="238">
        <f t="shared" si="10"/>
        <v>251</v>
      </c>
      <c r="AF20" s="238">
        <f t="shared" si="10"/>
        <v>231</v>
      </c>
      <c r="AG20" s="238">
        <f t="shared" si="10"/>
        <v>405</v>
      </c>
      <c r="AH20" s="238" t="e">
        <f t="shared" si="10"/>
        <v>#DIV/0!</v>
      </c>
      <c r="AI20" s="238" t="e">
        <f t="shared" si="10"/>
        <v>#DIV/0!</v>
      </c>
      <c r="AJ20" s="162">
        <f>AVERAGE(AJ10:AJ14)</f>
        <v>3496</v>
      </c>
    </row>
    <row r="21" spans="1:36" ht="15.75" thickBot="1" x14ac:dyDescent="0.3">
      <c r="A21" s="149" t="s">
        <v>3</v>
      </c>
      <c r="B21" s="489">
        <f>B16+1</f>
        <v>43773</v>
      </c>
      <c r="C21" s="319">
        <v>1177</v>
      </c>
      <c r="D21" s="223">
        <v>1100</v>
      </c>
      <c r="E21" s="223">
        <v>641</v>
      </c>
      <c r="F21" s="223">
        <v>1457</v>
      </c>
      <c r="G21" s="223">
        <v>840</v>
      </c>
      <c r="H21" s="223">
        <v>406</v>
      </c>
      <c r="I21" s="247">
        <v>1298</v>
      </c>
      <c r="J21" s="272">
        <v>676</v>
      </c>
      <c r="K21" s="223">
        <v>241</v>
      </c>
      <c r="L21" s="245">
        <v>609</v>
      </c>
      <c r="M21" s="256">
        <v>398</v>
      </c>
      <c r="N21" s="223">
        <v>359</v>
      </c>
      <c r="O21" s="223">
        <v>135</v>
      </c>
      <c r="P21" s="223">
        <v>212</v>
      </c>
      <c r="Q21" s="223">
        <v>67</v>
      </c>
      <c r="R21" s="245">
        <v>141</v>
      </c>
      <c r="S21" s="256">
        <v>540</v>
      </c>
      <c r="T21" s="223">
        <v>363</v>
      </c>
      <c r="U21" s="223">
        <v>640</v>
      </c>
      <c r="V21" s="223">
        <v>511</v>
      </c>
      <c r="W21" s="223">
        <v>359</v>
      </c>
      <c r="X21" s="245">
        <v>551</v>
      </c>
      <c r="Y21" s="256">
        <v>559</v>
      </c>
      <c r="Z21" s="187">
        <v>480</v>
      </c>
      <c r="AA21" s="223">
        <v>361</v>
      </c>
      <c r="AB21" s="245">
        <v>667</v>
      </c>
      <c r="AC21" s="256">
        <v>299</v>
      </c>
      <c r="AD21" s="223">
        <v>72</v>
      </c>
      <c r="AE21" s="223">
        <v>217</v>
      </c>
      <c r="AF21" s="223">
        <v>259</v>
      </c>
      <c r="AG21" s="245">
        <v>332</v>
      </c>
      <c r="AH21" s="256"/>
      <c r="AI21" s="247"/>
      <c r="AJ21" s="194">
        <f t="shared" ref="AJ21:AJ27" si="11">SUM(C21:AI21)</f>
        <v>15967</v>
      </c>
    </row>
    <row r="22" spans="1:36" ht="15.75" thickBot="1" x14ac:dyDescent="0.3">
      <c r="A22" s="149" t="s">
        <v>4</v>
      </c>
      <c r="B22" s="489">
        <f t="shared" ref="B22:B27" si="12">B21+1</f>
        <v>43774</v>
      </c>
      <c r="C22" s="319">
        <v>1081</v>
      </c>
      <c r="D22" s="223">
        <v>964</v>
      </c>
      <c r="E22" s="223">
        <v>620</v>
      </c>
      <c r="F22" s="223">
        <v>1325</v>
      </c>
      <c r="G22" s="223">
        <v>788</v>
      </c>
      <c r="H22" s="223">
        <v>391</v>
      </c>
      <c r="I22" s="247">
        <v>1297</v>
      </c>
      <c r="J22" s="272">
        <v>584</v>
      </c>
      <c r="K22" s="223">
        <v>192</v>
      </c>
      <c r="L22" s="245">
        <v>545</v>
      </c>
      <c r="M22" s="256">
        <v>450</v>
      </c>
      <c r="N22" s="223">
        <v>315</v>
      </c>
      <c r="O22" s="223">
        <v>163</v>
      </c>
      <c r="P22" s="223">
        <v>199</v>
      </c>
      <c r="Q22" s="223">
        <v>72</v>
      </c>
      <c r="R22" s="245">
        <v>162</v>
      </c>
      <c r="S22" s="256">
        <v>449</v>
      </c>
      <c r="T22" s="187">
        <v>361</v>
      </c>
      <c r="U22" s="223">
        <v>615</v>
      </c>
      <c r="V22" s="223">
        <v>491</v>
      </c>
      <c r="W22" s="223">
        <v>381</v>
      </c>
      <c r="X22" s="245">
        <v>516</v>
      </c>
      <c r="Y22" s="256">
        <v>451</v>
      </c>
      <c r="Z22" s="187">
        <v>457</v>
      </c>
      <c r="AA22" s="223">
        <v>356</v>
      </c>
      <c r="AB22" s="245">
        <v>621</v>
      </c>
      <c r="AC22" s="256">
        <v>255</v>
      </c>
      <c r="AD22" s="187">
        <v>57</v>
      </c>
      <c r="AE22" s="223">
        <v>240</v>
      </c>
      <c r="AF22" s="223">
        <v>278</v>
      </c>
      <c r="AG22" s="245">
        <v>323</v>
      </c>
      <c r="AH22" s="256"/>
      <c r="AI22" s="247"/>
      <c r="AJ22" s="194">
        <f t="shared" si="11"/>
        <v>14999</v>
      </c>
    </row>
    <row r="23" spans="1:36" ht="15.75" thickBot="1" x14ac:dyDescent="0.3">
      <c r="A23" s="149" t="s">
        <v>5</v>
      </c>
      <c r="B23" s="489">
        <f t="shared" si="12"/>
        <v>43775</v>
      </c>
      <c r="C23" s="319">
        <v>1096</v>
      </c>
      <c r="D23" s="223">
        <v>867</v>
      </c>
      <c r="E23" s="223">
        <v>596</v>
      </c>
      <c r="F23" s="223">
        <v>1362</v>
      </c>
      <c r="G23" s="223">
        <v>846</v>
      </c>
      <c r="H23" s="223">
        <v>358</v>
      </c>
      <c r="I23" s="247">
        <v>1349</v>
      </c>
      <c r="J23" s="272">
        <v>671</v>
      </c>
      <c r="K23" s="223">
        <v>208</v>
      </c>
      <c r="L23" s="245">
        <v>589</v>
      </c>
      <c r="M23" s="256">
        <v>441</v>
      </c>
      <c r="N23" s="223">
        <v>279</v>
      </c>
      <c r="O23" s="223">
        <v>149</v>
      </c>
      <c r="P23" s="223">
        <v>166</v>
      </c>
      <c r="Q23" s="223">
        <v>63</v>
      </c>
      <c r="R23" s="245">
        <v>221</v>
      </c>
      <c r="S23" s="256">
        <v>548</v>
      </c>
      <c r="T23" s="223">
        <v>384</v>
      </c>
      <c r="U23" s="223">
        <v>664</v>
      </c>
      <c r="V23" s="223">
        <v>456</v>
      </c>
      <c r="W23" s="223">
        <v>389</v>
      </c>
      <c r="X23" s="245">
        <v>571</v>
      </c>
      <c r="Y23" s="256">
        <v>557</v>
      </c>
      <c r="Z23" s="187">
        <v>459</v>
      </c>
      <c r="AA23" s="223">
        <v>377</v>
      </c>
      <c r="AB23" s="245">
        <v>700</v>
      </c>
      <c r="AC23" s="256">
        <v>214</v>
      </c>
      <c r="AD23" s="223">
        <v>60</v>
      </c>
      <c r="AE23" s="223">
        <v>257</v>
      </c>
      <c r="AF23" s="223">
        <v>266</v>
      </c>
      <c r="AG23" s="245">
        <v>376</v>
      </c>
      <c r="AH23" s="256"/>
      <c r="AI23" s="247"/>
      <c r="AJ23" s="194">
        <f t="shared" si="11"/>
        <v>15539</v>
      </c>
    </row>
    <row r="24" spans="1:36" ht="15.75" thickBot="1" x14ac:dyDescent="0.3">
      <c r="A24" s="149" t="s">
        <v>6</v>
      </c>
      <c r="B24" s="489">
        <f t="shared" si="12"/>
        <v>43776</v>
      </c>
      <c r="C24" s="319">
        <v>951</v>
      </c>
      <c r="D24" s="223">
        <v>827</v>
      </c>
      <c r="E24" s="223">
        <v>562</v>
      </c>
      <c r="F24" s="223">
        <v>1255</v>
      </c>
      <c r="G24" s="223">
        <v>810</v>
      </c>
      <c r="H24" s="223">
        <v>264</v>
      </c>
      <c r="I24" s="247">
        <v>1090</v>
      </c>
      <c r="J24" s="272">
        <v>618</v>
      </c>
      <c r="K24" s="223">
        <v>203</v>
      </c>
      <c r="L24" s="245">
        <v>583</v>
      </c>
      <c r="M24" s="256">
        <v>312</v>
      </c>
      <c r="N24" s="223">
        <v>252</v>
      </c>
      <c r="O24" s="223">
        <v>147</v>
      </c>
      <c r="P24" s="223">
        <v>215</v>
      </c>
      <c r="Q24" s="223">
        <v>54</v>
      </c>
      <c r="R24" s="245">
        <v>141</v>
      </c>
      <c r="S24" s="256">
        <v>503</v>
      </c>
      <c r="T24" s="223">
        <v>364</v>
      </c>
      <c r="U24" s="223">
        <v>586</v>
      </c>
      <c r="V24" s="223">
        <v>420</v>
      </c>
      <c r="W24" s="223">
        <v>314</v>
      </c>
      <c r="X24" s="245">
        <v>466</v>
      </c>
      <c r="Y24" s="256">
        <v>491</v>
      </c>
      <c r="Z24" s="187">
        <v>460</v>
      </c>
      <c r="AA24" s="223">
        <v>756</v>
      </c>
      <c r="AB24" s="245">
        <v>630</v>
      </c>
      <c r="AC24" s="256">
        <v>198</v>
      </c>
      <c r="AD24" s="223">
        <v>61</v>
      </c>
      <c r="AE24" s="223">
        <v>193</v>
      </c>
      <c r="AF24" s="223">
        <v>168</v>
      </c>
      <c r="AG24" s="245">
        <v>313</v>
      </c>
      <c r="AH24" s="256"/>
      <c r="AI24" s="247"/>
      <c r="AJ24" s="194">
        <f t="shared" si="11"/>
        <v>14207</v>
      </c>
    </row>
    <row r="25" spans="1:36" ht="15.75" thickBot="1" x14ac:dyDescent="0.3">
      <c r="A25" s="149" t="s">
        <v>0</v>
      </c>
      <c r="B25" s="489">
        <f t="shared" si="12"/>
        <v>43777</v>
      </c>
      <c r="C25" s="319">
        <v>975</v>
      </c>
      <c r="D25" s="223">
        <v>882</v>
      </c>
      <c r="E25" s="223">
        <v>451</v>
      </c>
      <c r="F25" s="223">
        <v>1177</v>
      </c>
      <c r="G25" s="223">
        <v>709</v>
      </c>
      <c r="H25" s="223">
        <v>283</v>
      </c>
      <c r="I25" s="247">
        <v>1094</v>
      </c>
      <c r="J25" s="272">
        <v>538</v>
      </c>
      <c r="K25" s="223">
        <v>179</v>
      </c>
      <c r="L25" s="245">
        <v>487</v>
      </c>
      <c r="M25" s="256">
        <v>357</v>
      </c>
      <c r="N25" s="223">
        <v>259</v>
      </c>
      <c r="O25" s="223">
        <v>96</v>
      </c>
      <c r="P25" s="223">
        <v>160</v>
      </c>
      <c r="Q25" s="223">
        <v>44</v>
      </c>
      <c r="R25" s="245">
        <v>106</v>
      </c>
      <c r="S25" s="256">
        <v>479</v>
      </c>
      <c r="T25" s="223">
        <v>322</v>
      </c>
      <c r="U25" s="223">
        <v>539</v>
      </c>
      <c r="V25" s="223">
        <v>407</v>
      </c>
      <c r="W25" s="223">
        <v>317</v>
      </c>
      <c r="X25" s="245">
        <v>494</v>
      </c>
      <c r="Y25" s="256">
        <v>467</v>
      </c>
      <c r="Z25" s="187">
        <v>395</v>
      </c>
      <c r="AA25" s="223">
        <v>294</v>
      </c>
      <c r="AB25" s="245">
        <v>658</v>
      </c>
      <c r="AC25" s="256">
        <v>188</v>
      </c>
      <c r="AD25" s="223">
        <v>56</v>
      </c>
      <c r="AE25" s="223">
        <v>249</v>
      </c>
      <c r="AF25" s="223">
        <v>210</v>
      </c>
      <c r="AG25" s="245">
        <v>321</v>
      </c>
      <c r="AH25" s="256"/>
      <c r="AI25" s="247"/>
      <c r="AJ25" s="194">
        <f t="shared" si="11"/>
        <v>13193</v>
      </c>
    </row>
    <row r="26" spans="1:36" ht="15.75" thickBot="1" x14ac:dyDescent="0.3">
      <c r="A26" s="149" t="s">
        <v>1</v>
      </c>
      <c r="B26" s="489">
        <f t="shared" si="12"/>
        <v>43778</v>
      </c>
      <c r="C26" s="319">
        <v>529</v>
      </c>
      <c r="D26" s="223">
        <v>998</v>
      </c>
      <c r="E26" s="223">
        <v>151</v>
      </c>
      <c r="F26" s="223">
        <v>1021</v>
      </c>
      <c r="G26" s="223">
        <v>383</v>
      </c>
      <c r="H26" s="223">
        <v>286</v>
      </c>
      <c r="I26" s="247">
        <v>822</v>
      </c>
      <c r="J26" s="272">
        <v>355</v>
      </c>
      <c r="K26" s="223">
        <v>70</v>
      </c>
      <c r="L26" s="245">
        <v>366</v>
      </c>
      <c r="M26" s="256">
        <v>312</v>
      </c>
      <c r="N26" s="223">
        <v>199</v>
      </c>
      <c r="O26" s="223">
        <v>72</v>
      </c>
      <c r="P26" s="223">
        <v>85</v>
      </c>
      <c r="Q26" s="223">
        <v>33</v>
      </c>
      <c r="R26" s="245">
        <v>92</v>
      </c>
      <c r="S26" s="256">
        <v>229</v>
      </c>
      <c r="T26" s="223">
        <v>97</v>
      </c>
      <c r="U26" s="223">
        <v>301</v>
      </c>
      <c r="V26" s="223">
        <v>293</v>
      </c>
      <c r="W26" s="223">
        <v>220</v>
      </c>
      <c r="X26" s="245">
        <v>301</v>
      </c>
      <c r="Y26" s="256">
        <v>164</v>
      </c>
      <c r="Z26" s="187">
        <v>137</v>
      </c>
      <c r="AA26" s="223">
        <v>163</v>
      </c>
      <c r="AB26" s="245">
        <v>239</v>
      </c>
      <c r="AC26" s="256">
        <v>108</v>
      </c>
      <c r="AD26" s="223">
        <v>21</v>
      </c>
      <c r="AE26" s="223">
        <v>78</v>
      </c>
      <c r="AF26" s="223">
        <v>115</v>
      </c>
      <c r="AG26" s="245">
        <v>231</v>
      </c>
      <c r="AH26" s="256"/>
      <c r="AI26" s="247"/>
      <c r="AJ26" s="194">
        <f t="shared" si="11"/>
        <v>8471</v>
      </c>
    </row>
    <row r="27" spans="1:36" ht="15.75" thickBot="1" x14ac:dyDescent="0.3">
      <c r="A27" s="149" t="s">
        <v>2</v>
      </c>
      <c r="B27" s="489">
        <f t="shared" si="12"/>
        <v>43779</v>
      </c>
      <c r="C27" s="319">
        <v>589</v>
      </c>
      <c r="D27" s="223">
        <v>1049</v>
      </c>
      <c r="E27" s="223">
        <v>191</v>
      </c>
      <c r="F27" s="223">
        <v>789</v>
      </c>
      <c r="G27" s="223">
        <v>273</v>
      </c>
      <c r="H27" s="223">
        <v>353</v>
      </c>
      <c r="I27" s="247">
        <v>771</v>
      </c>
      <c r="J27" s="272">
        <v>282</v>
      </c>
      <c r="K27" s="223">
        <v>60</v>
      </c>
      <c r="L27" s="245">
        <v>364</v>
      </c>
      <c r="M27" s="256">
        <v>400</v>
      </c>
      <c r="N27" s="223">
        <v>210</v>
      </c>
      <c r="O27" s="223">
        <v>77</v>
      </c>
      <c r="P27" s="223">
        <v>279</v>
      </c>
      <c r="Q27" s="223">
        <v>43</v>
      </c>
      <c r="R27" s="245">
        <v>196</v>
      </c>
      <c r="S27" s="256">
        <v>225</v>
      </c>
      <c r="T27" s="223">
        <v>96</v>
      </c>
      <c r="U27" s="223">
        <v>236</v>
      </c>
      <c r="V27" s="223">
        <v>240</v>
      </c>
      <c r="W27" s="223">
        <v>283</v>
      </c>
      <c r="X27" s="245">
        <v>256</v>
      </c>
      <c r="Y27" s="256">
        <v>182</v>
      </c>
      <c r="Z27" s="187">
        <v>116</v>
      </c>
      <c r="AA27" s="223">
        <v>169</v>
      </c>
      <c r="AB27" s="245">
        <v>221</v>
      </c>
      <c r="AC27" s="256">
        <v>107</v>
      </c>
      <c r="AD27" s="223">
        <v>32</v>
      </c>
      <c r="AE27" s="223">
        <v>56</v>
      </c>
      <c r="AF27" s="223">
        <v>104</v>
      </c>
      <c r="AG27" s="245">
        <v>221</v>
      </c>
      <c r="AH27" s="256"/>
      <c r="AI27" s="247"/>
      <c r="AJ27" s="194">
        <f t="shared" si="11"/>
        <v>8470</v>
      </c>
    </row>
    <row r="28" spans="1:36" ht="15.75" thickBot="1" x14ac:dyDescent="0.3">
      <c r="A28" s="158" t="s">
        <v>21</v>
      </c>
      <c r="B28" s="679" t="s">
        <v>25</v>
      </c>
      <c r="C28" s="257">
        <f>SUM(C21:C27)</f>
        <v>6398</v>
      </c>
      <c r="D28" s="237">
        <f>SUM(D21:D27)</f>
        <v>6687</v>
      </c>
      <c r="E28" s="237">
        <f>SUM(E21:E27)</f>
        <v>3212</v>
      </c>
      <c r="F28" s="237">
        <f>SUM(F21:F27)</f>
        <v>8386</v>
      </c>
      <c r="G28" s="237">
        <f>SUM(G21:G27)</f>
        <v>4649</v>
      </c>
      <c r="H28" s="237">
        <f t="shared" ref="H28:AI28" si="13">SUM(H21:H27)</f>
        <v>2341</v>
      </c>
      <c r="I28" s="237">
        <f t="shared" si="13"/>
        <v>7721</v>
      </c>
      <c r="J28" s="237">
        <f t="shared" si="13"/>
        <v>3724</v>
      </c>
      <c r="K28" s="237">
        <f t="shared" si="13"/>
        <v>1153</v>
      </c>
      <c r="L28" s="237">
        <f t="shared" si="13"/>
        <v>3543</v>
      </c>
      <c r="M28" s="237">
        <f t="shared" si="13"/>
        <v>2670</v>
      </c>
      <c r="N28" s="237">
        <f t="shared" si="13"/>
        <v>1873</v>
      </c>
      <c r="O28" s="237">
        <f t="shared" si="13"/>
        <v>839</v>
      </c>
      <c r="P28" s="237">
        <f t="shared" si="13"/>
        <v>1316</v>
      </c>
      <c r="Q28" s="237">
        <f t="shared" si="13"/>
        <v>376</v>
      </c>
      <c r="R28" s="237">
        <f t="shared" si="13"/>
        <v>1059</v>
      </c>
      <c r="S28" s="237">
        <f t="shared" si="13"/>
        <v>2973</v>
      </c>
      <c r="T28" s="237">
        <f t="shared" si="13"/>
        <v>1987</v>
      </c>
      <c r="U28" s="237">
        <f t="shared" si="13"/>
        <v>3581</v>
      </c>
      <c r="V28" s="237">
        <f t="shared" si="13"/>
        <v>2818</v>
      </c>
      <c r="W28" s="237">
        <f t="shared" si="13"/>
        <v>2263</v>
      </c>
      <c r="X28" s="237">
        <f t="shared" si="13"/>
        <v>3155</v>
      </c>
      <c r="Y28" s="237">
        <f t="shared" si="13"/>
        <v>2871</v>
      </c>
      <c r="Z28" s="237">
        <f t="shared" si="13"/>
        <v>2504</v>
      </c>
      <c r="AA28" s="237">
        <f t="shared" si="13"/>
        <v>2476</v>
      </c>
      <c r="AB28" s="237">
        <f t="shared" si="13"/>
        <v>3736</v>
      </c>
      <c r="AC28" s="237">
        <f t="shared" si="13"/>
        <v>1369</v>
      </c>
      <c r="AD28" s="237">
        <f t="shared" si="13"/>
        <v>359</v>
      </c>
      <c r="AE28" s="237">
        <f t="shared" si="13"/>
        <v>1290</v>
      </c>
      <c r="AF28" s="237">
        <f t="shared" si="13"/>
        <v>1400</v>
      </c>
      <c r="AG28" s="237">
        <f t="shared" si="13"/>
        <v>2117</v>
      </c>
      <c r="AH28" s="237">
        <f t="shared" si="13"/>
        <v>0</v>
      </c>
      <c r="AI28" s="237">
        <f t="shared" si="13"/>
        <v>0</v>
      </c>
      <c r="AJ28" s="159">
        <f>SUM(AJ21:AJ27)</f>
        <v>90846</v>
      </c>
    </row>
    <row r="29" spans="1:36" ht="15.75" thickBot="1" x14ac:dyDescent="0.3">
      <c r="A29" s="109" t="s">
        <v>23</v>
      </c>
      <c r="B29" s="679"/>
      <c r="C29" s="257">
        <f>AVERAGE(C21:C27)</f>
        <v>914</v>
      </c>
      <c r="D29" s="237">
        <f t="shared" ref="D29:AI29" si="14">AVERAGE(D21:D27)</f>
        <v>955.28571428571433</v>
      </c>
      <c r="E29" s="237">
        <f t="shared" si="14"/>
        <v>458.85714285714283</v>
      </c>
      <c r="F29" s="237">
        <f t="shared" si="14"/>
        <v>1198</v>
      </c>
      <c r="G29" s="237">
        <f t="shared" si="14"/>
        <v>664.14285714285711</v>
      </c>
      <c r="H29" s="237">
        <f t="shared" si="14"/>
        <v>334.42857142857144</v>
      </c>
      <c r="I29" s="237">
        <f t="shared" si="14"/>
        <v>1103</v>
      </c>
      <c r="J29" s="237">
        <f t="shared" si="14"/>
        <v>532</v>
      </c>
      <c r="K29" s="237">
        <f t="shared" si="14"/>
        <v>164.71428571428572</v>
      </c>
      <c r="L29" s="237">
        <f t="shared" si="14"/>
        <v>506.14285714285717</v>
      </c>
      <c r="M29" s="237">
        <f t="shared" si="14"/>
        <v>381.42857142857144</v>
      </c>
      <c r="N29" s="237">
        <f t="shared" si="14"/>
        <v>267.57142857142856</v>
      </c>
      <c r="O29" s="237">
        <f t="shared" si="14"/>
        <v>119.85714285714286</v>
      </c>
      <c r="P29" s="237">
        <f t="shared" si="14"/>
        <v>188</v>
      </c>
      <c r="Q29" s="237">
        <f t="shared" si="14"/>
        <v>53.714285714285715</v>
      </c>
      <c r="R29" s="237">
        <f t="shared" si="14"/>
        <v>151.28571428571428</v>
      </c>
      <c r="S29" s="237">
        <f t="shared" si="14"/>
        <v>424.71428571428572</v>
      </c>
      <c r="T29" s="237">
        <f t="shared" si="14"/>
        <v>283.85714285714283</v>
      </c>
      <c r="U29" s="237">
        <f t="shared" si="14"/>
        <v>511.57142857142856</v>
      </c>
      <c r="V29" s="237">
        <f t="shared" si="14"/>
        <v>402.57142857142856</v>
      </c>
      <c r="W29" s="237">
        <f t="shared" si="14"/>
        <v>323.28571428571428</v>
      </c>
      <c r="X29" s="237">
        <f t="shared" si="14"/>
        <v>450.71428571428572</v>
      </c>
      <c r="Y29" s="237">
        <f t="shared" si="14"/>
        <v>410.14285714285717</v>
      </c>
      <c r="Z29" s="237">
        <f t="shared" si="14"/>
        <v>357.71428571428572</v>
      </c>
      <c r="AA29" s="237">
        <f t="shared" si="14"/>
        <v>353.71428571428572</v>
      </c>
      <c r="AB29" s="237">
        <f t="shared" si="14"/>
        <v>533.71428571428567</v>
      </c>
      <c r="AC29" s="237">
        <f t="shared" si="14"/>
        <v>195.57142857142858</v>
      </c>
      <c r="AD29" s="237">
        <f t="shared" si="14"/>
        <v>51.285714285714285</v>
      </c>
      <c r="AE29" s="237">
        <f t="shared" si="14"/>
        <v>184.28571428571428</v>
      </c>
      <c r="AF29" s="237">
        <f t="shared" si="14"/>
        <v>200</v>
      </c>
      <c r="AG29" s="237">
        <f t="shared" si="14"/>
        <v>302.42857142857144</v>
      </c>
      <c r="AH29" s="237" t="e">
        <f t="shared" si="14"/>
        <v>#DIV/0!</v>
      </c>
      <c r="AI29" s="237" t="e">
        <f t="shared" si="14"/>
        <v>#DIV/0!</v>
      </c>
      <c r="AJ29" s="160">
        <f>AVERAGE(AJ21:AJ27)</f>
        <v>12978</v>
      </c>
    </row>
    <row r="30" spans="1:36" ht="15.75" thickBot="1" x14ac:dyDescent="0.3">
      <c r="A30" s="26" t="s">
        <v>20</v>
      </c>
      <c r="B30" s="679"/>
      <c r="C30" s="259">
        <f t="shared" ref="C30:AI30" si="15">SUM(C21:C25)</f>
        <v>5280</v>
      </c>
      <c r="D30" s="238">
        <f t="shared" si="15"/>
        <v>4640</v>
      </c>
      <c r="E30" s="238">
        <f t="shared" si="15"/>
        <v>2870</v>
      </c>
      <c r="F30" s="238">
        <f t="shared" si="15"/>
        <v>6576</v>
      </c>
      <c r="G30" s="238">
        <f t="shared" si="15"/>
        <v>3993</v>
      </c>
      <c r="H30" s="238">
        <f t="shared" si="15"/>
        <v>1702</v>
      </c>
      <c r="I30" s="238">
        <f t="shared" si="15"/>
        <v>6128</v>
      </c>
      <c r="J30" s="238">
        <f t="shared" si="15"/>
        <v>3087</v>
      </c>
      <c r="K30" s="238">
        <f t="shared" si="15"/>
        <v>1023</v>
      </c>
      <c r="L30" s="238">
        <f t="shared" si="15"/>
        <v>2813</v>
      </c>
      <c r="M30" s="238">
        <f t="shared" si="15"/>
        <v>1958</v>
      </c>
      <c r="N30" s="238">
        <f t="shared" si="15"/>
        <v>1464</v>
      </c>
      <c r="O30" s="238">
        <f t="shared" si="15"/>
        <v>690</v>
      </c>
      <c r="P30" s="238">
        <f t="shared" si="15"/>
        <v>952</v>
      </c>
      <c r="Q30" s="238">
        <f t="shared" si="15"/>
        <v>300</v>
      </c>
      <c r="R30" s="238">
        <f t="shared" si="15"/>
        <v>771</v>
      </c>
      <c r="S30" s="238">
        <f t="shared" si="15"/>
        <v>2519</v>
      </c>
      <c r="T30" s="238">
        <f t="shared" si="15"/>
        <v>1794</v>
      </c>
      <c r="U30" s="238">
        <f t="shared" si="15"/>
        <v>3044</v>
      </c>
      <c r="V30" s="238">
        <f t="shared" si="15"/>
        <v>2285</v>
      </c>
      <c r="W30" s="238">
        <f t="shared" si="15"/>
        <v>1760</v>
      </c>
      <c r="X30" s="238">
        <f t="shared" si="15"/>
        <v>2598</v>
      </c>
      <c r="Y30" s="238">
        <f t="shared" si="15"/>
        <v>2525</v>
      </c>
      <c r="Z30" s="238">
        <f t="shared" si="15"/>
        <v>2251</v>
      </c>
      <c r="AA30" s="238">
        <f t="shared" si="15"/>
        <v>2144</v>
      </c>
      <c r="AB30" s="238">
        <f t="shared" si="15"/>
        <v>3276</v>
      </c>
      <c r="AC30" s="238">
        <f t="shared" si="15"/>
        <v>1154</v>
      </c>
      <c r="AD30" s="238">
        <f t="shared" si="15"/>
        <v>306</v>
      </c>
      <c r="AE30" s="238">
        <f t="shared" si="15"/>
        <v>1156</v>
      </c>
      <c r="AF30" s="238">
        <f t="shared" si="15"/>
        <v>1181</v>
      </c>
      <c r="AG30" s="238">
        <f t="shared" si="15"/>
        <v>1665</v>
      </c>
      <c r="AH30" s="238">
        <f t="shared" si="15"/>
        <v>0</v>
      </c>
      <c r="AI30" s="238">
        <f t="shared" si="15"/>
        <v>0</v>
      </c>
      <c r="AJ30" s="161">
        <f>SUM(AJ21:AJ25)</f>
        <v>73905</v>
      </c>
    </row>
    <row r="31" spans="1:36" ht="15.75" thickBot="1" x14ac:dyDescent="0.3">
      <c r="A31" s="26" t="s">
        <v>22</v>
      </c>
      <c r="B31" s="679"/>
      <c r="C31" s="259">
        <f>AVERAGE(C21:C25)</f>
        <v>1056</v>
      </c>
      <c r="D31" s="238">
        <f t="shared" ref="D31:AI31" si="16">AVERAGE(D21:D25)</f>
        <v>928</v>
      </c>
      <c r="E31" s="238">
        <f t="shared" si="16"/>
        <v>574</v>
      </c>
      <c r="F31" s="238">
        <f t="shared" si="16"/>
        <v>1315.2</v>
      </c>
      <c r="G31" s="238">
        <f t="shared" si="16"/>
        <v>798.6</v>
      </c>
      <c r="H31" s="238">
        <f t="shared" si="16"/>
        <v>340.4</v>
      </c>
      <c r="I31" s="238">
        <f t="shared" si="16"/>
        <v>1225.5999999999999</v>
      </c>
      <c r="J31" s="238">
        <f t="shared" si="16"/>
        <v>617.4</v>
      </c>
      <c r="K31" s="238">
        <f t="shared" si="16"/>
        <v>204.6</v>
      </c>
      <c r="L31" s="238">
        <f t="shared" si="16"/>
        <v>562.6</v>
      </c>
      <c r="M31" s="238">
        <f t="shared" si="16"/>
        <v>391.6</v>
      </c>
      <c r="N31" s="238">
        <f t="shared" si="16"/>
        <v>292.8</v>
      </c>
      <c r="O31" s="238">
        <f t="shared" si="16"/>
        <v>138</v>
      </c>
      <c r="P31" s="238">
        <f t="shared" si="16"/>
        <v>190.4</v>
      </c>
      <c r="Q31" s="238">
        <f t="shared" si="16"/>
        <v>60</v>
      </c>
      <c r="R31" s="238">
        <f t="shared" si="16"/>
        <v>154.19999999999999</v>
      </c>
      <c r="S31" s="238">
        <f t="shared" si="16"/>
        <v>503.8</v>
      </c>
      <c r="T31" s="238">
        <f t="shared" si="16"/>
        <v>358.8</v>
      </c>
      <c r="U31" s="238">
        <f t="shared" si="16"/>
        <v>608.79999999999995</v>
      </c>
      <c r="V31" s="238">
        <f t="shared" si="16"/>
        <v>457</v>
      </c>
      <c r="W31" s="238">
        <f t="shared" si="16"/>
        <v>352</v>
      </c>
      <c r="X31" s="238">
        <f t="shared" si="16"/>
        <v>519.6</v>
      </c>
      <c r="Y31" s="238">
        <f t="shared" si="16"/>
        <v>505</v>
      </c>
      <c r="Z31" s="238">
        <f t="shared" si="16"/>
        <v>450.2</v>
      </c>
      <c r="AA31" s="238">
        <f t="shared" si="16"/>
        <v>428.8</v>
      </c>
      <c r="AB31" s="238">
        <f t="shared" si="16"/>
        <v>655.20000000000005</v>
      </c>
      <c r="AC31" s="238">
        <f t="shared" si="16"/>
        <v>230.8</v>
      </c>
      <c r="AD31" s="238">
        <f t="shared" si="16"/>
        <v>61.2</v>
      </c>
      <c r="AE31" s="238">
        <f t="shared" si="16"/>
        <v>231.2</v>
      </c>
      <c r="AF31" s="238">
        <f t="shared" si="16"/>
        <v>236.2</v>
      </c>
      <c r="AG31" s="238">
        <f t="shared" si="16"/>
        <v>333</v>
      </c>
      <c r="AH31" s="238" t="e">
        <f t="shared" si="16"/>
        <v>#DIV/0!</v>
      </c>
      <c r="AI31" s="238" t="e">
        <f t="shared" si="16"/>
        <v>#DIV/0!</v>
      </c>
      <c r="AJ31" s="162">
        <f>AVERAGE(AJ21:AJ25)</f>
        <v>14781</v>
      </c>
    </row>
    <row r="32" spans="1:36" ht="15.75" thickBot="1" x14ac:dyDescent="0.3">
      <c r="A32" s="149" t="s">
        <v>3</v>
      </c>
      <c r="B32" s="271">
        <f>B27+1</f>
        <v>43780</v>
      </c>
      <c r="C32" s="319">
        <v>1168</v>
      </c>
      <c r="D32" s="320">
        <v>1169</v>
      </c>
      <c r="E32" s="187">
        <v>581</v>
      </c>
      <c r="F32" s="187">
        <v>1413</v>
      </c>
      <c r="G32" s="187">
        <v>739</v>
      </c>
      <c r="H32" s="187">
        <v>452</v>
      </c>
      <c r="I32" s="251">
        <v>1366</v>
      </c>
      <c r="J32" s="317">
        <v>665</v>
      </c>
      <c r="K32" s="187">
        <v>212</v>
      </c>
      <c r="L32" s="190">
        <v>658</v>
      </c>
      <c r="M32" s="261">
        <v>436</v>
      </c>
      <c r="N32" s="187">
        <v>407</v>
      </c>
      <c r="O32" s="187">
        <v>213</v>
      </c>
      <c r="P32" s="187">
        <v>212</v>
      </c>
      <c r="Q32" s="187">
        <v>109</v>
      </c>
      <c r="R32" s="190">
        <v>303</v>
      </c>
      <c r="S32" s="261">
        <v>523</v>
      </c>
      <c r="T32" s="187">
        <v>306</v>
      </c>
      <c r="U32" s="187">
        <v>678</v>
      </c>
      <c r="V32" s="187">
        <v>475</v>
      </c>
      <c r="W32" s="187">
        <v>396</v>
      </c>
      <c r="X32" s="190">
        <v>499</v>
      </c>
      <c r="Y32" s="261">
        <v>457</v>
      </c>
      <c r="Z32" s="187">
        <v>439</v>
      </c>
      <c r="AA32" s="187">
        <v>316</v>
      </c>
      <c r="AB32" s="190">
        <v>629</v>
      </c>
      <c r="AC32" s="261">
        <v>212</v>
      </c>
      <c r="AD32" s="187">
        <v>60</v>
      </c>
      <c r="AE32" s="187">
        <v>199</v>
      </c>
      <c r="AF32" s="187">
        <v>258</v>
      </c>
      <c r="AG32" s="190">
        <v>356</v>
      </c>
      <c r="AH32" s="256"/>
      <c r="AI32" s="247"/>
      <c r="AJ32" s="194">
        <f t="shared" ref="AJ32:AJ38" si="17">SUM(C32:AI32)</f>
        <v>15906</v>
      </c>
    </row>
    <row r="33" spans="1:36" ht="15.75" thickBot="1" x14ac:dyDescent="0.3">
      <c r="A33" s="149" t="s">
        <v>4</v>
      </c>
      <c r="B33" s="271">
        <f t="shared" ref="B33:B38" si="18">B32+1</f>
        <v>43781</v>
      </c>
      <c r="C33" s="319">
        <v>777</v>
      </c>
      <c r="D33" s="320">
        <v>425</v>
      </c>
      <c r="E33" s="187">
        <v>481</v>
      </c>
      <c r="F33" s="187">
        <v>991</v>
      </c>
      <c r="G33" s="187">
        <v>613</v>
      </c>
      <c r="H33" s="187">
        <v>199</v>
      </c>
      <c r="I33" s="251">
        <v>801</v>
      </c>
      <c r="J33" s="317">
        <v>560</v>
      </c>
      <c r="K33" s="187">
        <v>208</v>
      </c>
      <c r="L33" s="190">
        <v>454</v>
      </c>
      <c r="M33" s="261">
        <v>243</v>
      </c>
      <c r="N33" s="187">
        <v>123</v>
      </c>
      <c r="O33" s="187">
        <v>109</v>
      </c>
      <c r="P33" s="187">
        <v>124</v>
      </c>
      <c r="Q33" s="187">
        <v>38</v>
      </c>
      <c r="R33" s="190">
        <v>98</v>
      </c>
      <c r="S33" s="261">
        <v>375</v>
      </c>
      <c r="T33" s="187">
        <v>255</v>
      </c>
      <c r="U33" s="187">
        <v>521</v>
      </c>
      <c r="V33" s="187">
        <v>373</v>
      </c>
      <c r="W33" s="187">
        <v>253</v>
      </c>
      <c r="X33" s="190">
        <v>381</v>
      </c>
      <c r="Y33" s="261">
        <v>452</v>
      </c>
      <c r="Z33" s="187">
        <v>390</v>
      </c>
      <c r="AA33" s="187">
        <v>285</v>
      </c>
      <c r="AB33" s="190">
        <v>580</v>
      </c>
      <c r="AC33" s="261">
        <v>204</v>
      </c>
      <c r="AD33" s="187">
        <v>67</v>
      </c>
      <c r="AE33" s="187">
        <v>225</v>
      </c>
      <c r="AF33" s="187">
        <v>197</v>
      </c>
      <c r="AG33" s="190">
        <v>249</v>
      </c>
      <c r="AH33" s="256"/>
      <c r="AI33" s="247"/>
      <c r="AJ33" s="194">
        <f t="shared" si="17"/>
        <v>11051</v>
      </c>
    </row>
    <row r="34" spans="1:36" ht="15.75" thickBot="1" x14ac:dyDescent="0.3">
      <c r="A34" s="149" t="s">
        <v>5</v>
      </c>
      <c r="B34" s="271">
        <f t="shared" si="18"/>
        <v>43782</v>
      </c>
      <c r="C34" s="319">
        <v>879</v>
      </c>
      <c r="D34" s="320">
        <v>527</v>
      </c>
      <c r="E34" s="187">
        <v>531</v>
      </c>
      <c r="F34" s="187">
        <v>1093</v>
      </c>
      <c r="G34" s="187">
        <v>665</v>
      </c>
      <c r="H34" s="187">
        <v>265</v>
      </c>
      <c r="I34" s="251">
        <v>925</v>
      </c>
      <c r="J34" s="317">
        <v>490</v>
      </c>
      <c r="K34" s="187">
        <v>165</v>
      </c>
      <c r="L34" s="190">
        <v>510</v>
      </c>
      <c r="M34" s="261">
        <v>287</v>
      </c>
      <c r="N34" s="187">
        <v>172</v>
      </c>
      <c r="O34" s="187">
        <v>115</v>
      </c>
      <c r="P34" s="187">
        <v>159</v>
      </c>
      <c r="Q34" s="187">
        <v>44</v>
      </c>
      <c r="R34" s="190">
        <v>87</v>
      </c>
      <c r="S34" s="261">
        <v>419</v>
      </c>
      <c r="T34" s="187">
        <v>266</v>
      </c>
      <c r="U34" s="187">
        <v>566</v>
      </c>
      <c r="V34" s="187">
        <v>379</v>
      </c>
      <c r="W34" s="187">
        <v>302</v>
      </c>
      <c r="X34" s="190">
        <v>399</v>
      </c>
      <c r="Y34" s="261">
        <v>445</v>
      </c>
      <c r="Z34" s="187">
        <v>361</v>
      </c>
      <c r="AA34" s="187">
        <v>289</v>
      </c>
      <c r="AB34" s="190">
        <v>544</v>
      </c>
      <c r="AC34" s="261">
        <v>216</v>
      </c>
      <c r="AD34" s="187">
        <v>51</v>
      </c>
      <c r="AE34" s="187">
        <v>219</v>
      </c>
      <c r="AF34" s="187">
        <v>310</v>
      </c>
      <c r="AG34" s="190">
        <v>329</v>
      </c>
      <c r="AH34" s="256"/>
      <c r="AI34" s="247"/>
      <c r="AJ34" s="194">
        <f t="shared" si="17"/>
        <v>12009</v>
      </c>
    </row>
    <row r="35" spans="1:36" ht="15.75" thickBot="1" x14ac:dyDescent="0.3">
      <c r="A35" s="149" t="s">
        <v>6</v>
      </c>
      <c r="B35" s="271">
        <f t="shared" si="18"/>
        <v>43783</v>
      </c>
      <c r="C35" s="319">
        <v>944</v>
      </c>
      <c r="D35" s="320">
        <v>669</v>
      </c>
      <c r="E35" s="187">
        <v>515</v>
      </c>
      <c r="F35" s="187">
        <v>1177</v>
      </c>
      <c r="G35" s="187">
        <v>723</v>
      </c>
      <c r="H35" s="187">
        <v>278</v>
      </c>
      <c r="I35" s="251">
        <v>978</v>
      </c>
      <c r="J35" s="317">
        <v>544</v>
      </c>
      <c r="K35" s="187">
        <v>176</v>
      </c>
      <c r="L35" s="190">
        <v>507</v>
      </c>
      <c r="M35" s="261">
        <v>322</v>
      </c>
      <c r="N35" s="187">
        <v>188</v>
      </c>
      <c r="O35" s="187">
        <v>114</v>
      </c>
      <c r="P35" s="187">
        <v>161</v>
      </c>
      <c r="Q35" s="187">
        <v>77</v>
      </c>
      <c r="R35" s="190">
        <v>112</v>
      </c>
      <c r="S35" s="261">
        <v>411</v>
      </c>
      <c r="T35" s="187">
        <v>272</v>
      </c>
      <c r="U35" s="187">
        <v>568</v>
      </c>
      <c r="V35" s="187">
        <v>383</v>
      </c>
      <c r="W35" s="187">
        <v>304</v>
      </c>
      <c r="X35" s="190">
        <v>427</v>
      </c>
      <c r="Y35" s="261">
        <v>454</v>
      </c>
      <c r="Z35" s="187">
        <v>419</v>
      </c>
      <c r="AA35" s="187">
        <v>297</v>
      </c>
      <c r="AB35" s="190">
        <v>619</v>
      </c>
      <c r="AC35" s="261">
        <v>205</v>
      </c>
      <c r="AD35" s="187">
        <v>63</v>
      </c>
      <c r="AE35" s="187">
        <v>231</v>
      </c>
      <c r="AF35" s="187">
        <v>239</v>
      </c>
      <c r="AG35" s="190">
        <v>338</v>
      </c>
      <c r="AH35" s="256"/>
      <c r="AI35" s="247"/>
      <c r="AJ35" s="194">
        <f t="shared" si="17"/>
        <v>12715</v>
      </c>
    </row>
    <row r="36" spans="1:36" ht="15.75" thickBot="1" x14ac:dyDescent="0.3">
      <c r="A36" s="149" t="s">
        <v>0</v>
      </c>
      <c r="B36" s="271">
        <f t="shared" si="18"/>
        <v>43784</v>
      </c>
      <c r="C36" s="319">
        <v>1102</v>
      </c>
      <c r="D36" s="320">
        <v>921</v>
      </c>
      <c r="E36" s="187">
        <v>572</v>
      </c>
      <c r="F36" s="187">
        <v>1289</v>
      </c>
      <c r="G36" s="187">
        <v>763</v>
      </c>
      <c r="H36" s="187">
        <v>346</v>
      </c>
      <c r="I36" s="251">
        <v>1225</v>
      </c>
      <c r="J36" s="317">
        <v>647</v>
      </c>
      <c r="K36" s="187">
        <v>223</v>
      </c>
      <c r="L36" s="190">
        <v>559</v>
      </c>
      <c r="M36" s="261">
        <v>407</v>
      </c>
      <c r="N36" s="187">
        <v>283</v>
      </c>
      <c r="O36" s="187">
        <v>123</v>
      </c>
      <c r="P36" s="187">
        <v>160</v>
      </c>
      <c r="Q36" s="187">
        <v>62</v>
      </c>
      <c r="R36" s="190">
        <v>144</v>
      </c>
      <c r="S36" s="261">
        <v>475</v>
      </c>
      <c r="T36" s="223">
        <v>303</v>
      </c>
      <c r="U36" s="223">
        <v>591</v>
      </c>
      <c r="V36" s="223">
        <v>446</v>
      </c>
      <c r="W36" s="223">
        <v>343</v>
      </c>
      <c r="X36" s="245">
        <v>466</v>
      </c>
      <c r="Y36" s="256">
        <v>469</v>
      </c>
      <c r="Z36" s="187">
        <v>389</v>
      </c>
      <c r="AA36" s="187">
        <v>340</v>
      </c>
      <c r="AB36" s="190">
        <v>693</v>
      </c>
      <c r="AC36" s="256">
        <v>192</v>
      </c>
      <c r="AD36" s="223">
        <v>55</v>
      </c>
      <c r="AE36" s="223">
        <v>189</v>
      </c>
      <c r="AF36" s="223">
        <v>182</v>
      </c>
      <c r="AG36" s="245">
        <v>338</v>
      </c>
      <c r="AH36" s="256"/>
      <c r="AI36" s="247"/>
      <c r="AJ36" s="194">
        <f t="shared" si="17"/>
        <v>14297</v>
      </c>
    </row>
    <row r="37" spans="1:36" ht="15.75" thickBot="1" x14ac:dyDescent="0.3">
      <c r="A37" s="149" t="s">
        <v>1</v>
      </c>
      <c r="B37" s="271">
        <f t="shared" si="18"/>
        <v>43785</v>
      </c>
      <c r="C37" s="319">
        <v>453</v>
      </c>
      <c r="D37" s="320">
        <v>806</v>
      </c>
      <c r="E37" s="187">
        <v>167</v>
      </c>
      <c r="F37" s="187">
        <v>793</v>
      </c>
      <c r="G37" s="187">
        <v>286</v>
      </c>
      <c r="H37" s="187">
        <v>266</v>
      </c>
      <c r="I37" s="251">
        <v>772</v>
      </c>
      <c r="J37" s="317">
        <v>339</v>
      </c>
      <c r="K37" s="187">
        <v>59</v>
      </c>
      <c r="L37" s="190">
        <v>357</v>
      </c>
      <c r="M37" s="261">
        <v>258</v>
      </c>
      <c r="N37" s="187">
        <v>161</v>
      </c>
      <c r="O37" s="187">
        <v>50</v>
      </c>
      <c r="P37" s="187">
        <v>72</v>
      </c>
      <c r="Q37" s="187">
        <v>32</v>
      </c>
      <c r="R37" s="190">
        <v>120</v>
      </c>
      <c r="S37" s="261">
        <v>139</v>
      </c>
      <c r="T37" s="223">
        <v>87</v>
      </c>
      <c r="U37" s="223">
        <v>278</v>
      </c>
      <c r="V37" s="223">
        <v>203</v>
      </c>
      <c r="W37" s="223">
        <v>161</v>
      </c>
      <c r="X37" s="245">
        <v>251</v>
      </c>
      <c r="Y37" s="256">
        <v>133</v>
      </c>
      <c r="Z37" s="187">
        <v>112</v>
      </c>
      <c r="AA37" s="223">
        <v>133</v>
      </c>
      <c r="AB37" s="245">
        <v>209</v>
      </c>
      <c r="AC37" s="256">
        <v>66</v>
      </c>
      <c r="AD37" s="223">
        <v>31</v>
      </c>
      <c r="AE37" s="223">
        <v>70</v>
      </c>
      <c r="AF37" s="223">
        <v>119</v>
      </c>
      <c r="AG37" s="245">
        <v>188</v>
      </c>
      <c r="AH37" s="256"/>
      <c r="AI37" s="247"/>
      <c r="AJ37" s="194">
        <f t="shared" si="17"/>
        <v>7171</v>
      </c>
    </row>
    <row r="38" spans="1:36" ht="15.75" thickBot="1" x14ac:dyDescent="0.3">
      <c r="A38" s="149" t="s">
        <v>2</v>
      </c>
      <c r="B38" s="271">
        <f t="shared" si="18"/>
        <v>43786</v>
      </c>
      <c r="C38" s="319">
        <v>335</v>
      </c>
      <c r="D38" s="320">
        <v>652</v>
      </c>
      <c r="E38" s="187">
        <v>165</v>
      </c>
      <c r="F38" s="187">
        <v>537</v>
      </c>
      <c r="G38" s="187">
        <v>193</v>
      </c>
      <c r="H38" s="187">
        <v>215</v>
      </c>
      <c r="I38" s="251">
        <v>433</v>
      </c>
      <c r="J38" s="317">
        <v>154</v>
      </c>
      <c r="K38" s="187">
        <v>54</v>
      </c>
      <c r="L38" s="190">
        <v>183</v>
      </c>
      <c r="M38" s="261">
        <v>165</v>
      </c>
      <c r="N38" s="187">
        <v>106</v>
      </c>
      <c r="O38" s="187">
        <v>35</v>
      </c>
      <c r="P38" s="187">
        <v>48</v>
      </c>
      <c r="Q38" s="187">
        <v>27</v>
      </c>
      <c r="R38" s="190">
        <v>96</v>
      </c>
      <c r="S38" s="261">
        <v>104</v>
      </c>
      <c r="T38" s="187">
        <v>93</v>
      </c>
      <c r="U38" s="187">
        <v>167</v>
      </c>
      <c r="V38" s="187">
        <v>173</v>
      </c>
      <c r="W38" s="187">
        <v>194</v>
      </c>
      <c r="X38" s="190">
        <v>170</v>
      </c>
      <c r="Y38" s="261">
        <v>109</v>
      </c>
      <c r="Z38" s="187">
        <v>98</v>
      </c>
      <c r="AA38" s="187">
        <v>112</v>
      </c>
      <c r="AB38" s="190">
        <v>184</v>
      </c>
      <c r="AC38" s="261">
        <v>54</v>
      </c>
      <c r="AD38" s="187">
        <v>16</v>
      </c>
      <c r="AE38" s="187">
        <v>42</v>
      </c>
      <c r="AF38" s="187">
        <v>89</v>
      </c>
      <c r="AG38" s="190">
        <v>113</v>
      </c>
      <c r="AH38" s="261"/>
      <c r="AI38" s="251"/>
      <c r="AJ38" s="194">
        <f t="shared" si="17"/>
        <v>5116</v>
      </c>
    </row>
    <row r="39" spans="1:36" ht="15.75" thickBot="1" x14ac:dyDescent="0.3">
      <c r="A39" s="158" t="s">
        <v>21</v>
      </c>
      <c r="B39" s="679" t="s">
        <v>26</v>
      </c>
      <c r="C39" s="257">
        <f>SUM(C32:C38)</f>
        <v>5658</v>
      </c>
      <c r="D39" s="237">
        <f>SUM(D32:D38)</f>
        <v>5169</v>
      </c>
      <c r="E39" s="237">
        <f>SUM(E32:E38)</f>
        <v>3012</v>
      </c>
      <c r="F39" s="237">
        <f>SUM(F32:F38)</f>
        <v>7293</v>
      </c>
      <c r="G39" s="237">
        <f>SUM(G32:G38)</f>
        <v>3982</v>
      </c>
      <c r="H39" s="237">
        <f t="shared" ref="H39:AI39" si="19">SUM(H32:H38)</f>
        <v>2021</v>
      </c>
      <c r="I39" s="237">
        <f t="shared" si="19"/>
        <v>6500</v>
      </c>
      <c r="J39" s="237">
        <f t="shared" si="19"/>
        <v>3399</v>
      </c>
      <c r="K39" s="237">
        <f t="shared" si="19"/>
        <v>1097</v>
      </c>
      <c r="L39" s="237">
        <f t="shared" si="19"/>
        <v>3228</v>
      </c>
      <c r="M39" s="237">
        <f t="shared" si="19"/>
        <v>2118</v>
      </c>
      <c r="N39" s="237">
        <f t="shared" si="19"/>
        <v>1440</v>
      </c>
      <c r="O39" s="237">
        <f t="shared" si="19"/>
        <v>759</v>
      </c>
      <c r="P39" s="237">
        <f t="shared" si="19"/>
        <v>936</v>
      </c>
      <c r="Q39" s="237">
        <f t="shared" si="19"/>
        <v>389</v>
      </c>
      <c r="R39" s="237">
        <f t="shared" si="19"/>
        <v>960</v>
      </c>
      <c r="S39" s="237">
        <f t="shared" si="19"/>
        <v>2446</v>
      </c>
      <c r="T39" s="237">
        <f t="shared" si="19"/>
        <v>1582</v>
      </c>
      <c r="U39" s="237">
        <f t="shared" si="19"/>
        <v>3369</v>
      </c>
      <c r="V39" s="237">
        <f t="shared" si="19"/>
        <v>2432</v>
      </c>
      <c r="W39" s="237">
        <f t="shared" si="19"/>
        <v>1953</v>
      </c>
      <c r="X39" s="237">
        <f t="shared" si="19"/>
        <v>2593</v>
      </c>
      <c r="Y39" s="237">
        <f t="shared" si="19"/>
        <v>2519</v>
      </c>
      <c r="Z39" s="237">
        <f t="shared" si="19"/>
        <v>2208</v>
      </c>
      <c r="AA39" s="237">
        <f t="shared" si="19"/>
        <v>1772</v>
      </c>
      <c r="AB39" s="237">
        <f t="shared" si="19"/>
        <v>3458</v>
      </c>
      <c r="AC39" s="237">
        <f t="shared" si="19"/>
        <v>1149</v>
      </c>
      <c r="AD39" s="237">
        <f t="shared" si="19"/>
        <v>343</v>
      </c>
      <c r="AE39" s="237">
        <f t="shared" si="19"/>
        <v>1175</v>
      </c>
      <c r="AF39" s="237">
        <f t="shared" si="19"/>
        <v>1394</v>
      </c>
      <c r="AG39" s="237">
        <f t="shared" si="19"/>
        <v>1911</v>
      </c>
      <c r="AH39" s="237">
        <f t="shared" si="19"/>
        <v>0</v>
      </c>
      <c r="AI39" s="237">
        <f t="shared" si="19"/>
        <v>0</v>
      </c>
      <c r="AJ39" s="239">
        <f>SUM(AJ32:AJ38)</f>
        <v>78265</v>
      </c>
    </row>
    <row r="40" spans="1:36" ht="15.75" thickBot="1" x14ac:dyDescent="0.3">
      <c r="A40" s="109" t="s">
        <v>23</v>
      </c>
      <c r="B40" s="679"/>
      <c r="C40" s="257">
        <f>AVERAGE(C32:C38)</f>
        <v>808.28571428571433</v>
      </c>
      <c r="D40" s="237">
        <f t="shared" ref="D40:AI40" si="20">AVERAGE(D32:D38)</f>
        <v>738.42857142857144</v>
      </c>
      <c r="E40" s="237">
        <f t="shared" si="20"/>
        <v>430.28571428571428</v>
      </c>
      <c r="F40" s="237">
        <f t="shared" si="20"/>
        <v>1041.8571428571429</v>
      </c>
      <c r="G40" s="237">
        <f t="shared" si="20"/>
        <v>568.85714285714289</v>
      </c>
      <c r="H40" s="237">
        <f t="shared" si="20"/>
        <v>288.71428571428572</v>
      </c>
      <c r="I40" s="237">
        <f t="shared" si="20"/>
        <v>928.57142857142856</v>
      </c>
      <c r="J40" s="237">
        <f t="shared" si="20"/>
        <v>485.57142857142856</v>
      </c>
      <c r="K40" s="237">
        <f t="shared" si="20"/>
        <v>156.71428571428572</v>
      </c>
      <c r="L40" s="237">
        <f t="shared" si="20"/>
        <v>461.14285714285717</v>
      </c>
      <c r="M40" s="237">
        <f t="shared" si="20"/>
        <v>302.57142857142856</v>
      </c>
      <c r="N40" s="237">
        <f t="shared" si="20"/>
        <v>205.71428571428572</v>
      </c>
      <c r="O40" s="237">
        <f t="shared" si="20"/>
        <v>108.42857142857143</v>
      </c>
      <c r="P40" s="237">
        <f t="shared" si="20"/>
        <v>133.71428571428572</v>
      </c>
      <c r="Q40" s="237">
        <f t="shared" si="20"/>
        <v>55.571428571428569</v>
      </c>
      <c r="R40" s="237">
        <f t="shared" si="20"/>
        <v>137.14285714285714</v>
      </c>
      <c r="S40" s="237">
        <f t="shared" si="20"/>
        <v>349.42857142857144</v>
      </c>
      <c r="T40" s="237">
        <f t="shared" si="20"/>
        <v>226</v>
      </c>
      <c r="U40" s="237">
        <f t="shared" si="20"/>
        <v>481.28571428571428</v>
      </c>
      <c r="V40" s="237">
        <f t="shared" si="20"/>
        <v>347.42857142857144</v>
      </c>
      <c r="W40" s="237">
        <f t="shared" si="20"/>
        <v>279</v>
      </c>
      <c r="X40" s="237">
        <f t="shared" si="20"/>
        <v>370.42857142857144</v>
      </c>
      <c r="Y40" s="237">
        <f t="shared" si="20"/>
        <v>359.85714285714283</v>
      </c>
      <c r="Z40" s="237">
        <f t="shared" si="20"/>
        <v>315.42857142857144</v>
      </c>
      <c r="AA40" s="237">
        <f t="shared" si="20"/>
        <v>253.14285714285714</v>
      </c>
      <c r="AB40" s="237">
        <f t="shared" si="20"/>
        <v>494</v>
      </c>
      <c r="AC40" s="237">
        <f t="shared" si="20"/>
        <v>164.14285714285714</v>
      </c>
      <c r="AD40" s="237">
        <f t="shared" si="20"/>
        <v>49</v>
      </c>
      <c r="AE40" s="237">
        <f t="shared" si="20"/>
        <v>167.85714285714286</v>
      </c>
      <c r="AF40" s="237">
        <f t="shared" si="20"/>
        <v>199.14285714285714</v>
      </c>
      <c r="AG40" s="237">
        <f t="shared" si="20"/>
        <v>273</v>
      </c>
      <c r="AH40" s="237" t="e">
        <f t="shared" si="20"/>
        <v>#DIV/0!</v>
      </c>
      <c r="AI40" s="237" t="e">
        <f t="shared" si="20"/>
        <v>#DIV/0!</v>
      </c>
      <c r="AJ40" s="240">
        <f>AVERAGE(AJ32:AJ38)</f>
        <v>11180.714285714286</v>
      </c>
    </row>
    <row r="41" spans="1:36" ht="15.75" thickBot="1" x14ac:dyDescent="0.3">
      <c r="A41" s="26" t="s">
        <v>20</v>
      </c>
      <c r="B41" s="679"/>
      <c r="C41" s="259">
        <f t="shared" ref="C41:AI41" si="21">SUM(C32:C36)</f>
        <v>4870</v>
      </c>
      <c r="D41" s="238">
        <f t="shared" si="21"/>
        <v>3711</v>
      </c>
      <c r="E41" s="238">
        <f t="shared" si="21"/>
        <v>2680</v>
      </c>
      <c r="F41" s="238">
        <f t="shared" si="21"/>
        <v>5963</v>
      </c>
      <c r="G41" s="238">
        <f t="shared" si="21"/>
        <v>3503</v>
      </c>
      <c r="H41" s="238">
        <f t="shared" si="21"/>
        <v>1540</v>
      </c>
      <c r="I41" s="238">
        <f t="shared" si="21"/>
        <v>5295</v>
      </c>
      <c r="J41" s="238">
        <f t="shared" si="21"/>
        <v>2906</v>
      </c>
      <c r="K41" s="238">
        <f t="shared" si="21"/>
        <v>984</v>
      </c>
      <c r="L41" s="238">
        <f t="shared" si="21"/>
        <v>2688</v>
      </c>
      <c r="M41" s="238">
        <f t="shared" si="21"/>
        <v>1695</v>
      </c>
      <c r="N41" s="238">
        <f t="shared" si="21"/>
        <v>1173</v>
      </c>
      <c r="O41" s="238">
        <f t="shared" si="21"/>
        <v>674</v>
      </c>
      <c r="P41" s="238">
        <f t="shared" si="21"/>
        <v>816</v>
      </c>
      <c r="Q41" s="238">
        <f t="shared" si="21"/>
        <v>330</v>
      </c>
      <c r="R41" s="238">
        <f t="shared" si="21"/>
        <v>744</v>
      </c>
      <c r="S41" s="238">
        <f t="shared" si="21"/>
        <v>2203</v>
      </c>
      <c r="T41" s="238">
        <f t="shared" si="21"/>
        <v>1402</v>
      </c>
      <c r="U41" s="238">
        <f t="shared" si="21"/>
        <v>2924</v>
      </c>
      <c r="V41" s="238">
        <f t="shared" si="21"/>
        <v>2056</v>
      </c>
      <c r="W41" s="238">
        <f t="shared" si="21"/>
        <v>1598</v>
      </c>
      <c r="X41" s="238">
        <f t="shared" si="21"/>
        <v>2172</v>
      </c>
      <c r="Y41" s="238">
        <f t="shared" si="21"/>
        <v>2277</v>
      </c>
      <c r="Z41" s="238">
        <f t="shared" si="21"/>
        <v>1998</v>
      </c>
      <c r="AA41" s="238">
        <f t="shared" si="21"/>
        <v>1527</v>
      </c>
      <c r="AB41" s="238">
        <f t="shared" si="21"/>
        <v>3065</v>
      </c>
      <c r="AC41" s="238">
        <f t="shared" si="21"/>
        <v>1029</v>
      </c>
      <c r="AD41" s="238">
        <f t="shared" si="21"/>
        <v>296</v>
      </c>
      <c r="AE41" s="238">
        <f t="shared" si="21"/>
        <v>1063</v>
      </c>
      <c r="AF41" s="238">
        <f t="shared" si="21"/>
        <v>1186</v>
      </c>
      <c r="AG41" s="238">
        <f t="shared" si="21"/>
        <v>1610</v>
      </c>
      <c r="AH41" s="238">
        <f t="shared" si="21"/>
        <v>0</v>
      </c>
      <c r="AI41" s="238">
        <f t="shared" si="21"/>
        <v>0</v>
      </c>
      <c r="AJ41" s="241">
        <f>SUM(AJ32:AJ36)</f>
        <v>65978</v>
      </c>
    </row>
    <row r="42" spans="1:36" ht="15.75" thickBot="1" x14ac:dyDescent="0.3">
      <c r="A42" s="26" t="s">
        <v>22</v>
      </c>
      <c r="B42" s="679"/>
      <c r="C42" s="259">
        <f>AVERAGE(C32:C36)</f>
        <v>974</v>
      </c>
      <c r="D42" s="238">
        <f t="shared" ref="D42:AI42" si="22">AVERAGE(D32:D36)</f>
        <v>742.2</v>
      </c>
      <c r="E42" s="238">
        <f t="shared" si="22"/>
        <v>536</v>
      </c>
      <c r="F42" s="238">
        <f t="shared" si="22"/>
        <v>1192.5999999999999</v>
      </c>
      <c r="G42" s="238">
        <f t="shared" si="22"/>
        <v>700.6</v>
      </c>
      <c r="H42" s="238">
        <f t="shared" si="22"/>
        <v>308</v>
      </c>
      <c r="I42" s="238">
        <f t="shared" si="22"/>
        <v>1059</v>
      </c>
      <c r="J42" s="238">
        <f t="shared" si="22"/>
        <v>581.20000000000005</v>
      </c>
      <c r="K42" s="238">
        <f t="shared" si="22"/>
        <v>196.8</v>
      </c>
      <c r="L42" s="238">
        <f t="shared" si="22"/>
        <v>537.6</v>
      </c>
      <c r="M42" s="238">
        <f t="shared" si="22"/>
        <v>339</v>
      </c>
      <c r="N42" s="238">
        <f t="shared" si="22"/>
        <v>234.6</v>
      </c>
      <c r="O42" s="238">
        <f t="shared" si="22"/>
        <v>134.80000000000001</v>
      </c>
      <c r="P42" s="238">
        <f t="shared" si="22"/>
        <v>163.19999999999999</v>
      </c>
      <c r="Q42" s="238">
        <f t="shared" si="22"/>
        <v>66</v>
      </c>
      <c r="R42" s="238">
        <f t="shared" si="22"/>
        <v>148.80000000000001</v>
      </c>
      <c r="S42" s="238">
        <f t="shared" si="22"/>
        <v>440.6</v>
      </c>
      <c r="T42" s="238">
        <f t="shared" si="22"/>
        <v>280.39999999999998</v>
      </c>
      <c r="U42" s="238">
        <f t="shared" si="22"/>
        <v>584.79999999999995</v>
      </c>
      <c r="V42" s="238">
        <f t="shared" si="22"/>
        <v>411.2</v>
      </c>
      <c r="W42" s="238">
        <f t="shared" si="22"/>
        <v>319.60000000000002</v>
      </c>
      <c r="X42" s="238">
        <f t="shared" si="22"/>
        <v>434.4</v>
      </c>
      <c r="Y42" s="238">
        <f t="shared" si="22"/>
        <v>455.4</v>
      </c>
      <c r="Z42" s="238">
        <f t="shared" si="22"/>
        <v>399.6</v>
      </c>
      <c r="AA42" s="238">
        <f t="shared" si="22"/>
        <v>305.39999999999998</v>
      </c>
      <c r="AB42" s="238">
        <f t="shared" si="22"/>
        <v>613</v>
      </c>
      <c r="AC42" s="238">
        <f t="shared" si="22"/>
        <v>205.8</v>
      </c>
      <c r="AD42" s="238">
        <f t="shared" si="22"/>
        <v>59.2</v>
      </c>
      <c r="AE42" s="238">
        <f t="shared" si="22"/>
        <v>212.6</v>
      </c>
      <c r="AF42" s="238">
        <f t="shared" si="22"/>
        <v>237.2</v>
      </c>
      <c r="AG42" s="238">
        <f t="shared" si="22"/>
        <v>322</v>
      </c>
      <c r="AH42" s="238" t="e">
        <f t="shared" si="22"/>
        <v>#DIV/0!</v>
      </c>
      <c r="AI42" s="238" t="e">
        <f t="shared" si="22"/>
        <v>#DIV/0!</v>
      </c>
      <c r="AJ42" s="242">
        <f>AVERAGE(AJ32:AJ36)</f>
        <v>13195.6</v>
      </c>
    </row>
    <row r="43" spans="1:36" ht="15.75" thickBot="1" x14ac:dyDescent="0.3">
      <c r="A43" s="149" t="s">
        <v>3</v>
      </c>
      <c r="B43" s="271">
        <f>B38+1</f>
        <v>43787</v>
      </c>
      <c r="C43" s="319">
        <v>853</v>
      </c>
      <c r="D43" s="223">
        <v>536</v>
      </c>
      <c r="E43" s="223">
        <v>499</v>
      </c>
      <c r="F43" s="223">
        <v>1089</v>
      </c>
      <c r="G43" s="320">
        <v>628</v>
      </c>
      <c r="H43" s="223">
        <v>180</v>
      </c>
      <c r="I43" s="247">
        <v>950</v>
      </c>
      <c r="J43" s="272">
        <v>511</v>
      </c>
      <c r="K43" s="223">
        <v>173</v>
      </c>
      <c r="L43" s="245">
        <v>477</v>
      </c>
      <c r="M43" s="256">
        <v>265</v>
      </c>
      <c r="N43" s="223">
        <v>144</v>
      </c>
      <c r="O43" s="223">
        <v>111</v>
      </c>
      <c r="P43" s="223">
        <v>129</v>
      </c>
      <c r="Q43" s="223">
        <v>50</v>
      </c>
      <c r="R43" s="245">
        <v>92</v>
      </c>
      <c r="S43" s="256">
        <v>412</v>
      </c>
      <c r="T43" s="223">
        <v>282</v>
      </c>
      <c r="U43" s="223">
        <v>530</v>
      </c>
      <c r="V43" s="223">
        <v>354</v>
      </c>
      <c r="W43" s="223">
        <v>239</v>
      </c>
      <c r="X43" s="245">
        <v>379</v>
      </c>
      <c r="Y43" s="256">
        <v>468</v>
      </c>
      <c r="Z43" s="187">
        <v>376</v>
      </c>
      <c r="AA43" s="223">
        <v>293</v>
      </c>
      <c r="AB43" s="245">
        <v>561</v>
      </c>
      <c r="AC43" s="256">
        <v>206</v>
      </c>
      <c r="AD43" s="223">
        <v>52</v>
      </c>
      <c r="AE43" s="223">
        <v>192</v>
      </c>
      <c r="AF43" s="223">
        <v>227</v>
      </c>
      <c r="AG43" s="245">
        <v>308</v>
      </c>
      <c r="AH43" s="256"/>
      <c r="AI43" s="247"/>
      <c r="AJ43" s="194">
        <f t="shared" ref="AJ43:AJ49" si="23">SUM(C43:AI43)</f>
        <v>11566</v>
      </c>
    </row>
    <row r="44" spans="1:36" ht="15.75" thickBot="1" x14ac:dyDescent="0.3">
      <c r="A44" s="149" t="s">
        <v>4</v>
      </c>
      <c r="B44" s="271">
        <f t="shared" ref="B44:B49" si="24">B43+1</f>
        <v>43788</v>
      </c>
      <c r="C44" s="319">
        <v>992</v>
      </c>
      <c r="D44" s="223">
        <v>741</v>
      </c>
      <c r="E44" s="223">
        <v>624</v>
      </c>
      <c r="F44" s="223">
        <v>1203</v>
      </c>
      <c r="G44" s="320">
        <v>729</v>
      </c>
      <c r="H44" s="223">
        <v>265</v>
      </c>
      <c r="I44" s="247">
        <v>1163</v>
      </c>
      <c r="J44" s="272">
        <v>622</v>
      </c>
      <c r="K44" s="223">
        <v>200</v>
      </c>
      <c r="L44" s="245">
        <v>542</v>
      </c>
      <c r="M44" s="256">
        <v>361</v>
      </c>
      <c r="N44" s="223">
        <v>238</v>
      </c>
      <c r="O44" s="223">
        <v>133</v>
      </c>
      <c r="P44" s="223">
        <v>218</v>
      </c>
      <c r="Q44" s="223">
        <v>60</v>
      </c>
      <c r="R44" s="245">
        <v>121</v>
      </c>
      <c r="S44" s="256">
        <v>461</v>
      </c>
      <c r="T44" s="223">
        <v>297</v>
      </c>
      <c r="U44" s="223">
        <v>585</v>
      </c>
      <c r="V44" s="223">
        <v>438</v>
      </c>
      <c r="W44" s="223">
        <v>323</v>
      </c>
      <c r="X44" s="245">
        <v>462</v>
      </c>
      <c r="Y44" s="256">
        <v>492</v>
      </c>
      <c r="Z44" s="187">
        <v>455</v>
      </c>
      <c r="AA44" s="223">
        <v>305</v>
      </c>
      <c r="AB44" s="245">
        <v>628</v>
      </c>
      <c r="AC44" s="256">
        <v>231</v>
      </c>
      <c r="AD44" s="223">
        <v>55</v>
      </c>
      <c r="AE44" s="223">
        <v>229</v>
      </c>
      <c r="AF44" s="223">
        <v>246</v>
      </c>
      <c r="AG44" s="245">
        <v>330</v>
      </c>
      <c r="AH44" s="256"/>
      <c r="AI44" s="247"/>
      <c r="AJ44" s="194">
        <f t="shared" si="23"/>
        <v>13749</v>
      </c>
    </row>
    <row r="45" spans="1:36" ht="15.75" thickBot="1" x14ac:dyDescent="0.3">
      <c r="A45" s="149" t="s">
        <v>5</v>
      </c>
      <c r="B45" s="271">
        <f t="shared" si="24"/>
        <v>43789</v>
      </c>
      <c r="C45" s="319">
        <v>898</v>
      </c>
      <c r="D45" s="223">
        <v>663</v>
      </c>
      <c r="E45" s="223">
        <v>547</v>
      </c>
      <c r="F45" s="223">
        <v>1135</v>
      </c>
      <c r="G45" s="320">
        <v>720</v>
      </c>
      <c r="H45" s="223">
        <v>235</v>
      </c>
      <c r="I45" s="247">
        <v>1090</v>
      </c>
      <c r="J45" s="272">
        <v>592</v>
      </c>
      <c r="K45" s="223">
        <v>189</v>
      </c>
      <c r="L45" s="245">
        <v>535</v>
      </c>
      <c r="M45" s="256">
        <v>374</v>
      </c>
      <c r="N45" s="223">
        <v>170</v>
      </c>
      <c r="O45" s="223">
        <v>111</v>
      </c>
      <c r="P45" s="223">
        <v>176</v>
      </c>
      <c r="Q45" s="223">
        <v>45</v>
      </c>
      <c r="R45" s="245">
        <v>117</v>
      </c>
      <c r="S45" s="256">
        <v>469</v>
      </c>
      <c r="T45" s="223">
        <v>311</v>
      </c>
      <c r="U45" s="223">
        <v>626</v>
      </c>
      <c r="V45" s="223">
        <v>463</v>
      </c>
      <c r="W45" s="223">
        <v>362</v>
      </c>
      <c r="X45" s="245">
        <v>491</v>
      </c>
      <c r="Y45" s="256">
        <v>526</v>
      </c>
      <c r="Z45" s="187">
        <v>411</v>
      </c>
      <c r="AA45" s="223">
        <v>315</v>
      </c>
      <c r="AB45" s="245">
        <v>661</v>
      </c>
      <c r="AC45" s="256">
        <v>209</v>
      </c>
      <c r="AD45" s="223">
        <v>46</v>
      </c>
      <c r="AE45" s="223">
        <v>213</v>
      </c>
      <c r="AF45" s="223">
        <v>227</v>
      </c>
      <c r="AG45" s="245">
        <v>354</v>
      </c>
      <c r="AH45" s="256"/>
      <c r="AI45" s="247"/>
      <c r="AJ45" s="194">
        <f t="shared" si="23"/>
        <v>13281</v>
      </c>
    </row>
    <row r="46" spans="1:36" ht="15.75" thickBot="1" x14ac:dyDescent="0.3">
      <c r="A46" s="149" t="s">
        <v>6</v>
      </c>
      <c r="B46" s="271">
        <f t="shared" si="24"/>
        <v>43790</v>
      </c>
      <c r="C46" s="319">
        <v>1040</v>
      </c>
      <c r="D46" s="223">
        <v>865</v>
      </c>
      <c r="E46" s="223">
        <v>610</v>
      </c>
      <c r="F46" s="223">
        <v>1383</v>
      </c>
      <c r="G46" s="320">
        <v>734</v>
      </c>
      <c r="H46" s="223">
        <v>336</v>
      </c>
      <c r="I46" s="247">
        <v>1176</v>
      </c>
      <c r="J46" s="272">
        <v>614</v>
      </c>
      <c r="K46" s="223">
        <v>197</v>
      </c>
      <c r="L46" s="245">
        <v>603</v>
      </c>
      <c r="M46" s="256">
        <v>384</v>
      </c>
      <c r="N46" s="223">
        <v>296</v>
      </c>
      <c r="O46" s="223">
        <v>136</v>
      </c>
      <c r="P46" s="223">
        <v>189</v>
      </c>
      <c r="Q46" s="223">
        <v>51</v>
      </c>
      <c r="R46" s="245">
        <v>166</v>
      </c>
      <c r="S46" s="256">
        <v>411</v>
      </c>
      <c r="T46" s="223">
        <v>312</v>
      </c>
      <c r="U46" s="223">
        <v>686</v>
      </c>
      <c r="V46" s="223">
        <v>422</v>
      </c>
      <c r="W46" s="223">
        <v>338</v>
      </c>
      <c r="X46" s="245">
        <v>474</v>
      </c>
      <c r="Y46" s="256">
        <v>500</v>
      </c>
      <c r="Z46" s="187">
        <v>462</v>
      </c>
      <c r="AA46" s="223">
        <v>342</v>
      </c>
      <c r="AB46" s="245">
        <v>675</v>
      </c>
      <c r="AC46" s="256">
        <v>248</v>
      </c>
      <c r="AD46" s="223">
        <v>45</v>
      </c>
      <c r="AE46" s="223">
        <v>212</v>
      </c>
      <c r="AF46" s="223">
        <v>213</v>
      </c>
      <c r="AG46" s="245">
        <v>366</v>
      </c>
      <c r="AH46" s="256"/>
      <c r="AI46" s="247"/>
      <c r="AJ46" s="194">
        <f t="shared" si="23"/>
        <v>14486</v>
      </c>
    </row>
    <row r="47" spans="1:36" ht="15.75" thickBot="1" x14ac:dyDescent="0.3">
      <c r="A47" s="149" t="s">
        <v>0</v>
      </c>
      <c r="B47" s="271">
        <f t="shared" si="24"/>
        <v>43791</v>
      </c>
      <c r="C47" s="319">
        <v>835</v>
      </c>
      <c r="D47" s="223">
        <v>595</v>
      </c>
      <c r="E47" s="223">
        <v>456</v>
      </c>
      <c r="F47" s="223">
        <v>1091</v>
      </c>
      <c r="G47" s="320">
        <v>671</v>
      </c>
      <c r="H47" s="223">
        <v>324</v>
      </c>
      <c r="I47" s="247">
        <v>1022</v>
      </c>
      <c r="J47" s="272">
        <v>542</v>
      </c>
      <c r="K47" s="223">
        <v>161</v>
      </c>
      <c r="L47" s="245">
        <v>482</v>
      </c>
      <c r="M47" s="256">
        <v>359</v>
      </c>
      <c r="N47" s="223">
        <v>172</v>
      </c>
      <c r="O47" s="223">
        <v>101</v>
      </c>
      <c r="P47" s="223">
        <v>163</v>
      </c>
      <c r="Q47" s="223">
        <v>44</v>
      </c>
      <c r="R47" s="245">
        <v>136</v>
      </c>
      <c r="S47" s="256">
        <v>386</v>
      </c>
      <c r="T47" s="223">
        <v>293</v>
      </c>
      <c r="U47" s="223">
        <v>623</v>
      </c>
      <c r="V47" s="223">
        <v>420</v>
      </c>
      <c r="W47" s="223">
        <v>321</v>
      </c>
      <c r="X47" s="245">
        <v>450</v>
      </c>
      <c r="Y47" s="256">
        <v>415</v>
      </c>
      <c r="Z47" s="187">
        <v>414</v>
      </c>
      <c r="AA47" s="223">
        <v>301</v>
      </c>
      <c r="AB47" s="245">
        <v>653</v>
      </c>
      <c r="AC47" s="256">
        <v>180</v>
      </c>
      <c r="AD47" s="223">
        <v>47</v>
      </c>
      <c r="AE47" s="223">
        <v>188</v>
      </c>
      <c r="AF47" s="223">
        <v>217</v>
      </c>
      <c r="AG47" s="245">
        <v>330</v>
      </c>
      <c r="AH47" s="256"/>
      <c r="AI47" s="247"/>
      <c r="AJ47" s="194">
        <f t="shared" si="23"/>
        <v>12392</v>
      </c>
    </row>
    <row r="48" spans="1:36" ht="15.75" thickBot="1" x14ac:dyDescent="0.3">
      <c r="A48" s="149" t="s">
        <v>1</v>
      </c>
      <c r="B48" s="271">
        <f t="shared" si="24"/>
        <v>43792</v>
      </c>
      <c r="C48" s="319">
        <v>598</v>
      </c>
      <c r="D48" s="223">
        <v>1022</v>
      </c>
      <c r="E48" s="223">
        <v>218</v>
      </c>
      <c r="F48" s="223">
        <v>839</v>
      </c>
      <c r="G48" s="320">
        <v>309</v>
      </c>
      <c r="H48" s="223">
        <v>377</v>
      </c>
      <c r="I48" s="247">
        <v>841</v>
      </c>
      <c r="J48" s="272">
        <v>303</v>
      </c>
      <c r="K48" s="223">
        <v>44</v>
      </c>
      <c r="L48" s="245">
        <v>399</v>
      </c>
      <c r="M48" s="256">
        <v>210</v>
      </c>
      <c r="N48" s="223">
        <v>197</v>
      </c>
      <c r="O48" s="223">
        <v>59</v>
      </c>
      <c r="P48" s="223">
        <v>77</v>
      </c>
      <c r="Q48" s="223">
        <v>51</v>
      </c>
      <c r="R48" s="245">
        <v>128</v>
      </c>
      <c r="S48" s="256">
        <v>162</v>
      </c>
      <c r="T48" s="223">
        <v>72</v>
      </c>
      <c r="U48" s="223">
        <v>267</v>
      </c>
      <c r="V48" s="223">
        <v>198</v>
      </c>
      <c r="W48" s="223">
        <v>232</v>
      </c>
      <c r="X48" s="245">
        <v>210</v>
      </c>
      <c r="Y48" s="256">
        <v>142</v>
      </c>
      <c r="Z48" s="187">
        <v>175</v>
      </c>
      <c r="AA48" s="223">
        <v>179</v>
      </c>
      <c r="AB48" s="245">
        <v>196</v>
      </c>
      <c r="AC48" s="256">
        <v>94</v>
      </c>
      <c r="AD48" s="223">
        <v>28</v>
      </c>
      <c r="AE48" s="223">
        <v>80</v>
      </c>
      <c r="AF48" s="223">
        <v>139</v>
      </c>
      <c r="AG48" s="245">
        <v>205</v>
      </c>
      <c r="AH48" s="256"/>
      <c r="AI48" s="247"/>
      <c r="AJ48" s="194">
        <f t="shared" si="23"/>
        <v>8051</v>
      </c>
    </row>
    <row r="49" spans="1:36" ht="15.75" thickBot="1" x14ac:dyDescent="0.3">
      <c r="A49" s="149" t="s">
        <v>2</v>
      </c>
      <c r="B49" s="271">
        <f t="shared" si="24"/>
        <v>43793</v>
      </c>
      <c r="C49" s="319">
        <v>168</v>
      </c>
      <c r="D49" s="223">
        <v>198</v>
      </c>
      <c r="E49" s="223">
        <v>69</v>
      </c>
      <c r="F49" s="223">
        <v>281</v>
      </c>
      <c r="G49" s="320">
        <v>105</v>
      </c>
      <c r="H49" s="223">
        <v>76</v>
      </c>
      <c r="I49" s="247">
        <v>277</v>
      </c>
      <c r="J49" s="272">
        <v>126</v>
      </c>
      <c r="K49" s="223">
        <v>17</v>
      </c>
      <c r="L49" s="245">
        <v>108</v>
      </c>
      <c r="M49" s="256">
        <v>85</v>
      </c>
      <c r="N49" s="223">
        <v>50</v>
      </c>
      <c r="O49" s="223">
        <v>23</v>
      </c>
      <c r="P49" s="223">
        <v>37</v>
      </c>
      <c r="Q49" s="223">
        <v>11</v>
      </c>
      <c r="R49" s="245">
        <v>31</v>
      </c>
      <c r="S49" s="256">
        <v>54</v>
      </c>
      <c r="T49" s="223">
        <v>34</v>
      </c>
      <c r="U49" s="223">
        <v>102</v>
      </c>
      <c r="V49" s="223">
        <v>123</v>
      </c>
      <c r="W49" s="223">
        <v>75</v>
      </c>
      <c r="X49" s="245">
        <v>87</v>
      </c>
      <c r="Y49" s="256">
        <v>59</v>
      </c>
      <c r="Z49" s="187">
        <v>68</v>
      </c>
      <c r="AA49" s="223">
        <v>56</v>
      </c>
      <c r="AB49" s="245">
        <v>122</v>
      </c>
      <c r="AC49" s="256">
        <v>36</v>
      </c>
      <c r="AD49" s="223">
        <v>22</v>
      </c>
      <c r="AE49" s="223">
        <v>27</v>
      </c>
      <c r="AF49" s="223">
        <v>51</v>
      </c>
      <c r="AG49" s="245">
        <v>80</v>
      </c>
      <c r="AH49" s="256"/>
      <c r="AI49" s="247"/>
      <c r="AJ49" s="194">
        <f t="shared" si="23"/>
        <v>2658</v>
      </c>
    </row>
    <row r="50" spans="1:36" ht="15.75" thickBot="1" x14ac:dyDescent="0.3">
      <c r="A50" s="158" t="s">
        <v>21</v>
      </c>
      <c r="B50" s="679" t="s">
        <v>27</v>
      </c>
      <c r="C50" s="257">
        <f>SUM(C43:C49)</f>
        <v>5384</v>
      </c>
      <c r="D50" s="237">
        <f>SUM(D43:D49)</f>
        <v>4620</v>
      </c>
      <c r="E50" s="237">
        <f>SUM(E43:E49)</f>
        <v>3023</v>
      </c>
      <c r="F50" s="237">
        <f>SUM(F43:F49)</f>
        <v>7021</v>
      </c>
      <c r="G50" s="237">
        <f>SUM(G43:G49)</f>
        <v>3896</v>
      </c>
      <c r="H50" s="237">
        <f t="shared" ref="H50:AI50" si="25">SUM(H43:H49)</f>
        <v>1793</v>
      </c>
      <c r="I50" s="237">
        <f t="shared" si="25"/>
        <v>6519</v>
      </c>
      <c r="J50" s="237">
        <f t="shared" si="25"/>
        <v>3310</v>
      </c>
      <c r="K50" s="237">
        <f t="shared" si="25"/>
        <v>981</v>
      </c>
      <c r="L50" s="237">
        <f t="shared" si="25"/>
        <v>3146</v>
      </c>
      <c r="M50" s="237">
        <f t="shared" si="25"/>
        <v>2038</v>
      </c>
      <c r="N50" s="237">
        <f t="shared" si="25"/>
        <v>1267</v>
      </c>
      <c r="O50" s="237">
        <f t="shared" si="25"/>
        <v>674</v>
      </c>
      <c r="P50" s="237">
        <f t="shared" si="25"/>
        <v>989</v>
      </c>
      <c r="Q50" s="237">
        <f t="shared" si="25"/>
        <v>312</v>
      </c>
      <c r="R50" s="237">
        <f t="shared" si="25"/>
        <v>791</v>
      </c>
      <c r="S50" s="237">
        <f t="shared" si="25"/>
        <v>2355</v>
      </c>
      <c r="T50" s="237">
        <f t="shared" si="25"/>
        <v>1601</v>
      </c>
      <c r="U50" s="237">
        <f t="shared" si="25"/>
        <v>3419</v>
      </c>
      <c r="V50" s="237">
        <f t="shared" si="25"/>
        <v>2418</v>
      </c>
      <c r="W50" s="237">
        <f t="shared" si="25"/>
        <v>1890</v>
      </c>
      <c r="X50" s="237">
        <f t="shared" si="25"/>
        <v>2553</v>
      </c>
      <c r="Y50" s="237">
        <f t="shared" si="25"/>
        <v>2602</v>
      </c>
      <c r="Z50" s="237">
        <f t="shared" si="25"/>
        <v>2361</v>
      </c>
      <c r="AA50" s="237">
        <f t="shared" si="25"/>
        <v>1791</v>
      </c>
      <c r="AB50" s="237">
        <f t="shared" si="25"/>
        <v>3496</v>
      </c>
      <c r="AC50" s="237">
        <f t="shared" si="25"/>
        <v>1204</v>
      </c>
      <c r="AD50" s="237">
        <f t="shared" si="25"/>
        <v>295</v>
      </c>
      <c r="AE50" s="237">
        <f t="shared" si="25"/>
        <v>1141</v>
      </c>
      <c r="AF50" s="237">
        <f t="shared" si="25"/>
        <v>1320</v>
      </c>
      <c r="AG50" s="237">
        <f t="shared" si="25"/>
        <v>1973</v>
      </c>
      <c r="AH50" s="237">
        <f t="shared" si="25"/>
        <v>0</v>
      </c>
      <c r="AI50" s="237">
        <f t="shared" si="25"/>
        <v>0</v>
      </c>
      <c r="AJ50" s="239">
        <f>SUM(AJ43:AJ49)</f>
        <v>76183</v>
      </c>
    </row>
    <row r="51" spans="1:36" ht="15.75" thickBot="1" x14ac:dyDescent="0.3">
      <c r="A51" s="109" t="s">
        <v>23</v>
      </c>
      <c r="B51" s="679"/>
      <c r="C51" s="257">
        <f>AVERAGE(C43:C49)</f>
        <v>769.14285714285711</v>
      </c>
      <c r="D51" s="237">
        <f t="shared" ref="D51:AI51" si="26">AVERAGE(D43:D49)</f>
        <v>660</v>
      </c>
      <c r="E51" s="237">
        <f t="shared" si="26"/>
        <v>431.85714285714283</v>
      </c>
      <c r="F51" s="237">
        <f t="shared" si="26"/>
        <v>1003</v>
      </c>
      <c r="G51" s="237">
        <f t="shared" si="26"/>
        <v>556.57142857142856</v>
      </c>
      <c r="H51" s="237">
        <f t="shared" si="26"/>
        <v>256.14285714285717</v>
      </c>
      <c r="I51" s="237">
        <f t="shared" si="26"/>
        <v>931.28571428571433</v>
      </c>
      <c r="J51" s="237">
        <f t="shared" si="26"/>
        <v>472.85714285714283</v>
      </c>
      <c r="K51" s="237">
        <f t="shared" si="26"/>
        <v>140.14285714285714</v>
      </c>
      <c r="L51" s="237">
        <f t="shared" si="26"/>
        <v>449.42857142857144</v>
      </c>
      <c r="M51" s="237">
        <f t="shared" si="26"/>
        <v>291.14285714285717</v>
      </c>
      <c r="N51" s="237">
        <f t="shared" si="26"/>
        <v>181</v>
      </c>
      <c r="O51" s="237">
        <f t="shared" si="26"/>
        <v>96.285714285714292</v>
      </c>
      <c r="P51" s="237">
        <f t="shared" si="26"/>
        <v>141.28571428571428</v>
      </c>
      <c r="Q51" s="237">
        <f t="shared" si="26"/>
        <v>44.571428571428569</v>
      </c>
      <c r="R51" s="237">
        <f t="shared" si="26"/>
        <v>113</v>
      </c>
      <c r="S51" s="237">
        <f t="shared" si="26"/>
        <v>336.42857142857144</v>
      </c>
      <c r="T51" s="237">
        <f t="shared" si="26"/>
        <v>228.71428571428572</v>
      </c>
      <c r="U51" s="237">
        <f t="shared" si="26"/>
        <v>488.42857142857144</v>
      </c>
      <c r="V51" s="237">
        <f t="shared" si="26"/>
        <v>345.42857142857144</v>
      </c>
      <c r="W51" s="237">
        <f t="shared" si="26"/>
        <v>270</v>
      </c>
      <c r="X51" s="237">
        <f t="shared" si="26"/>
        <v>364.71428571428572</v>
      </c>
      <c r="Y51" s="237">
        <f t="shared" si="26"/>
        <v>371.71428571428572</v>
      </c>
      <c r="Z51" s="237">
        <f t="shared" si="26"/>
        <v>337.28571428571428</v>
      </c>
      <c r="AA51" s="237">
        <f t="shared" si="26"/>
        <v>255.85714285714286</v>
      </c>
      <c r="AB51" s="237">
        <f t="shared" si="26"/>
        <v>499.42857142857144</v>
      </c>
      <c r="AC51" s="237">
        <f t="shared" si="26"/>
        <v>172</v>
      </c>
      <c r="AD51" s="237">
        <f t="shared" si="26"/>
        <v>42.142857142857146</v>
      </c>
      <c r="AE51" s="237">
        <f t="shared" si="26"/>
        <v>163</v>
      </c>
      <c r="AF51" s="237">
        <f t="shared" si="26"/>
        <v>188.57142857142858</v>
      </c>
      <c r="AG51" s="237">
        <f t="shared" si="26"/>
        <v>281.85714285714283</v>
      </c>
      <c r="AH51" s="237" t="e">
        <f t="shared" si="26"/>
        <v>#DIV/0!</v>
      </c>
      <c r="AI51" s="237" t="e">
        <f t="shared" si="26"/>
        <v>#DIV/0!</v>
      </c>
      <c r="AJ51" s="240">
        <f>AVERAGE(AJ43:AJ49)</f>
        <v>10883.285714285714</v>
      </c>
    </row>
    <row r="52" spans="1:36" ht="15.75" thickBot="1" x14ac:dyDescent="0.3">
      <c r="A52" s="26" t="s">
        <v>20</v>
      </c>
      <c r="B52" s="679"/>
      <c r="C52" s="259">
        <f t="shared" ref="C52:AI52" si="27">SUM(C43:C47)</f>
        <v>4618</v>
      </c>
      <c r="D52" s="238">
        <f t="shared" si="27"/>
        <v>3400</v>
      </c>
      <c r="E52" s="238">
        <f t="shared" si="27"/>
        <v>2736</v>
      </c>
      <c r="F52" s="238">
        <f t="shared" si="27"/>
        <v>5901</v>
      </c>
      <c r="G52" s="238">
        <f t="shared" si="27"/>
        <v>3482</v>
      </c>
      <c r="H52" s="238">
        <f t="shared" si="27"/>
        <v>1340</v>
      </c>
      <c r="I52" s="238">
        <f t="shared" si="27"/>
        <v>5401</v>
      </c>
      <c r="J52" s="238">
        <f t="shared" si="27"/>
        <v>2881</v>
      </c>
      <c r="K52" s="238">
        <f t="shared" si="27"/>
        <v>920</v>
      </c>
      <c r="L52" s="238">
        <f t="shared" si="27"/>
        <v>2639</v>
      </c>
      <c r="M52" s="238">
        <f t="shared" si="27"/>
        <v>1743</v>
      </c>
      <c r="N52" s="238">
        <f t="shared" si="27"/>
        <v>1020</v>
      </c>
      <c r="O52" s="238">
        <f t="shared" si="27"/>
        <v>592</v>
      </c>
      <c r="P52" s="238">
        <f t="shared" si="27"/>
        <v>875</v>
      </c>
      <c r="Q52" s="238">
        <f t="shared" si="27"/>
        <v>250</v>
      </c>
      <c r="R52" s="238">
        <f t="shared" si="27"/>
        <v>632</v>
      </c>
      <c r="S52" s="238">
        <f t="shared" si="27"/>
        <v>2139</v>
      </c>
      <c r="T52" s="238">
        <f t="shared" si="27"/>
        <v>1495</v>
      </c>
      <c r="U52" s="238">
        <f t="shared" si="27"/>
        <v>3050</v>
      </c>
      <c r="V52" s="238">
        <f t="shared" si="27"/>
        <v>2097</v>
      </c>
      <c r="W52" s="238">
        <f t="shared" si="27"/>
        <v>1583</v>
      </c>
      <c r="X52" s="238">
        <f t="shared" si="27"/>
        <v>2256</v>
      </c>
      <c r="Y52" s="238">
        <f t="shared" si="27"/>
        <v>2401</v>
      </c>
      <c r="Z52" s="238">
        <f t="shared" si="27"/>
        <v>2118</v>
      </c>
      <c r="AA52" s="238">
        <f t="shared" si="27"/>
        <v>1556</v>
      </c>
      <c r="AB52" s="238">
        <f t="shared" si="27"/>
        <v>3178</v>
      </c>
      <c r="AC52" s="238">
        <f t="shared" si="27"/>
        <v>1074</v>
      </c>
      <c r="AD52" s="238">
        <f t="shared" si="27"/>
        <v>245</v>
      </c>
      <c r="AE52" s="238">
        <f t="shared" si="27"/>
        <v>1034</v>
      </c>
      <c r="AF52" s="238">
        <f t="shared" si="27"/>
        <v>1130</v>
      </c>
      <c r="AG52" s="238">
        <f t="shared" si="27"/>
        <v>1688</v>
      </c>
      <c r="AH52" s="238">
        <f t="shared" si="27"/>
        <v>0</v>
      </c>
      <c r="AI52" s="238">
        <f t="shared" si="27"/>
        <v>0</v>
      </c>
      <c r="AJ52" s="241">
        <f>SUM(AJ43:AJ47)</f>
        <v>65474</v>
      </c>
    </row>
    <row r="53" spans="1:36" ht="15.75" thickBot="1" x14ac:dyDescent="0.3">
      <c r="A53" s="26" t="s">
        <v>22</v>
      </c>
      <c r="B53" s="679"/>
      <c r="C53" s="259">
        <f>AVERAGE(C43:C47)</f>
        <v>923.6</v>
      </c>
      <c r="D53" s="238">
        <f t="shared" ref="D53:AI53" si="28">AVERAGE(D43:D47)</f>
        <v>680</v>
      </c>
      <c r="E53" s="238">
        <f t="shared" si="28"/>
        <v>547.20000000000005</v>
      </c>
      <c r="F53" s="238">
        <f t="shared" si="28"/>
        <v>1180.2</v>
      </c>
      <c r="G53" s="238">
        <f t="shared" si="28"/>
        <v>696.4</v>
      </c>
      <c r="H53" s="238">
        <f t="shared" si="28"/>
        <v>268</v>
      </c>
      <c r="I53" s="238">
        <f t="shared" si="28"/>
        <v>1080.2</v>
      </c>
      <c r="J53" s="238">
        <f t="shared" si="28"/>
        <v>576.20000000000005</v>
      </c>
      <c r="K53" s="238">
        <f t="shared" si="28"/>
        <v>184</v>
      </c>
      <c r="L53" s="238">
        <f t="shared" si="28"/>
        <v>527.79999999999995</v>
      </c>
      <c r="M53" s="238">
        <f t="shared" si="28"/>
        <v>348.6</v>
      </c>
      <c r="N53" s="238">
        <f t="shared" si="28"/>
        <v>204</v>
      </c>
      <c r="O53" s="238">
        <f t="shared" si="28"/>
        <v>118.4</v>
      </c>
      <c r="P53" s="238">
        <f t="shared" si="28"/>
        <v>175</v>
      </c>
      <c r="Q53" s="238">
        <f t="shared" si="28"/>
        <v>50</v>
      </c>
      <c r="R53" s="238">
        <f t="shared" si="28"/>
        <v>126.4</v>
      </c>
      <c r="S53" s="238">
        <f t="shared" si="28"/>
        <v>427.8</v>
      </c>
      <c r="T53" s="238">
        <f t="shared" si="28"/>
        <v>299</v>
      </c>
      <c r="U53" s="238">
        <f t="shared" si="28"/>
        <v>610</v>
      </c>
      <c r="V53" s="238">
        <f t="shared" si="28"/>
        <v>419.4</v>
      </c>
      <c r="W53" s="238">
        <f t="shared" si="28"/>
        <v>316.60000000000002</v>
      </c>
      <c r="X53" s="238">
        <f t="shared" si="28"/>
        <v>451.2</v>
      </c>
      <c r="Y53" s="238">
        <f t="shared" si="28"/>
        <v>480.2</v>
      </c>
      <c r="Z53" s="238">
        <f t="shared" si="28"/>
        <v>423.6</v>
      </c>
      <c r="AA53" s="238">
        <f t="shared" si="28"/>
        <v>311.2</v>
      </c>
      <c r="AB53" s="238">
        <f t="shared" si="28"/>
        <v>635.6</v>
      </c>
      <c r="AC53" s="238">
        <f t="shared" si="28"/>
        <v>214.8</v>
      </c>
      <c r="AD53" s="238">
        <f t="shared" si="28"/>
        <v>49</v>
      </c>
      <c r="AE53" s="238">
        <f t="shared" si="28"/>
        <v>206.8</v>
      </c>
      <c r="AF53" s="238">
        <f t="shared" si="28"/>
        <v>226</v>
      </c>
      <c r="AG53" s="238">
        <f t="shared" si="28"/>
        <v>337.6</v>
      </c>
      <c r="AH53" s="238" t="e">
        <f t="shared" si="28"/>
        <v>#DIV/0!</v>
      </c>
      <c r="AI53" s="238" t="e">
        <f t="shared" si="28"/>
        <v>#DIV/0!</v>
      </c>
      <c r="AJ53" s="242">
        <f>AVERAGE(AJ43:AJ47)</f>
        <v>13094.8</v>
      </c>
    </row>
    <row r="54" spans="1:36" ht="15.75" thickBot="1" x14ac:dyDescent="0.3">
      <c r="A54" s="149" t="s">
        <v>3</v>
      </c>
      <c r="B54" s="271">
        <f>B49+1</f>
        <v>43794</v>
      </c>
      <c r="C54" s="319">
        <v>1053</v>
      </c>
      <c r="D54" s="223">
        <v>1049</v>
      </c>
      <c r="E54" s="223">
        <v>591</v>
      </c>
      <c r="F54" s="223">
        <v>1278</v>
      </c>
      <c r="G54" s="320">
        <v>703</v>
      </c>
      <c r="H54" s="223">
        <v>278</v>
      </c>
      <c r="I54" s="247">
        <v>1278</v>
      </c>
      <c r="J54" s="272">
        <v>621</v>
      </c>
      <c r="K54" s="223">
        <v>178</v>
      </c>
      <c r="L54" s="245">
        <v>564</v>
      </c>
      <c r="M54" s="256">
        <v>375</v>
      </c>
      <c r="N54" s="223">
        <v>270</v>
      </c>
      <c r="O54" s="223">
        <v>119</v>
      </c>
      <c r="P54" s="223">
        <v>166</v>
      </c>
      <c r="Q54" s="223">
        <v>56</v>
      </c>
      <c r="R54" s="245">
        <v>176</v>
      </c>
      <c r="S54" s="256">
        <v>492</v>
      </c>
      <c r="T54" s="223">
        <v>327</v>
      </c>
      <c r="U54" s="223">
        <v>563</v>
      </c>
      <c r="V54" s="223">
        <v>458</v>
      </c>
      <c r="W54" s="223">
        <v>353</v>
      </c>
      <c r="X54" s="245">
        <v>477</v>
      </c>
      <c r="Y54" s="256">
        <v>511</v>
      </c>
      <c r="Z54" s="187">
        <v>433</v>
      </c>
      <c r="AA54" s="223">
        <v>345</v>
      </c>
      <c r="AB54" s="245">
        <v>671</v>
      </c>
      <c r="AC54" s="256">
        <v>225</v>
      </c>
      <c r="AD54" s="223">
        <v>54</v>
      </c>
      <c r="AE54" s="223">
        <v>182</v>
      </c>
      <c r="AF54" s="223">
        <v>210</v>
      </c>
      <c r="AG54" s="245">
        <v>291</v>
      </c>
      <c r="AH54" s="256"/>
      <c r="AI54" s="247"/>
      <c r="AJ54" s="194">
        <f t="shared" ref="AJ54:AJ59" si="29">SUM(C54:AI54)</f>
        <v>14347</v>
      </c>
    </row>
    <row r="55" spans="1:36" ht="15.75" thickBot="1" x14ac:dyDescent="0.3">
      <c r="A55" s="149" t="s">
        <v>4</v>
      </c>
      <c r="B55" s="271">
        <f>B54+1</f>
        <v>43795</v>
      </c>
      <c r="C55" s="319">
        <v>1080</v>
      </c>
      <c r="D55" s="223">
        <v>1064</v>
      </c>
      <c r="E55" s="223">
        <v>592</v>
      </c>
      <c r="F55" s="223">
        <v>1340</v>
      </c>
      <c r="G55" s="320">
        <v>736</v>
      </c>
      <c r="H55" s="223">
        <v>325</v>
      </c>
      <c r="I55" s="247">
        <v>1308</v>
      </c>
      <c r="J55" s="272">
        <v>714</v>
      </c>
      <c r="K55" s="223">
        <v>222</v>
      </c>
      <c r="L55" s="245">
        <v>638</v>
      </c>
      <c r="M55" s="256">
        <v>630</v>
      </c>
      <c r="N55" s="223">
        <v>375</v>
      </c>
      <c r="O55" s="223">
        <v>157</v>
      </c>
      <c r="P55" s="223">
        <v>490</v>
      </c>
      <c r="Q55" s="223">
        <v>84</v>
      </c>
      <c r="R55" s="245">
        <v>183</v>
      </c>
      <c r="S55" s="256">
        <v>478</v>
      </c>
      <c r="T55" s="223">
        <v>291</v>
      </c>
      <c r="U55" s="223">
        <v>616</v>
      </c>
      <c r="V55" s="223">
        <v>471</v>
      </c>
      <c r="W55" s="223">
        <v>400</v>
      </c>
      <c r="X55" s="245">
        <v>523</v>
      </c>
      <c r="Y55" s="256">
        <v>534</v>
      </c>
      <c r="Z55" s="187">
        <v>452</v>
      </c>
      <c r="AA55" s="223">
        <v>426</v>
      </c>
      <c r="AB55" s="245">
        <v>704</v>
      </c>
      <c r="AC55" s="256">
        <v>232</v>
      </c>
      <c r="AD55" s="223">
        <v>81</v>
      </c>
      <c r="AE55" s="223">
        <v>212</v>
      </c>
      <c r="AF55" s="223">
        <v>271</v>
      </c>
      <c r="AG55" s="245">
        <v>316</v>
      </c>
      <c r="AH55" s="256"/>
      <c r="AI55" s="247"/>
      <c r="AJ55" s="194">
        <f t="shared" si="29"/>
        <v>15945</v>
      </c>
    </row>
    <row r="56" spans="1:36" ht="15.75" thickBot="1" x14ac:dyDescent="0.3">
      <c r="A56" s="149" t="s">
        <v>5</v>
      </c>
      <c r="B56" s="271">
        <f>B55+1</f>
        <v>43796</v>
      </c>
      <c r="C56" s="319">
        <v>657</v>
      </c>
      <c r="D56" s="223">
        <v>667</v>
      </c>
      <c r="E56" s="223">
        <v>408</v>
      </c>
      <c r="F56" s="223">
        <v>923</v>
      </c>
      <c r="G56" s="320">
        <v>553</v>
      </c>
      <c r="H56" s="223">
        <v>319</v>
      </c>
      <c r="I56" s="247">
        <v>930</v>
      </c>
      <c r="J56" s="272">
        <v>695</v>
      </c>
      <c r="K56" s="223">
        <v>169</v>
      </c>
      <c r="L56" s="245">
        <v>587</v>
      </c>
      <c r="M56" s="256">
        <v>285</v>
      </c>
      <c r="N56" s="223">
        <v>240</v>
      </c>
      <c r="O56" s="223">
        <v>75</v>
      </c>
      <c r="P56" s="223">
        <v>115</v>
      </c>
      <c r="Q56" s="223">
        <v>41</v>
      </c>
      <c r="R56" s="245">
        <v>133</v>
      </c>
      <c r="S56" s="256">
        <v>305</v>
      </c>
      <c r="T56" s="223">
        <v>228</v>
      </c>
      <c r="U56" s="223">
        <v>503</v>
      </c>
      <c r="V56" s="223">
        <v>378</v>
      </c>
      <c r="W56" s="223">
        <v>311</v>
      </c>
      <c r="X56" s="245">
        <v>458</v>
      </c>
      <c r="Y56" s="256">
        <v>382</v>
      </c>
      <c r="Z56" s="187">
        <v>339</v>
      </c>
      <c r="AA56" s="223">
        <v>308</v>
      </c>
      <c r="AB56" s="245">
        <v>623</v>
      </c>
      <c r="AC56" s="256">
        <v>163</v>
      </c>
      <c r="AD56" s="223">
        <v>44</v>
      </c>
      <c r="AE56" s="223">
        <v>147</v>
      </c>
      <c r="AF56" s="223">
        <v>182</v>
      </c>
      <c r="AG56" s="245">
        <v>273</v>
      </c>
      <c r="AH56" s="256"/>
      <c r="AI56" s="247"/>
      <c r="AJ56" s="194">
        <f t="shared" si="29"/>
        <v>11441</v>
      </c>
    </row>
    <row r="57" spans="1:36" ht="15.75" thickBot="1" x14ac:dyDescent="0.3">
      <c r="A57" s="149" t="s">
        <v>6</v>
      </c>
      <c r="B57" s="271">
        <f>B56+1</f>
        <v>43797</v>
      </c>
      <c r="C57" s="319">
        <v>135</v>
      </c>
      <c r="D57" s="223">
        <v>260</v>
      </c>
      <c r="E57" s="223">
        <v>57</v>
      </c>
      <c r="F57" s="223">
        <v>207</v>
      </c>
      <c r="G57" s="320">
        <v>82</v>
      </c>
      <c r="H57" s="223">
        <v>80</v>
      </c>
      <c r="I57" s="247">
        <v>217</v>
      </c>
      <c r="J57" s="272">
        <v>153</v>
      </c>
      <c r="K57" s="223">
        <v>20</v>
      </c>
      <c r="L57" s="245">
        <v>84</v>
      </c>
      <c r="M57" s="256">
        <v>84</v>
      </c>
      <c r="N57" s="223">
        <v>107</v>
      </c>
      <c r="O57" s="223">
        <v>13</v>
      </c>
      <c r="P57" s="223">
        <v>26</v>
      </c>
      <c r="Q57" s="223">
        <v>12</v>
      </c>
      <c r="R57" s="245">
        <v>28</v>
      </c>
      <c r="S57" s="256">
        <v>84</v>
      </c>
      <c r="T57" s="223">
        <v>42</v>
      </c>
      <c r="U57" s="223">
        <v>74</v>
      </c>
      <c r="V57" s="223">
        <v>69</v>
      </c>
      <c r="W57" s="223">
        <v>110</v>
      </c>
      <c r="X57" s="245">
        <v>72</v>
      </c>
      <c r="Y57" s="256">
        <v>59</v>
      </c>
      <c r="Z57" s="187">
        <v>43</v>
      </c>
      <c r="AA57" s="223">
        <v>35</v>
      </c>
      <c r="AB57" s="245">
        <v>61</v>
      </c>
      <c r="AC57" s="256">
        <v>38</v>
      </c>
      <c r="AD57" s="223">
        <v>7</v>
      </c>
      <c r="AE57" s="223">
        <v>38</v>
      </c>
      <c r="AF57" s="223">
        <v>63</v>
      </c>
      <c r="AG57" s="245">
        <v>66</v>
      </c>
      <c r="AH57" s="256"/>
      <c r="AI57" s="247"/>
      <c r="AJ57" s="194">
        <f t="shared" si="29"/>
        <v>2426</v>
      </c>
    </row>
    <row r="58" spans="1:36" ht="15.75" thickBot="1" x14ac:dyDescent="0.3">
      <c r="A58" s="149" t="s">
        <v>0</v>
      </c>
      <c r="B58" s="271">
        <f>B57+1</f>
        <v>43798</v>
      </c>
      <c r="C58" s="491">
        <v>602</v>
      </c>
      <c r="D58" s="223">
        <v>929</v>
      </c>
      <c r="E58" s="223">
        <v>239</v>
      </c>
      <c r="F58" s="223">
        <v>709</v>
      </c>
      <c r="G58" s="223">
        <v>381</v>
      </c>
      <c r="H58" s="223">
        <v>256</v>
      </c>
      <c r="I58" s="247">
        <v>614</v>
      </c>
      <c r="J58" s="272">
        <v>384</v>
      </c>
      <c r="K58" s="223">
        <v>138</v>
      </c>
      <c r="L58" s="245">
        <v>485</v>
      </c>
      <c r="M58" s="256">
        <v>260</v>
      </c>
      <c r="N58" s="223">
        <v>251</v>
      </c>
      <c r="O58" s="223">
        <v>85</v>
      </c>
      <c r="P58" s="223">
        <v>102</v>
      </c>
      <c r="Q58" s="223">
        <v>52</v>
      </c>
      <c r="R58" s="245">
        <v>171</v>
      </c>
      <c r="S58" s="256">
        <v>285</v>
      </c>
      <c r="T58" s="223">
        <v>145</v>
      </c>
      <c r="U58" s="223">
        <v>312</v>
      </c>
      <c r="V58" s="223">
        <v>244</v>
      </c>
      <c r="W58" s="223">
        <v>255</v>
      </c>
      <c r="X58" s="245">
        <v>350</v>
      </c>
      <c r="Y58" s="256">
        <v>301</v>
      </c>
      <c r="Z58" s="187">
        <v>226</v>
      </c>
      <c r="AA58" s="223">
        <v>212</v>
      </c>
      <c r="AB58" s="245">
        <v>403</v>
      </c>
      <c r="AC58" s="256">
        <v>63</v>
      </c>
      <c r="AD58" s="223">
        <v>35</v>
      </c>
      <c r="AE58" s="223">
        <v>82</v>
      </c>
      <c r="AF58" s="223">
        <v>113</v>
      </c>
      <c r="AG58" s="245">
        <v>194</v>
      </c>
      <c r="AH58" s="256"/>
      <c r="AI58" s="247"/>
      <c r="AJ58" s="194">
        <f t="shared" si="29"/>
        <v>8878</v>
      </c>
    </row>
    <row r="59" spans="1:36" ht="15.75" thickBot="1" x14ac:dyDescent="0.3">
      <c r="A59" s="149" t="s">
        <v>1</v>
      </c>
      <c r="B59" s="271">
        <f>B58+1</f>
        <v>43799</v>
      </c>
      <c r="C59" s="256">
        <v>511</v>
      </c>
      <c r="D59" s="223">
        <v>1050</v>
      </c>
      <c r="E59" s="223">
        <v>209</v>
      </c>
      <c r="F59" s="223">
        <v>748</v>
      </c>
      <c r="G59" s="223">
        <v>279</v>
      </c>
      <c r="H59" s="223">
        <v>375</v>
      </c>
      <c r="I59" s="247">
        <v>692</v>
      </c>
      <c r="J59" s="272">
        <v>303</v>
      </c>
      <c r="K59" s="223">
        <v>42</v>
      </c>
      <c r="L59" s="245">
        <v>432</v>
      </c>
      <c r="M59" s="256">
        <v>246</v>
      </c>
      <c r="N59" s="223">
        <v>232</v>
      </c>
      <c r="O59" s="223">
        <v>45</v>
      </c>
      <c r="P59" s="223">
        <v>72</v>
      </c>
      <c r="Q59" s="223">
        <v>73</v>
      </c>
      <c r="R59" s="245">
        <v>118</v>
      </c>
      <c r="S59" s="256">
        <v>198</v>
      </c>
      <c r="T59" s="223">
        <v>71</v>
      </c>
      <c r="U59" s="223">
        <v>277</v>
      </c>
      <c r="V59" s="223">
        <v>227</v>
      </c>
      <c r="W59" s="223">
        <v>181</v>
      </c>
      <c r="X59" s="245">
        <v>237</v>
      </c>
      <c r="Y59" s="256">
        <v>118</v>
      </c>
      <c r="Z59" s="187">
        <v>139</v>
      </c>
      <c r="AA59" s="223">
        <v>110</v>
      </c>
      <c r="AB59" s="245">
        <v>299</v>
      </c>
      <c r="AC59" s="256">
        <v>97</v>
      </c>
      <c r="AD59" s="223">
        <v>26</v>
      </c>
      <c r="AE59" s="223">
        <v>65</v>
      </c>
      <c r="AF59" s="223">
        <v>153</v>
      </c>
      <c r="AG59" s="245">
        <v>236</v>
      </c>
      <c r="AH59" s="256"/>
      <c r="AI59" s="247"/>
      <c r="AJ59" s="194">
        <f t="shared" si="29"/>
        <v>7861</v>
      </c>
    </row>
    <row r="60" spans="1:36" ht="15.75" thickBot="1" x14ac:dyDescent="0.3">
      <c r="A60" s="158" t="s">
        <v>21</v>
      </c>
      <c r="B60" s="679" t="s">
        <v>28</v>
      </c>
      <c r="C60" s="257">
        <f t="shared" ref="C60:H60" si="30">SUM(C54:C59)</f>
        <v>4038</v>
      </c>
      <c r="D60" s="237">
        <f t="shared" si="30"/>
        <v>5019</v>
      </c>
      <c r="E60" s="237">
        <f t="shared" si="30"/>
        <v>2096</v>
      </c>
      <c r="F60" s="237">
        <f t="shared" si="30"/>
        <v>5205</v>
      </c>
      <c r="G60" s="237">
        <f t="shared" si="30"/>
        <v>2734</v>
      </c>
      <c r="H60" s="237">
        <f t="shared" si="30"/>
        <v>1633</v>
      </c>
      <c r="I60" s="237">
        <f t="shared" ref="I60:AI60" si="31">SUM(I54:I59)</f>
        <v>5039</v>
      </c>
      <c r="J60" s="237">
        <f t="shared" si="31"/>
        <v>2870</v>
      </c>
      <c r="K60" s="237">
        <f t="shared" si="31"/>
        <v>769</v>
      </c>
      <c r="L60" s="237">
        <f t="shared" si="31"/>
        <v>2790</v>
      </c>
      <c r="M60" s="237">
        <f t="shared" si="31"/>
        <v>1880</v>
      </c>
      <c r="N60" s="237">
        <f t="shared" si="31"/>
        <v>1475</v>
      </c>
      <c r="O60" s="237">
        <f t="shared" si="31"/>
        <v>494</v>
      </c>
      <c r="P60" s="237">
        <f t="shared" si="31"/>
        <v>971</v>
      </c>
      <c r="Q60" s="237">
        <f t="shared" si="31"/>
        <v>318</v>
      </c>
      <c r="R60" s="237">
        <f t="shared" si="31"/>
        <v>809</v>
      </c>
      <c r="S60" s="237">
        <f t="shared" si="31"/>
        <v>1842</v>
      </c>
      <c r="T60" s="237">
        <f t="shared" si="31"/>
        <v>1104</v>
      </c>
      <c r="U60" s="237">
        <f t="shared" si="31"/>
        <v>2345</v>
      </c>
      <c r="V60" s="237">
        <f t="shared" si="31"/>
        <v>1847</v>
      </c>
      <c r="W60" s="237">
        <f t="shared" si="31"/>
        <v>1610</v>
      </c>
      <c r="X60" s="237">
        <f t="shared" si="31"/>
        <v>2117</v>
      </c>
      <c r="Y60" s="237">
        <f t="shared" si="31"/>
        <v>1905</v>
      </c>
      <c r="Z60" s="237">
        <f t="shared" si="31"/>
        <v>1632</v>
      </c>
      <c r="AA60" s="237">
        <f t="shared" si="31"/>
        <v>1436</v>
      </c>
      <c r="AB60" s="237">
        <f t="shared" si="31"/>
        <v>2761</v>
      </c>
      <c r="AC60" s="237">
        <f t="shared" si="31"/>
        <v>818</v>
      </c>
      <c r="AD60" s="237">
        <f t="shared" si="31"/>
        <v>247</v>
      </c>
      <c r="AE60" s="237">
        <f t="shared" si="31"/>
        <v>726</v>
      </c>
      <c r="AF60" s="237">
        <f t="shared" si="31"/>
        <v>992</v>
      </c>
      <c r="AG60" s="237">
        <f t="shared" si="31"/>
        <v>1376</v>
      </c>
      <c r="AH60" s="237">
        <f t="shared" si="31"/>
        <v>0</v>
      </c>
      <c r="AI60" s="237">
        <f t="shared" si="31"/>
        <v>0</v>
      </c>
      <c r="AJ60" s="239">
        <f>SUM(AJ54:AJ59)</f>
        <v>60898</v>
      </c>
    </row>
    <row r="61" spans="1:36" ht="15.75" thickBot="1" x14ac:dyDescent="0.3">
      <c r="A61" s="109" t="s">
        <v>23</v>
      </c>
      <c r="B61" s="679"/>
      <c r="C61" s="257">
        <f t="shared" ref="C61:H61" si="32">AVERAGE(C54:C59)</f>
        <v>673</v>
      </c>
      <c r="D61" s="237">
        <f t="shared" si="32"/>
        <v>836.5</v>
      </c>
      <c r="E61" s="237">
        <f t="shared" si="32"/>
        <v>349.33333333333331</v>
      </c>
      <c r="F61" s="237">
        <f t="shared" si="32"/>
        <v>867.5</v>
      </c>
      <c r="G61" s="237">
        <f t="shared" si="32"/>
        <v>455.66666666666669</v>
      </c>
      <c r="H61" s="237">
        <f t="shared" si="32"/>
        <v>272.16666666666669</v>
      </c>
      <c r="I61" s="237">
        <f t="shared" ref="I61:AI61" si="33">AVERAGE(I54:I59)</f>
        <v>839.83333333333337</v>
      </c>
      <c r="J61" s="237">
        <f t="shared" si="33"/>
        <v>478.33333333333331</v>
      </c>
      <c r="K61" s="237">
        <f t="shared" si="33"/>
        <v>128.16666666666666</v>
      </c>
      <c r="L61" s="237">
        <f t="shared" si="33"/>
        <v>465</v>
      </c>
      <c r="M61" s="237">
        <f t="shared" si="33"/>
        <v>313.33333333333331</v>
      </c>
      <c r="N61" s="237">
        <f t="shared" si="33"/>
        <v>245.83333333333334</v>
      </c>
      <c r="O61" s="237">
        <f t="shared" si="33"/>
        <v>82.333333333333329</v>
      </c>
      <c r="P61" s="237">
        <f t="shared" si="33"/>
        <v>161.83333333333334</v>
      </c>
      <c r="Q61" s="237">
        <f t="shared" si="33"/>
        <v>53</v>
      </c>
      <c r="R61" s="237">
        <f t="shared" si="33"/>
        <v>134.83333333333334</v>
      </c>
      <c r="S61" s="237">
        <f t="shared" si="33"/>
        <v>307</v>
      </c>
      <c r="T61" s="237">
        <f t="shared" si="33"/>
        <v>184</v>
      </c>
      <c r="U61" s="237">
        <f t="shared" si="33"/>
        <v>390.83333333333331</v>
      </c>
      <c r="V61" s="237">
        <f t="shared" si="33"/>
        <v>307.83333333333331</v>
      </c>
      <c r="W61" s="237">
        <f t="shared" si="33"/>
        <v>268.33333333333331</v>
      </c>
      <c r="X61" s="237">
        <f t="shared" si="33"/>
        <v>352.83333333333331</v>
      </c>
      <c r="Y61" s="237">
        <f t="shared" si="33"/>
        <v>317.5</v>
      </c>
      <c r="Z61" s="237">
        <f t="shared" si="33"/>
        <v>272</v>
      </c>
      <c r="AA61" s="237">
        <f t="shared" si="33"/>
        <v>239.33333333333334</v>
      </c>
      <c r="AB61" s="237">
        <f t="shared" si="33"/>
        <v>460.16666666666669</v>
      </c>
      <c r="AC61" s="237">
        <f t="shared" si="33"/>
        <v>136.33333333333334</v>
      </c>
      <c r="AD61" s="237">
        <f t="shared" si="33"/>
        <v>41.166666666666664</v>
      </c>
      <c r="AE61" s="237">
        <f t="shared" si="33"/>
        <v>121</v>
      </c>
      <c r="AF61" s="237">
        <f t="shared" si="33"/>
        <v>165.33333333333334</v>
      </c>
      <c r="AG61" s="237">
        <f t="shared" si="33"/>
        <v>229.33333333333334</v>
      </c>
      <c r="AH61" s="237" t="e">
        <f t="shared" si="33"/>
        <v>#DIV/0!</v>
      </c>
      <c r="AI61" s="237" t="e">
        <f t="shared" si="33"/>
        <v>#DIV/0!</v>
      </c>
      <c r="AJ61" s="240">
        <f>AVERAGE(AJ54:AJ59)</f>
        <v>10149.666666666666</v>
      </c>
    </row>
    <row r="62" spans="1:36" ht="15.75" thickBot="1" x14ac:dyDescent="0.3">
      <c r="A62" s="26" t="s">
        <v>20</v>
      </c>
      <c r="B62" s="679"/>
      <c r="C62" s="259">
        <f t="shared" ref="C62:H62" si="34">SUM(C54:C58)</f>
        <v>3527</v>
      </c>
      <c r="D62" s="238">
        <f t="shared" si="34"/>
        <v>3969</v>
      </c>
      <c r="E62" s="238">
        <f t="shared" si="34"/>
        <v>1887</v>
      </c>
      <c r="F62" s="238">
        <f t="shared" si="34"/>
        <v>4457</v>
      </c>
      <c r="G62" s="238">
        <f t="shared" si="34"/>
        <v>2455</v>
      </c>
      <c r="H62" s="238">
        <f t="shared" si="34"/>
        <v>1258</v>
      </c>
      <c r="I62" s="238">
        <f t="shared" ref="I62:AI62" si="35">SUM(I54:I58)</f>
        <v>4347</v>
      </c>
      <c r="J62" s="238">
        <f t="shared" si="35"/>
        <v>2567</v>
      </c>
      <c r="K62" s="238">
        <f t="shared" si="35"/>
        <v>727</v>
      </c>
      <c r="L62" s="238">
        <f t="shared" si="35"/>
        <v>2358</v>
      </c>
      <c r="M62" s="238">
        <f t="shared" si="35"/>
        <v>1634</v>
      </c>
      <c r="N62" s="238">
        <f t="shared" si="35"/>
        <v>1243</v>
      </c>
      <c r="O62" s="238">
        <f t="shared" si="35"/>
        <v>449</v>
      </c>
      <c r="P62" s="238">
        <f t="shared" si="35"/>
        <v>899</v>
      </c>
      <c r="Q62" s="238">
        <f t="shared" si="35"/>
        <v>245</v>
      </c>
      <c r="R62" s="238">
        <f t="shared" si="35"/>
        <v>691</v>
      </c>
      <c r="S62" s="238">
        <f t="shared" si="35"/>
        <v>1644</v>
      </c>
      <c r="T62" s="238">
        <f t="shared" si="35"/>
        <v>1033</v>
      </c>
      <c r="U62" s="238">
        <f t="shared" si="35"/>
        <v>2068</v>
      </c>
      <c r="V62" s="238">
        <f t="shared" si="35"/>
        <v>1620</v>
      </c>
      <c r="W62" s="238">
        <f t="shared" si="35"/>
        <v>1429</v>
      </c>
      <c r="X62" s="238">
        <f t="shared" si="35"/>
        <v>1880</v>
      </c>
      <c r="Y62" s="238">
        <f t="shared" si="35"/>
        <v>1787</v>
      </c>
      <c r="Z62" s="238">
        <f t="shared" si="35"/>
        <v>1493</v>
      </c>
      <c r="AA62" s="238">
        <f t="shared" si="35"/>
        <v>1326</v>
      </c>
      <c r="AB62" s="238">
        <f t="shared" si="35"/>
        <v>2462</v>
      </c>
      <c r="AC62" s="238">
        <f t="shared" si="35"/>
        <v>721</v>
      </c>
      <c r="AD62" s="238">
        <f t="shared" si="35"/>
        <v>221</v>
      </c>
      <c r="AE62" s="238">
        <f t="shared" si="35"/>
        <v>661</v>
      </c>
      <c r="AF62" s="238">
        <f t="shared" si="35"/>
        <v>839</v>
      </c>
      <c r="AG62" s="238">
        <f t="shared" si="35"/>
        <v>1140</v>
      </c>
      <c r="AH62" s="238">
        <f t="shared" si="35"/>
        <v>0</v>
      </c>
      <c r="AI62" s="238">
        <f t="shared" si="35"/>
        <v>0</v>
      </c>
      <c r="AJ62" s="241">
        <f>SUM(AJ54:AJ58)</f>
        <v>53037</v>
      </c>
    </row>
    <row r="63" spans="1:36" ht="15.75" thickBot="1" x14ac:dyDescent="0.3">
      <c r="A63" s="26" t="s">
        <v>22</v>
      </c>
      <c r="B63" s="680"/>
      <c r="C63" s="40">
        <f t="shared" ref="C63:H63" si="36">AVERAGE(C54:C58)</f>
        <v>705.4</v>
      </c>
      <c r="D63" s="225">
        <f t="shared" si="36"/>
        <v>793.8</v>
      </c>
      <c r="E63" s="225">
        <f t="shared" si="36"/>
        <v>377.4</v>
      </c>
      <c r="F63" s="225">
        <f t="shared" si="36"/>
        <v>891.4</v>
      </c>
      <c r="G63" s="225">
        <f t="shared" si="36"/>
        <v>491</v>
      </c>
      <c r="H63" s="225">
        <f t="shared" si="36"/>
        <v>251.6</v>
      </c>
      <c r="I63" s="225">
        <f t="shared" ref="I63:AI63" si="37">AVERAGE(I54:I58)</f>
        <v>869.4</v>
      </c>
      <c r="J63" s="225">
        <f t="shared" si="37"/>
        <v>513.4</v>
      </c>
      <c r="K63" s="225">
        <f t="shared" si="37"/>
        <v>145.4</v>
      </c>
      <c r="L63" s="225">
        <f t="shared" si="37"/>
        <v>471.6</v>
      </c>
      <c r="M63" s="225">
        <f t="shared" si="37"/>
        <v>326.8</v>
      </c>
      <c r="N63" s="225">
        <f t="shared" si="37"/>
        <v>248.6</v>
      </c>
      <c r="O63" s="225">
        <f t="shared" si="37"/>
        <v>89.8</v>
      </c>
      <c r="P63" s="225">
        <f t="shared" si="37"/>
        <v>179.8</v>
      </c>
      <c r="Q63" s="225">
        <f t="shared" si="37"/>
        <v>49</v>
      </c>
      <c r="R63" s="225">
        <f t="shared" si="37"/>
        <v>138.19999999999999</v>
      </c>
      <c r="S63" s="225">
        <f t="shared" si="37"/>
        <v>328.8</v>
      </c>
      <c r="T63" s="225">
        <f t="shared" si="37"/>
        <v>206.6</v>
      </c>
      <c r="U63" s="225">
        <f t="shared" si="37"/>
        <v>413.6</v>
      </c>
      <c r="V63" s="225">
        <f t="shared" si="37"/>
        <v>324</v>
      </c>
      <c r="W63" s="225">
        <f t="shared" si="37"/>
        <v>285.8</v>
      </c>
      <c r="X63" s="225">
        <f t="shared" si="37"/>
        <v>376</v>
      </c>
      <c r="Y63" s="225">
        <f t="shared" si="37"/>
        <v>357.4</v>
      </c>
      <c r="Z63" s="225">
        <f t="shared" si="37"/>
        <v>298.60000000000002</v>
      </c>
      <c r="AA63" s="225">
        <f t="shared" si="37"/>
        <v>265.2</v>
      </c>
      <c r="AB63" s="225">
        <f t="shared" si="37"/>
        <v>492.4</v>
      </c>
      <c r="AC63" s="225">
        <f t="shared" si="37"/>
        <v>144.19999999999999</v>
      </c>
      <c r="AD63" s="225">
        <f t="shared" si="37"/>
        <v>44.2</v>
      </c>
      <c r="AE63" s="225">
        <f t="shared" si="37"/>
        <v>132.19999999999999</v>
      </c>
      <c r="AF63" s="225">
        <f t="shared" si="37"/>
        <v>167.8</v>
      </c>
      <c r="AG63" s="225">
        <f t="shared" si="37"/>
        <v>228</v>
      </c>
      <c r="AH63" s="225" t="e">
        <f t="shared" si="37"/>
        <v>#DIV/0!</v>
      </c>
      <c r="AI63" s="225" t="e">
        <f t="shared" si="37"/>
        <v>#DIV/0!</v>
      </c>
      <c r="AJ63" s="242">
        <f>AVERAGE(AJ54:AJ58)</f>
        <v>10607.4</v>
      </c>
    </row>
    <row r="64" spans="1:36" hidden="1" x14ac:dyDescent="0.25">
      <c r="A64" s="149" t="s">
        <v>3</v>
      </c>
      <c r="B64" s="436">
        <f>B5+1</f>
        <v>43710</v>
      </c>
      <c r="C64" s="185"/>
      <c r="D64" s="222"/>
      <c r="E64" s="222"/>
      <c r="F64" s="222"/>
      <c r="G64" s="222"/>
      <c r="H64" s="222"/>
      <c r="I64" s="314"/>
      <c r="J64" s="314"/>
      <c r="K64" s="222"/>
      <c r="L64" s="250"/>
      <c r="M64" s="314"/>
      <c r="N64" s="262"/>
      <c r="O64" s="222"/>
      <c r="P64" s="222"/>
      <c r="Q64" s="222"/>
      <c r="R64" s="313"/>
      <c r="S64" s="314"/>
      <c r="T64" s="262"/>
      <c r="U64" s="222"/>
      <c r="V64" s="222"/>
      <c r="W64" s="313"/>
      <c r="X64" s="250"/>
      <c r="Y64" s="250"/>
      <c r="Z64" s="250"/>
      <c r="AA64" s="262"/>
      <c r="AB64" s="222"/>
      <c r="AC64" s="314"/>
      <c r="AD64" s="262"/>
      <c r="AE64" s="222"/>
      <c r="AF64" s="222"/>
      <c r="AG64" s="222"/>
      <c r="AH64" s="314"/>
      <c r="AI64" s="314"/>
      <c r="AJ64" s="194">
        <f t="shared" ref="AJ64:AJ70" si="38">SUM(O64:AG64)</f>
        <v>0</v>
      </c>
    </row>
    <row r="65" spans="1:36" hidden="1" x14ac:dyDescent="0.25">
      <c r="A65" s="149" t="s">
        <v>4</v>
      </c>
      <c r="B65" s="174">
        <f t="shared" ref="B65:B70" si="39">B64+1</f>
        <v>43711</v>
      </c>
      <c r="C65" s="193"/>
      <c r="D65" s="223"/>
      <c r="E65" s="223"/>
      <c r="F65" s="223"/>
      <c r="G65" s="223"/>
      <c r="H65" s="223"/>
      <c r="I65" s="221"/>
      <c r="J65" s="221"/>
      <c r="K65" s="223"/>
      <c r="L65" s="247"/>
      <c r="M65" s="221"/>
      <c r="N65" s="256"/>
      <c r="O65" s="223"/>
      <c r="P65" s="223"/>
      <c r="Q65" s="223"/>
      <c r="R65" s="245"/>
      <c r="S65" s="221"/>
      <c r="T65" s="256"/>
      <c r="U65" s="223"/>
      <c r="V65" s="223"/>
      <c r="W65" s="245"/>
      <c r="X65" s="247"/>
      <c r="Y65" s="247"/>
      <c r="Z65" s="247"/>
      <c r="AA65" s="256"/>
      <c r="AB65" s="223"/>
      <c r="AC65" s="221"/>
      <c r="AD65" s="256"/>
      <c r="AE65" s="223"/>
      <c r="AF65" s="223"/>
      <c r="AG65" s="223"/>
      <c r="AH65" s="314"/>
      <c r="AI65" s="314"/>
      <c r="AJ65" s="194">
        <f t="shared" si="38"/>
        <v>0</v>
      </c>
    </row>
    <row r="66" spans="1:36" hidden="1" x14ac:dyDescent="0.25">
      <c r="A66" s="149" t="s">
        <v>5</v>
      </c>
      <c r="B66" s="174">
        <f t="shared" si="39"/>
        <v>43712</v>
      </c>
      <c r="C66" s="221"/>
      <c r="D66" s="223"/>
      <c r="E66" s="223"/>
      <c r="F66" s="223"/>
      <c r="G66" s="223"/>
      <c r="H66" s="223"/>
      <c r="I66" s="221"/>
      <c r="J66" s="221"/>
      <c r="K66" s="223"/>
      <c r="L66" s="247"/>
      <c r="M66" s="221"/>
      <c r="N66" s="256"/>
      <c r="O66" s="223"/>
      <c r="P66" s="223"/>
      <c r="Q66" s="223"/>
      <c r="R66" s="245"/>
      <c r="S66" s="221"/>
      <c r="T66" s="256"/>
      <c r="U66" s="223"/>
      <c r="V66" s="223"/>
      <c r="W66" s="245"/>
      <c r="X66" s="247"/>
      <c r="Y66" s="247"/>
      <c r="Z66" s="247"/>
      <c r="AA66" s="256"/>
      <c r="AB66" s="223"/>
      <c r="AC66" s="221"/>
      <c r="AD66" s="256"/>
      <c r="AE66" s="223"/>
      <c r="AF66" s="223"/>
      <c r="AG66" s="223"/>
      <c r="AH66" s="314"/>
      <c r="AI66" s="314"/>
      <c r="AJ66" s="194">
        <f t="shared" si="38"/>
        <v>0</v>
      </c>
    </row>
    <row r="67" spans="1:36" hidden="1" x14ac:dyDescent="0.25">
      <c r="A67" s="149" t="s">
        <v>6</v>
      </c>
      <c r="B67" s="174">
        <f t="shared" si="39"/>
        <v>43713</v>
      </c>
      <c r="C67" s="193"/>
      <c r="D67" s="223"/>
      <c r="E67" s="223"/>
      <c r="F67" s="223"/>
      <c r="G67" s="223"/>
      <c r="H67" s="223"/>
      <c r="I67" s="221"/>
      <c r="J67" s="221"/>
      <c r="K67" s="223"/>
      <c r="L67" s="247"/>
      <c r="M67" s="221"/>
      <c r="N67" s="256"/>
      <c r="O67" s="223"/>
      <c r="P67" s="223"/>
      <c r="Q67" s="223"/>
      <c r="R67" s="247"/>
      <c r="S67" s="221"/>
      <c r="T67" s="256"/>
      <c r="U67" s="223"/>
      <c r="V67" s="223"/>
      <c r="W67" s="245"/>
      <c r="X67" s="247"/>
      <c r="Y67" s="247"/>
      <c r="Z67" s="247"/>
      <c r="AA67" s="256"/>
      <c r="AB67" s="223"/>
      <c r="AC67" s="221"/>
      <c r="AD67" s="256"/>
      <c r="AE67" s="223"/>
      <c r="AF67" s="223"/>
      <c r="AG67" s="223"/>
      <c r="AH67" s="314"/>
      <c r="AI67" s="314"/>
      <c r="AJ67" s="194">
        <f t="shared" si="38"/>
        <v>0</v>
      </c>
    </row>
    <row r="68" spans="1:36" hidden="1" x14ac:dyDescent="0.25">
      <c r="A68" s="149" t="s">
        <v>0</v>
      </c>
      <c r="B68" s="174">
        <f t="shared" si="39"/>
        <v>43714</v>
      </c>
      <c r="C68" s="193"/>
      <c r="D68" s="223"/>
      <c r="E68" s="223"/>
      <c r="F68" s="223"/>
      <c r="G68" s="223"/>
      <c r="H68" s="223"/>
      <c r="I68" s="221"/>
      <c r="J68" s="221"/>
      <c r="K68" s="223"/>
      <c r="L68" s="247"/>
      <c r="M68" s="221"/>
      <c r="N68" s="256"/>
      <c r="O68" s="223"/>
      <c r="P68" s="223"/>
      <c r="Q68" s="223"/>
      <c r="R68" s="245"/>
      <c r="S68" s="221"/>
      <c r="T68" s="256"/>
      <c r="U68" s="223"/>
      <c r="V68" s="223"/>
      <c r="W68" s="245"/>
      <c r="X68" s="247"/>
      <c r="Y68" s="247"/>
      <c r="Z68" s="247"/>
      <c r="AA68" s="256"/>
      <c r="AB68" s="223"/>
      <c r="AC68" s="221"/>
      <c r="AD68" s="256"/>
      <c r="AE68" s="223"/>
      <c r="AF68" s="223"/>
      <c r="AG68" s="223"/>
      <c r="AH68" s="314"/>
      <c r="AI68" s="314"/>
      <c r="AJ68" s="194">
        <f t="shared" si="38"/>
        <v>0</v>
      </c>
    </row>
    <row r="69" spans="1:36" hidden="1" x14ac:dyDescent="0.25">
      <c r="A69" s="149" t="s">
        <v>1</v>
      </c>
      <c r="B69" s="174">
        <f t="shared" si="39"/>
        <v>43715</v>
      </c>
      <c r="C69" s="193"/>
      <c r="D69" s="223"/>
      <c r="E69" s="223"/>
      <c r="F69" s="223"/>
      <c r="G69" s="223"/>
      <c r="H69" s="223"/>
      <c r="I69" s="221"/>
      <c r="J69" s="221"/>
      <c r="K69" s="223"/>
      <c r="L69" s="247"/>
      <c r="M69" s="221"/>
      <c r="N69" s="256"/>
      <c r="O69" s="223"/>
      <c r="P69" s="223"/>
      <c r="Q69" s="223"/>
      <c r="R69" s="245"/>
      <c r="S69" s="221"/>
      <c r="T69" s="256"/>
      <c r="U69" s="223"/>
      <c r="V69" s="223"/>
      <c r="W69" s="245"/>
      <c r="X69" s="247"/>
      <c r="Y69" s="247"/>
      <c r="Z69" s="247"/>
      <c r="AA69" s="256"/>
      <c r="AB69" s="223"/>
      <c r="AC69" s="221"/>
      <c r="AD69" s="256"/>
      <c r="AE69" s="223"/>
      <c r="AF69" s="223"/>
      <c r="AG69" s="223"/>
      <c r="AH69" s="314"/>
      <c r="AI69" s="314"/>
      <c r="AJ69" s="194">
        <f t="shared" si="38"/>
        <v>0</v>
      </c>
    </row>
    <row r="70" spans="1:36" ht="15.75" hidden="1" thickBot="1" x14ac:dyDescent="0.3">
      <c r="A70" s="149" t="s">
        <v>2</v>
      </c>
      <c r="B70" s="174">
        <f t="shared" si="39"/>
        <v>43716</v>
      </c>
      <c r="C70" s="195"/>
      <c r="D70" s="227"/>
      <c r="E70" s="227"/>
      <c r="F70" s="227"/>
      <c r="G70" s="227"/>
      <c r="H70" s="227"/>
      <c r="I70" s="478"/>
      <c r="J70" s="478"/>
      <c r="K70" s="227"/>
      <c r="L70" s="248"/>
      <c r="M70" s="483"/>
      <c r="N70" s="266"/>
      <c r="O70" s="224"/>
      <c r="P70" s="224"/>
      <c r="Q70" s="224"/>
      <c r="R70" s="246"/>
      <c r="S70" s="483"/>
      <c r="T70" s="266"/>
      <c r="U70" s="224"/>
      <c r="V70" s="224"/>
      <c r="W70" s="224"/>
      <c r="X70" s="224"/>
      <c r="Y70" s="246"/>
      <c r="Z70" s="247"/>
      <c r="AA70" s="256"/>
      <c r="AB70" s="223"/>
      <c r="AC70" s="486"/>
      <c r="AD70" s="266"/>
      <c r="AE70" s="224"/>
      <c r="AF70" s="224"/>
      <c r="AG70" s="224"/>
      <c r="AH70" s="314"/>
      <c r="AI70" s="314"/>
      <c r="AJ70" s="194">
        <f t="shared" si="38"/>
        <v>0</v>
      </c>
    </row>
    <row r="71" spans="1:36" ht="15.75" hidden="1" thickBot="1" x14ac:dyDescent="0.3">
      <c r="A71" s="158" t="s">
        <v>21</v>
      </c>
      <c r="B71" s="681" t="s">
        <v>32</v>
      </c>
      <c r="C71" s="196">
        <f t="shared" ref="C71:H71" si="40">SUM(C64:C70)</f>
        <v>0</v>
      </c>
      <c r="D71" s="228">
        <f t="shared" si="40"/>
        <v>0</v>
      </c>
      <c r="E71" s="228">
        <f t="shared" si="40"/>
        <v>0</v>
      </c>
      <c r="F71" s="228">
        <f t="shared" si="40"/>
        <v>0</v>
      </c>
      <c r="G71" s="228">
        <f t="shared" si="40"/>
        <v>0</v>
      </c>
      <c r="H71" s="228">
        <f t="shared" si="40"/>
        <v>0</v>
      </c>
      <c r="I71" s="479"/>
      <c r="J71" s="479"/>
      <c r="K71" s="228">
        <f>SUM(K64:K70)</f>
        <v>0</v>
      </c>
      <c r="L71" s="252">
        <f>SUM(L64:L70)</f>
        <v>0</v>
      </c>
      <c r="M71" s="418"/>
      <c r="N71" s="263">
        <f>SUM(N64:N70)</f>
        <v>0</v>
      </c>
      <c r="O71" s="243">
        <f>SUM(O64:O70)</f>
        <v>0</v>
      </c>
      <c r="P71" s="243">
        <f>SUM(P64:P70)</f>
        <v>0</v>
      </c>
      <c r="Q71" s="243">
        <f>SUM(Q64:Q70)</f>
        <v>0</v>
      </c>
      <c r="R71" s="243">
        <f>SUM(R64:R70)</f>
        <v>0</v>
      </c>
      <c r="S71" s="484"/>
      <c r="T71" s="263">
        <f>SUM(T64:T70)</f>
        <v>0</v>
      </c>
      <c r="U71" s="243">
        <f>SUM(U64:U70)</f>
        <v>0</v>
      </c>
      <c r="V71" s="243">
        <f>SUM(V64:V70)</f>
        <v>0</v>
      </c>
      <c r="W71" s="243"/>
      <c r="X71" s="243">
        <f>SUM(X64:X70)</f>
        <v>0</v>
      </c>
      <c r="Y71" s="243"/>
      <c r="Z71" s="243">
        <f>SUM(Z64:Z70)</f>
        <v>0</v>
      </c>
      <c r="AA71" s="263">
        <f>SUM(AA64:AA70)</f>
        <v>0</v>
      </c>
      <c r="AB71" s="243">
        <f>SUM(AB64:AB70)</f>
        <v>0</v>
      </c>
      <c r="AC71" s="484"/>
      <c r="AD71" s="263">
        <f>SUM(AD64:AD70)</f>
        <v>0</v>
      </c>
      <c r="AE71" s="243">
        <f>SUM(AE64:AE70)</f>
        <v>0</v>
      </c>
      <c r="AF71" s="243">
        <f>SUM(AF64:AF70)</f>
        <v>0</v>
      </c>
      <c r="AG71" s="243">
        <f>SUM(AG64:AG70)</f>
        <v>0</v>
      </c>
      <c r="AH71" s="418"/>
      <c r="AI71" s="418"/>
      <c r="AJ71" s="239">
        <f>SUM(AJ64:AJ70)</f>
        <v>0</v>
      </c>
    </row>
    <row r="72" spans="1:36" ht="15.75" hidden="1" thickBot="1" x14ac:dyDescent="0.3">
      <c r="A72" s="109" t="s">
        <v>23</v>
      </c>
      <c r="B72" s="682"/>
      <c r="C72" s="197" t="e">
        <f t="shared" ref="C72:H72" si="41">AVERAGE(C64:C70)</f>
        <v>#DIV/0!</v>
      </c>
      <c r="D72" s="230" t="e">
        <f t="shared" si="41"/>
        <v>#DIV/0!</v>
      </c>
      <c r="E72" s="229" t="e">
        <f t="shared" si="41"/>
        <v>#DIV/0!</v>
      </c>
      <c r="F72" s="229" t="e">
        <f t="shared" si="41"/>
        <v>#DIV/0!</v>
      </c>
      <c r="G72" s="229" t="e">
        <f t="shared" si="41"/>
        <v>#DIV/0!</v>
      </c>
      <c r="H72" s="229" t="e">
        <f t="shared" si="41"/>
        <v>#DIV/0!</v>
      </c>
      <c r="I72" s="480"/>
      <c r="J72" s="480"/>
      <c r="K72" s="229" t="e">
        <f>AVERAGE(K64:K70)</f>
        <v>#DIV/0!</v>
      </c>
      <c r="L72" s="253" t="e">
        <f>AVERAGE(L64:L70)</f>
        <v>#DIV/0!</v>
      </c>
      <c r="M72" s="419"/>
      <c r="N72" s="263" t="e">
        <f>AVERAGE(N64:N70)</f>
        <v>#DIV/0!</v>
      </c>
      <c r="O72" s="243" t="e">
        <f>AVERAGE(O64:O70)</f>
        <v>#DIV/0!</v>
      </c>
      <c r="P72" s="243" t="e">
        <f>AVERAGE(P64:P70)</f>
        <v>#DIV/0!</v>
      </c>
      <c r="Q72" s="243" t="e">
        <f>AVERAGE(Q64:Q70)</f>
        <v>#DIV/0!</v>
      </c>
      <c r="R72" s="243" t="e">
        <f>AVERAGE(R64:R70)</f>
        <v>#DIV/0!</v>
      </c>
      <c r="S72" s="484"/>
      <c r="T72" s="263" t="e">
        <f>AVERAGE(T64:T70)</f>
        <v>#DIV/0!</v>
      </c>
      <c r="U72" s="243" t="e">
        <f>AVERAGE(U64:U70)</f>
        <v>#DIV/0!</v>
      </c>
      <c r="V72" s="243" t="e">
        <f>AVERAGE(V64:V70)</f>
        <v>#DIV/0!</v>
      </c>
      <c r="W72" s="243"/>
      <c r="X72" s="243" t="e">
        <f>AVERAGE(X64:X70)</f>
        <v>#DIV/0!</v>
      </c>
      <c r="Y72" s="243"/>
      <c r="Z72" s="243" t="e">
        <f>AVERAGE(Z64:Z70)</f>
        <v>#DIV/0!</v>
      </c>
      <c r="AA72" s="263" t="e">
        <f>AVERAGE(AA64:AA70)</f>
        <v>#DIV/0!</v>
      </c>
      <c r="AB72" s="243" t="e">
        <f>AVERAGE(AB64:AB70)</f>
        <v>#DIV/0!</v>
      </c>
      <c r="AC72" s="484"/>
      <c r="AD72" s="263" t="e">
        <f>AVERAGE(AD64:AD70)</f>
        <v>#DIV/0!</v>
      </c>
      <c r="AE72" s="243" t="e">
        <f>AVERAGE(AE64:AE70)</f>
        <v>#DIV/0!</v>
      </c>
      <c r="AF72" s="243" t="e">
        <f>AVERAGE(AF64:AF70)</f>
        <v>#DIV/0!</v>
      </c>
      <c r="AG72" s="243" t="e">
        <f>AVERAGE(AG64:AG70)</f>
        <v>#DIV/0!</v>
      </c>
      <c r="AH72" s="419"/>
      <c r="AI72" s="419"/>
      <c r="AJ72" s="240">
        <f>AVERAGE(AJ64:AJ70)</f>
        <v>0</v>
      </c>
    </row>
    <row r="73" spans="1:36" ht="15.75" hidden="1" thickBot="1" x14ac:dyDescent="0.3">
      <c r="A73" s="26" t="s">
        <v>20</v>
      </c>
      <c r="B73" s="682"/>
      <c r="C73" s="198">
        <f t="shared" ref="C73:H73" si="42">SUM(C64:C68)</f>
        <v>0</v>
      </c>
      <c r="D73" s="231">
        <f t="shared" si="42"/>
        <v>0</v>
      </c>
      <c r="E73" s="231">
        <f t="shared" si="42"/>
        <v>0</v>
      </c>
      <c r="F73" s="231">
        <f t="shared" si="42"/>
        <v>0</v>
      </c>
      <c r="G73" s="231">
        <f t="shared" si="42"/>
        <v>0</v>
      </c>
      <c r="H73" s="231">
        <f t="shared" si="42"/>
        <v>0</v>
      </c>
      <c r="I73" s="481"/>
      <c r="J73" s="481"/>
      <c r="K73" s="231">
        <f>SUM(K64:K68)</f>
        <v>0</v>
      </c>
      <c r="L73" s="254">
        <f>SUM(L64:L68)</f>
        <v>0</v>
      </c>
      <c r="M73" s="420"/>
      <c r="N73" s="264">
        <f>SUM(N64:N68)</f>
        <v>0</v>
      </c>
      <c r="O73" s="244">
        <f>SUM(O64:O68)</f>
        <v>0</v>
      </c>
      <c r="P73" s="244">
        <f>SUM(P64:P68)</f>
        <v>0</v>
      </c>
      <c r="Q73" s="244">
        <f>SUM(Q64:Q68)</f>
        <v>0</v>
      </c>
      <c r="R73" s="244">
        <f>SUM(R64:R68)</f>
        <v>0</v>
      </c>
      <c r="S73" s="485"/>
      <c r="T73" s="264">
        <f>SUM(T64:T68)</f>
        <v>0</v>
      </c>
      <c r="U73" s="244">
        <f>SUM(U64:U68)</f>
        <v>0</v>
      </c>
      <c r="V73" s="244">
        <f>SUM(V64:V68)</f>
        <v>0</v>
      </c>
      <c r="W73" s="244"/>
      <c r="X73" s="244">
        <f>SUM(X64:X68)</f>
        <v>0</v>
      </c>
      <c r="Y73" s="244"/>
      <c r="Z73" s="244">
        <f>SUM(Z64:Z68)</f>
        <v>0</v>
      </c>
      <c r="AA73" s="264">
        <f>SUM(AA64:AA68)</f>
        <v>0</v>
      </c>
      <c r="AB73" s="244">
        <f>SUM(AB64:AB68)</f>
        <v>0</v>
      </c>
      <c r="AC73" s="485"/>
      <c r="AD73" s="264">
        <f>SUM(AD64:AD68)</f>
        <v>0</v>
      </c>
      <c r="AE73" s="244">
        <f>SUM(AE64:AE68)</f>
        <v>0</v>
      </c>
      <c r="AF73" s="244">
        <f>SUM(AF64:AF68)</f>
        <v>0</v>
      </c>
      <c r="AG73" s="244">
        <f>SUM(AG64:AG68)</f>
        <v>0</v>
      </c>
      <c r="AH73" s="420"/>
      <c r="AI73" s="420"/>
      <c r="AJ73" s="241">
        <f>SUM(AJ64:AJ68)</f>
        <v>0</v>
      </c>
    </row>
    <row r="74" spans="1:36" ht="15.75" hidden="1" thickBot="1" x14ac:dyDescent="0.3">
      <c r="A74" s="26" t="s">
        <v>22</v>
      </c>
      <c r="B74" s="683"/>
      <c r="C74" s="199" t="e">
        <f t="shared" ref="C74:H74" si="43">AVERAGE(C64:C68)</f>
        <v>#DIV/0!</v>
      </c>
      <c r="D74" s="232" t="e">
        <f t="shared" si="43"/>
        <v>#DIV/0!</v>
      </c>
      <c r="E74" s="232" t="e">
        <f t="shared" si="43"/>
        <v>#DIV/0!</v>
      </c>
      <c r="F74" s="232" t="e">
        <f t="shared" si="43"/>
        <v>#DIV/0!</v>
      </c>
      <c r="G74" s="232" t="e">
        <f t="shared" si="43"/>
        <v>#DIV/0!</v>
      </c>
      <c r="H74" s="232" t="e">
        <f t="shared" si="43"/>
        <v>#DIV/0!</v>
      </c>
      <c r="I74" s="482"/>
      <c r="J74" s="482"/>
      <c r="K74" s="232" t="e">
        <f>AVERAGE(K64:K68)</f>
        <v>#DIV/0!</v>
      </c>
      <c r="L74" s="255" t="e">
        <f>AVERAGE(L64:L68)</f>
        <v>#DIV/0!</v>
      </c>
      <c r="M74" s="421"/>
      <c r="N74" s="264" t="e">
        <f>AVERAGE(N64:N68)</f>
        <v>#DIV/0!</v>
      </c>
      <c r="O74" s="244" t="e">
        <f>AVERAGE(O64:O68)</f>
        <v>#DIV/0!</v>
      </c>
      <c r="P74" s="244" t="e">
        <f>AVERAGE(P64:P68)</f>
        <v>#DIV/0!</v>
      </c>
      <c r="Q74" s="244" t="e">
        <f>AVERAGE(Q64:Q68)</f>
        <v>#DIV/0!</v>
      </c>
      <c r="R74" s="244" t="e">
        <f>AVERAGE(R64:R68)</f>
        <v>#DIV/0!</v>
      </c>
      <c r="S74" s="485"/>
      <c r="T74" s="264" t="e">
        <f>AVERAGE(T64:T68)</f>
        <v>#DIV/0!</v>
      </c>
      <c r="U74" s="244" t="e">
        <f>AVERAGE(U64:U68)</f>
        <v>#DIV/0!</v>
      </c>
      <c r="V74" s="244" t="e">
        <f>AVERAGE(V64:V68)</f>
        <v>#DIV/0!</v>
      </c>
      <c r="W74" s="244"/>
      <c r="X74" s="244" t="e">
        <f>AVERAGE(X64:X68)</f>
        <v>#DIV/0!</v>
      </c>
      <c r="Y74" s="244"/>
      <c r="Z74" s="244" t="e">
        <f>AVERAGE(Z64:Z68)</f>
        <v>#DIV/0!</v>
      </c>
      <c r="AA74" s="264" t="e">
        <f>AVERAGE(AA64:AA68)</f>
        <v>#DIV/0!</v>
      </c>
      <c r="AB74" s="244" t="e">
        <f>AVERAGE(AB64:AB68)</f>
        <v>#DIV/0!</v>
      </c>
      <c r="AC74" s="485"/>
      <c r="AD74" s="264" t="e">
        <f>AVERAGE(AD64:AD68)</f>
        <v>#DIV/0!</v>
      </c>
      <c r="AE74" s="244" t="e">
        <f>AVERAGE(AE64:AE68)</f>
        <v>#DIV/0!</v>
      </c>
      <c r="AF74" s="244" t="e">
        <f>AVERAGE(AF64:AF68)</f>
        <v>#DIV/0!</v>
      </c>
      <c r="AG74" s="244" t="e">
        <f>AVERAGE(AG64:AG68)</f>
        <v>#DIV/0!</v>
      </c>
      <c r="AH74" s="421"/>
      <c r="AI74" s="421"/>
      <c r="AJ74" s="242">
        <f>AVERAGE(AJ64:AJ68)</f>
        <v>0</v>
      </c>
    </row>
    <row r="75" spans="1:36" x14ac:dyDescent="0.25">
      <c r="A75" s="4"/>
      <c r="B75" s="131"/>
      <c r="C75" s="131"/>
      <c r="D75" s="5"/>
      <c r="E75" s="5"/>
      <c r="F75" s="5"/>
      <c r="G75" s="5"/>
      <c r="H75" s="5"/>
      <c r="I75" s="5"/>
      <c r="J75" s="5"/>
      <c r="K75" s="5"/>
      <c r="L75" s="5"/>
      <c r="M75" s="5"/>
      <c r="N75" s="236"/>
      <c r="O75" s="5"/>
      <c r="P75" s="5"/>
      <c r="Q75" s="5"/>
      <c r="R75" s="5"/>
      <c r="S75" s="5"/>
      <c r="T75" s="236"/>
      <c r="U75" s="5"/>
      <c r="V75" s="5"/>
      <c r="W75" s="5"/>
      <c r="X75" s="5"/>
      <c r="Y75" s="5"/>
      <c r="AC75" s="5"/>
    </row>
    <row r="76" spans="1:36" ht="44.25" customHeight="1" x14ac:dyDescent="0.25">
      <c r="A76" s="4"/>
      <c r="B76" s="187"/>
      <c r="C76" s="39" t="s">
        <v>10</v>
      </c>
      <c r="D76" s="39" t="s">
        <v>14</v>
      </c>
      <c r="E76" s="39" t="s">
        <v>62</v>
      </c>
      <c r="F76" s="39" t="s">
        <v>64</v>
      </c>
      <c r="G76" s="39" t="s">
        <v>12</v>
      </c>
      <c r="H76" s="39" t="s">
        <v>99</v>
      </c>
      <c r="I76" s="39" t="s">
        <v>63</v>
      </c>
      <c r="J76" s="39" t="s">
        <v>11</v>
      </c>
      <c r="K76" s="39" t="s">
        <v>109</v>
      </c>
      <c r="L76" s="39" t="s">
        <v>70</v>
      </c>
      <c r="M76" s="234" t="s">
        <v>117</v>
      </c>
      <c r="N76" s="234" t="s">
        <v>76</v>
      </c>
      <c r="O76" s="234" t="s">
        <v>75</v>
      </c>
      <c r="P76" s="39" t="s">
        <v>106</v>
      </c>
      <c r="Q76" s="39" t="s">
        <v>78</v>
      </c>
      <c r="R76" s="39" t="s">
        <v>77</v>
      </c>
      <c r="S76" s="39" t="s">
        <v>85</v>
      </c>
      <c r="T76" s="39" t="s">
        <v>86</v>
      </c>
      <c r="U76" s="39" t="s">
        <v>84</v>
      </c>
      <c r="V76" s="39" t="s">
        <v>83</v>
      </c>
      <c r="W76" s="39" t="s">
        <v>31</v>
      </c>
      <c r="X76" s="155"/>
      <c r="Y76" s="155"/>
      <c r="AC76" s="155"/>
      <c r="AD76" s="155"/>
      <c r="AE76" s="1"/>
    </row>
    <row r="77" spans="1:36" ht="25.5" x14ac:dyDescent="0.25">
      <c r="B77" s="42" t="s">
        <v>118</v>
      </c>
      <c r="C77" s="189">
        <f>SUM(C6,C17,J6,J17,M6,M17,S6,S17,Y6,Y17,AC6,AC17,AH6,AH17,C28,J28,M28,S28,Y28,AC28,AH28,C39,J39,M39,S39,Y39,AC39,AH39,C50,J50,M50,S50,Y50,AC50,AH50,,C60,J60,M60,S60,Y60,AC60,AH60,)</f>
        <v>80495</v>
      </c>
      <c r="D77" s="189">
        <f>SUM(I6,I17,U6,U17,Z6,Z17,AF6,AF17,I28,U28,Z28,AF28,,I39,U39,Z39,AF39,I50,U50,Z50,AF50,I60,U60,Z60,AF60)</f>
        <v>60170</v>
      </c>
      <c r="E77" s="189">
        <f>SUM(D6,D17,D28,D39,D50,N17,N28,N39,N50,N6,D60,N60)</f>
        <v>37096</v>
      </c>
      <c r="F77" s="189">
        <f>SUM(V6,V17,V28,V39,V50,AG6,AG17,AG28,AG39,AG50,V60,AG60)</f>
        <v>19636</v>
      </c>
      <c r="G77" s="189">
        <f>SUM(G6,G17,G28,G39,G50,G60)</f>
        <v>17440</v>
      </c>
      <c r="H77" s="189">
        <f>SUM(H6,H17,H28,H39,H50,H60)</f>
        <v>9537</v>
      </c>
      <c r="I77" s="189">
        <f>SUM(E6,E17,E28,E39,E50,E60)</f>
        <v>14301</v>
      </c>
      <c r="J77" s="189">
        <f>SUM(F6,F17,F28,F39,F50,F60)</f>
        <v>33080</v>
      </c>
      <c r="K77" s="189">
        <f>SUM(K6,K17,K28,K39,K50,Q6,Q17,Q28,Q39,Q50,K60,Q60)</f>
        <v>6122</v>
      </c>
      <c r="L77" s="189">
        <f>SUM(L6,L17,L28,L39,L50,L60)</f>
        <v>14384</v>
      </c>
      <c r="M77" s="235">
        <f>SUM(O6,O17,O28,O39,O50,O60)</f>
        <v>3267</v>
      </c>
      <c r="N77" s="235">
        <f>SUM(P6,P17,P28,P39,P50,P60)</f>
        <v>5357</v>
      </c>
      <c r="O77" s="189">
        <f>SUM(R6,R17,R28,R39,R50,R60)</f>
        <v>4403</v>
      </c>
      <c r="P77" s="189">
        <f>SUM(T6,T17,T28,T39,T50,T60)</f>
        <v>7126</v>
      </c>
      <c r="Q77" s="189">
        <f>SUM(W6,W17,W28,W39,W50,W60)</f>
        <v>9219</v>
      </c>
      <c r="R77" s="189">
        <f>SUM(X6,X17,X28,X39,X50,X60)</f>
        <v>12224</v>
      </c>
      <c r="S77" s="189">
        <f>SUM(AA6,AA17,AA28,AA39,AA50,AA60)</f>
        <v>8710</v>
      </c>
      <c r="T77" s="189">
        <f>SUM(AB6,AB17,AB28,AB39,AB50,AB60)</f>
        <v>15013</v>
      </c>
      <c r="U77" s="189">
        <f>SUM(AD6,AD17,AD28,AD39,AD50,AD60)</f>
        <v>1496</v>
      </c>
      <c r="V77" s="189">
        <f>SUM(AE6,AE17,AE28,AE39,AE50,AE60)</f>
        <v>4986</v>
      </c>
      <c r="W77" s="189">
        <f>SUM(AI6,AI17,AI28,AI39,AI50,AI60)</f>
        <v>0</v>
      </c>
      <c r="X77" s="200"/>
      <c r="Y77" s="200"/>
      <c r="AC77" s="200"/>
      <c r="AD77" s="200"/>
      <c r="AE77" s="1"/>
    </row>
    <row r="78" spans="1:36" ht="25.5" x14ac:dyDescent="0.25">
      <c r="B78" s="42" t="s">
        <v>30</v>
      </c>
      <c r="C78" s="189">
        <f>SUM(C19,J19,M19,S19,,Y19,AC19,AH19,C30,J30,M30,S30,Y30,AC30,AH30,C41,J41,M41,S41,Y41,AC41,AH41,C52,J52,M52,S52,Y52,AC52,AH52)</f>
        <v>50310</v>
      </c>
      <c r="D78" s="189">
        <f>SUM(I19,U19,Z19,AF19,I30,U30,,Z30,AF30,I41,U41,Z41,AF41,,I52,U52,Z52,AF52)</f>
        <v>38788</v>
      </c>
      <c r="E78" s="189">
        <f>SUM(D19,D30,D41,D52,N19,N30,N41,N52,)</f>
        <v>17212</v>
      </c>
      <c r="F78" s="189">
        <f>SUM(V19,V30,V41,V52,AG19,AG30,AG41,AG52)</f>
        <v>12304</v>
      </c>
      <c r="G78" s="189">
        <f>SUM(G19,G30,G41,G52)</f>
        <v>11803</v>
      </c>
      <c r="H78" s="189">
        <f>SUM(H19,H30,H41,H52,)</f>
        <v>5082</v>
      </c>
      <c r="I78" s="189">
        <f>SUM(E19,E30,E41,E52)</f>
        <v>8966</v>
      </c>
      <c r="J78" s="189">
        <f>SUM(F19,F30,F41,F52,)</f>
        <v>20006</v>
      </c>
      <c r="K78" s="189">
        <f>SUM(K19,K30,K41,K52,Q19,Q30,Q41,Q52)</f>
        <v>4089</v>
      </c>
      <c r="L78" s="189">
        <f>SUM(L19,L30,L41,L52)</f>
        <v>8692</v>
      </c>
      <c r="M78" s="189">
        <f>SUM(O19,O30,O41,O52)</f>
        <v>2099</v>
      </c>
      <c r="N78" s="189">
        <f>SUM(P19,P30,P41,P52)</f>
        <v>2884</v>
      </c>
      <c r="O78" s="189">
        <f>SUM(R19,R30,R41,R52)</f>
        <v>2341</v>
      </c>
      <c r="P78" s="189">
        <f>SUM(T19,T30,T41,T52)</f>
        <v>5052</v>
      </c>
      <c r="Q78" s="189">
        <f>SUM(W19,W30,W41,W52)</f>
        <v>5357</v>
      </c>
      <c r="R78" s="189">
        <f>SUM(X19,X30,X41,X52)</f>
        <v>7608</v>
      </c>
      <c r="S78" s="189">
        <f>SUM(AA19,AA30,AA41,AA52)</f>
        <v>5631</v>
      </c>
      <c r="T78" s="189">
        <f>SUM(AB19,AB30,AB41,AB52,)</f>
        <v>10177</v>
      </c>
      <c r="U78" s="189">
        <f>SUM(AD19,AD30,AD41,AD52)</f>
        <v>932</v>
      </c>
      <c r="V78" s="189">
        <f>SUM(AE19,AE30,AE41,AE52,)</f>
        <v>3504</v>
      </c>
      <c r="W78" s="189">
        <f>SUM(AI19,AI30,AI41,AI52)</f>
        <v>0</v>
      </c>
      <c r="X78" s="233"/>
      <c r="Y78" s="233"/>
      <c r="AC78" s="233"/>
      <c r="AD78" s="233"/>
      <c r="AE78" s="1"/>
    </row>
    <row r="79" spans="1:36" x14ac:dyDescent="0.25">
      <c r="B79" s="1"/>
      <c r="C79" s="1"/>
      <c r="E79" s="132"/>
    </row>
    <row r="80" spans="1:36" x14ac:dyDescent="0.25">
      <c r="B80" s="1"/>
      <c r="C80" s="1"/>
      <c r="E80" s="132"/>
      <c r="T80" s="268"/>
    </row>
    <row r="81" spans="1:31" x14ac:dyDescent="0.25">
      <c r="B81" s="1"/>
      <c r="C81" s="674" t="s">
        <v>72</v>
      </c>
      <c r="D81" s="675"/>
      <c r="E81" s="676"/>
      <c r="AD81" s="1"/>
      <c r="AE81" s="1"/>
    </row>
    <row r="82" spans="1:31" x14ac:dyDescent="0.25">
      <c r="C82" s="677" t="s">
        <v>19</v>
      </c>
      <c r="D82" s="678"/>
      <c r="E82" s="107">
        <f>SUM(AJ6,AJ17,AJ28,AJ39,AJ50,AJ60)</f>
        <v>364062</v>
      </c>
      <c r="Q82" s="269"/>
      <c r="R82" s="269"/>
      <c r="S82" s="269"/>
      <c r="T82" s="269"/>
      <c r="U82" s="269"/>
    </row>
    <row r="83" spans="1:31" x14ac:dyDescent="0.25">
      <c r="C83" s="677" t="s">
        <v>30</v>
      </c>
      <c r="D83" s="678"/>
      <c r="E83" s="106">
        <f>SUM(,AJ19, AJ30, AJ41, AJ52, AJ62)</f>
        <v>275874</v>
      </c>
      <c r="N83" s="268"/>
    </row>
    <row r="84" spans="1:31" x14ac:dyDescent="0.25">
      <c r="C84" s="677" t="s">
        <v>119</v>
      </c>
      <c r="D84" s="678"/>
      <c r="E84" s="107">
        <f>AVERAGE(AJ7,AJ61, AJ51, AJ40, AJ29, AJ18)</f>
        <v>9927.2301587301572</v>
      </c>
    </row>
    <row r="85" spans="1:31" x14ac:dyDescent="0.25">
      <c r="A85"/>
      <c r="B85"/>
      <c r="C85" s="677" t="s">
        <v>22</v>
      </c>
      <c r="D85" s="678"/>
      <c r="E85" s="106">
        <f>AVERAGE(AJ20, AJ31, AJ42, AJ53, AI62)</f>
        <v>8913.48</v>
      </c>
      <c r="F85"/>
      <c r="G85"/>
      <c r="H85"/>
      <c r="I85"/>
      <c r="J85"/>
      <c r="K85"/>
      <c r="L85" s="269"/>
      <c r="M85" s="269"/>
      <c r="N85" s="269"/>
      <c r="O85"/>
      <c r="P85"/>
      <c r="V85" s="269"/>
      <c r="W85" s="269"/>
      <c r="X85" s="269"/>
      <c r="Y85" s="269"/>
      <c r="AC85" s="269"/>
    </row>
  </sheetData>
  <mergeCells count="55">
    <mergeCell ref="S1:X2"/>
    <mergeCell ref="R3:R4"/>
    <mergeCell ref="Q3:Q4"/>
    <mergeCell ref="P3:P4"/>
    <mergeCell ref="O3:O4"/>
    <mergeCell ref="X3:X4"/>
    <mergeCell ref="W3:W4"/>
    <mergeCell ref="V3:V4"/>
    <mergeCell ref="U3:U4"/>
    <mergeCell ref="S3:S4"/>
    <mergeCell ref="T3:T4"/>
    <mergeCell ref="N3:N4"/>
    <mergeCell ref="M3:M4"/>
    <mergeCell ref="M1:R2"/>
    <mergeCell ref="B17:B20"/>
    <mergeCell ref="J3:J4"/>
    <mergeCell ref="B6:B9"/>
    <mergeCell ref="B28:B31"/>
    <mergeCell ref="B39:B42"/>
    <mergeCell ref="B50:B53"/>
    <mergeCell ref="B60:B63"/>
    <mergeCell ref="B71:B74"/>
    <mergeCell ref="C81:E81"/>
    <mergeCell ref="C82:D82"/>
    <mergeCell ref="C83:D83"/>
    <mergeCell ref="C84:D84"/>
    <mergeCell ref="C85:D85"/>
    <mergeCell ref="A1:A4"/>
    <mergeCell ref="B1:B4"/>
    <mergeCell ref="L3:L4"/>
    <mergeCell ref="K3:K4"/>
    <mergeCell ref="C3:C4"/>
    <mergeCell ref="I3:I4"/>
    <mergeCell ref="D3:D4"/>
    <mergeCell ref="E3:E4"/>
    <mergeCell ref="F3:F4"/>
    <mergeCell ref="G3:G4"/>
    <mergeCell ref="H3:H4"/>
    <mergeCell ref="J1:L2"/>
    <mergeCell ref="C1:I2"/>
    <mergeCell ref="AC1:AG2"/>
    <mergeCell ref="Y3:Y4"/>
    <mergeCell ref="AJ1:AJ4"/>
    <mergeCell ref="AB3:AB4"/>
    <mergeCell ref="AA3:AA4"/>
    <mergeCell ref="Z3:Z4"/>
    <mergeCell ref="AH1:AI2"/>
    <mergeCell ref="AH3:AH4"/>
    <mergeCell ref="AI3:AI4"/>
    <mergeCell ref="Y1:AB2"/>
    <mergeCell ref="AG3:AG4"/>
    <mergeCell ref="AF3:AF4"/>
    <mergeCell ref="AE3:AE4"/>
    <mergeCell ref="AD3:AD4"/>
    <mergeCell ref="AC3:AC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FD81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50" sqref="N50"/>
    </sheetView>
  </sheetViews>
  <sheetFormatPr defaultRowHeight="15" outlineLevelRow="1" x14ac:dyDescent="0.25"/>
  <cols>
    <col min="1" max="1" width="18.7109375" style="1" bestFit="1" customWidth="1"/>
    <col min="2" max="2" width="10.7109375" style="132" bestFit="1" customWidth="1"/>
    <col min="3" max="10" width="15.7109375" style="11" customWidth="1"/>
    <col min="11" max="11" width="10.7109375" style="11" customWidth="1"/>
    <col min="12" max="12" width="16.28515625" style="11" bestFit="1" customWidth="1"/>
    <col min="13" max="16384" width="9.140625" style="11"/>
  </cols>
  <sheetData>
    <row r="1" spans="1:21 16384:16384" ht="15" customHeight="1" x14ac:dyDescent="0.25">
      <c r="A1" s="23"/>
      <c r="B1" s="168"/>
      <c r="C1" s="701" t="s">
        <v>8</v>
      </c>
      <c r="D1" s="702"/>
      <c r="E1" s="702"/>
      <c r="F1" s="702"/>
      <c r="G1" s="703"/>
      <c r="H1" s="707" t="s">
        <v>80</v>
      </c>
      <c r="I1" s="701" t="s">
        <v>10</v>
      </c>
      <c r="J1" s="702"/>
      <c r="K1" s="699" t="s">
        <v>19</v>
      </c>
    </row>
    <row r="2" spans="1:21 16384:16384" ht="15" customHeight="1" thickBot="1" x14ac:dyDescent="0.3">
      <c r="A2" s="24"/>
      <c r="B2" s="169"/>
      <c r="C2" s="704"/>
      <c r="D2" s="705"/>
      <c r="E2" s="705"/>
      <c r="F2" s="705"/>
      <c r="G2" s="706"/>
      <c r="H2" s="708"/>
      <c r="I2" s="704"/>
      <c r="J2" s="705"/>
      <c r="K2" s="700"/>
    </row>
    <row r="3" spans="1:21 16384:16384" ht="14.25" customHeight="1" x14ac:dyDescent="0.25">
      <c r="A3" s="662" t="s">
        <v>52</v>
      </c>
      <c r="B3" s="687" t="s">
        <v>53</v>
      </c>
      <c r="C3" s="662" t="s">
        <v>34</v>
      </c>
      <c r="D3" s="692" t="s">
        <v>35</v>
      </c>
      <c r="E3" s="663" t="s">
        <v>36</v>
      </c>
      <c r="F3" s="692" t="s">
        <v>37</v>
      </c>
      <c r="G3" s="664" t="s">
        <v>90</v>
      </c>
      <c r="H3" s="655" t="s">
        <v>38</v>
      </c>
      <c r="I3" s="662" t="s">
        <v>39</v>
      </c>
      <c r="J3" s="697" t="s">
        <v>40</v>
      </c>
      <c r="K3" s="700"/>
    </row>
    <row r="4" spans="1:21 16384:16384" ht="15" customHeight="1" thickBot="1" x14ac:dyDescent="0.3">
      <c r="A4" s="686"/>
      <c r="B4" s="688"/>
      <c r="C4" s="686"/>
      <c r="D4" s="693"/>
      <c r="E4" s="694"/>
      <c r="F4" s="693"/>
      <c r="G4" s="709"/>
      <c r="H4" s="657"/>
      <c r="I4" s="686"/>
      <c r="J4" s="698"/>
      <c r="K4" s="700"/>
    </row>
    <row r="5" spans="1:21 16384:16384" ht="15" hidden="1" customHeight="1" thickBot="1" x14ac:dyDescent="0.3">
      <c r="A5" s="508" t="s">
        <v>2</v>
      </c>
      <c r="B5" s="509">
        <v>43709</v>
      </c>
      <c r="C5" s="516"/>
      <c r="D5" s="517"/>
      <c r="E5" s="518"/>
      <c r="F5" s="517"/>
      <c r="G5" s="519"/>
      <c r="H5" s="520"/>
      <c r="I5" s="516"/>
      <c r="J5" s="521"/>
      <c r="K5" s="540">
        <f>SUM(C5:J5)</f>
        <v>0</v>
      </c>
      <c r="XFD5" s="151" t="s">
        <v>107</v>
      </c>
    </row>
    <row r="6" spans="1:21 16384:16384" s="47" customFormat="1" ht="13.5" hidden="1" customHeight="1" outlineLevel="1" thickBot="1" x14ac:dyDescent="0.3">
      <c r="A6" s="158" t="s">
        <v>21</v>
      </c>
      <c r="B6" s="695" t="s">
        <v>24</v>
      </c>
      <c r="C6" s="290">
        <f>SUM(C5)</f>
        <v>0</v>
      </c>
      <c r="D6" s="290">
        <f t="shared" ref="D6:J6" si="0">SUM(D5)</f>
        <v>0</v>
      </c>
      <c r="E6" s="290">
        <f t="shared" si="0"/>
        <v>0</v>
      </c>
      <c r="F6" s="290">
        <f t="shared" si="0"/>
        <v>0</v>
      </c>
      <c r="G6" s="290">
        <f t="shared" si="0"/>
        <v>0</v>
      </c>
      <c r="H6" s="290">
        <f t="shared" si="0"/>
        <v>0</v>
      </c>
      <c r="I6" s="290">
        <f t="shared" si="0"/>
        <v>0</v>
      </c>
      <c r="J6" s="290">
        <f t="shared" si="0"/>
        <v>0</v>
      </c>
      <c r="K6" s="367">
        <f>SUM(K5)</f>
        <v>0</v>
      </c>
      <c r="O6" s="355"/>
      <c r="P6" s="355"/>
      <c r="Q6" s="355"/>
      <c r="R6" s="355"/>
      <c r="S6" s="355"/>
    </row>
    <row r="7" spans="1:21 16384:16384" s="47" customFormat="1" ht="15" hidden="1" customHeight="1" outlineLevel="1" thickBot="1" x14ac:dyDescent="0.3">
      <c r="A7" s="109" t="s">
        <v>23</v>
      </c>
      <c r="B7" s="695"/>
      <c r="C7" s="290" t="e">
        <f>AVERAGE(C5)</f>
        <v>#DIV/0!</v>
      </c>
      <c r="D7" s="290" t="e">
        <f t="shared" ref="D7:J7" si="1">AVERAGE(D5)</f>
        <v>#DIV/0!</v>
      </c>
      <c r="E7" s="290" t="e">
        <f t="shared" si="1"/>
        <v>#DIV/0!</v>
      </c>
      <c r="F7" s="290" t="e">
        <f t="shared" si="1"/>
        <v>#DIV/0!</v>
      </c>
      <c r="G7" s="290" t="e">
        <f t="shared" si="1"/>
        <v>#DIV/0!</v>
      </c>
      <c r="H7" s="290" t="e">
        <f t="shared" si="1"/>
        <v>#DIV/0!</v>
      </c>
      <c r="I7" s="290" t="e">
        <f t="shared" si="1"/>
        <v>#DIV/0!</v>
      </c>
      <c r="J7" s="290" t="e">
        <f t="shared" si="1"/>
        <v>#DIV/0!</v>
      </c>
      <c r="K7" s="367">
        <f>AVERAGE(K5)</f>
        <v>0</v>
      </c>
      <c r="O7" s="355"/>
      <c r="P7" s="355"/>
      <c r="Q7" s="355"/>
      <c r="R7" s="355"/>
      <c r="S7" s="355"/>
    </row>
    <row r="8" spans="1:21 16384:16384" s="47" customFormat="1" ht="15" hidden="1" customHeight="1" thickBot="1" x14ac:dyDescent="0.3">
      <c r="A8" s="26" t="s">
        <v>20</v>
      </c>
      <c r="B8" s="695"/>
      <c r="C8" s="292" t="e">
        <f>SUM(#REF!)</f>
        <v>#REF!</v>
      </c>
      <c r="D8" s="288" t="e">
        <f>SUM(#REF!)</f>
        <v>#REF!</v>
      </c>
      <c r="E8" s="288" t="e">
        <f>SUM(#REF!)</f>
        <v>#REF!</v>
      </c>
      <c r="F8" s="288" t="e">
        <f>SUM(#REF!)</f>
        <v>#REF!</v>
      </c>
      <c r="G8" s="293" t="e">
        <f>SUM(#REF!)</f>
        <v>#REF!</v>
      </c>
      <c r="H8" s="368" t="e">
        <f>SUM(#REF!)</f>
        <v>#REF!</v>
      </c>
      <c r="I8" s="292" t="e">
        <f>SUM(#REF!)</f>
        <v>#REF!</v>
      </c>
      <c r="J8" s="293" t="e">
        <f>SUM(#REF!)</f>
        <v>#REF!</v>
      </c>
      <c r="K8" s="368" t="e">
        <f>SUM(#REF!)</f>
        <v>#REF!</v>
      </c>
      <c r="N8" s="355"/>
      <c r="O8" s="355"/>
      <c r="P8" s="355"/>
      <c r="Q8" s="355"/>
      <c r="R8" s="355"/>
      <c r="S8" s="355"/>
      <c r="T8" s="355"/>
    </row>
    <row r="9" spans="1:21 16384:16384" s="47" customFormat="1" ht="15" hidden="1" customHeight="1" thickBot="1" x14ac:dyDescent="0.3">
      <c r="A9" s="26" t="s">
        <v>22</v>
      </c>
      <c r="B9" s="695"/>
      <c r="C9" s="292" t="e">
        <f>AVERAGE(#REF!)</f>
        <v>#REF!</v>
      </c>
      <c r="D9" s="288" t="e">
        <f>AVERAGE(#REF!)</f>
        <v>#REF!</v>
      </c>
      <c r="E9" s="288" t="e">
        <f>AVERAGE(#REF!)</f>
        <v>#REF!</v>
      </c>
      <c r="F9" s="288" t="e">
        <f>AVERAGE(#REF!)</f>
        <v>#REF!</v>
      </c>
      <c r="G9" s="293" t="e">
        <f>AVERAGE(#REF!)</f>
        <v>#REF!</v>
      </c>
      <c r="H9" s="368" t="e">
        <f>AVERAGE(#REF!)</f>
        <v>#REF!</v>
      </c>
      <c r="I9" s="292" t="e">
        <f>AVERAGE(#REF!)</f>
        <v>#REF!</v>
      </c>
      <c r="J9" s="293" t="e">
        <f>AVERAGE(#REF!)</f>
        <v>#REF!</v>
      </c>
      <c r="K9" s="368" t="e">
        <f>AVERAGE(#REF!)</f>
        <v>#REF!</v>
      </c>
      <c r="N9" s="355"/>
      <c r="O9" s="355"/>
      <c r="P9" s="355"/>
      <c r="Q9" s="355"/>
      <c r="R9" s="355"/>
      <c r="S9" s="355"/>
      <c r="T9" s="355"/>
    </row>
    <row r="10" spans="1:21 16384:16384" s="46" customFormat="1" hidden="1" x14ac:dyDescent="0.25">
      <c r="A10" s="25" t="s">
        <v>3</v>
      </c>
      <c r="B10" s="312">
        <v>43738</v>
      </c>
      <c r="C10" s="51"/>
      <c r="D10" s="53"/>
      <c r="E10" s="53"/>
      <c r="F10" s="53"/>
      <c r="G10" s="52"/>
      <c r="H10" s="17"/>
      <c r="I10" s="51"/>
      <c r="J10" s="52"/>
      <c r="K10" s="17">
        <f t="shared" ref="K10:K16" si="2">SUM(C10:J10)</f>
        <v>0</v>
      </c>
      <c r="M10" s="355"/>
      <c r="N10" s="355"/>
      <c r="O10" s="355"/>
      <c r="P10" s="355"/>
      <c r="Q10" s="355"/>
      <c r="R10" s="355"/>
    </row>
    <row r="11" spans="1:21 16384:16384" s="46" customFormat="1" hidden="1" x14ac:dyDescent="0.25">
      <c r="A11" s="25" t="s">
        <v>4</v>
      </c>
      <c r="B11" s="171">
        <v>43767</v>
      </c>
      <c r="C11" s="18"/>
      <c r="D11" s="285"/>
      <c r="E11" s="20"/>
      <c r="F11" s="20"/>
      <c r="G11" s="19"/>
      <c r="H11" s="335"/>
      <c r="I11" s="18"/>
      <c r="J11" s="19"/>
      <c r="K11" s="335">
        <f t="shared" si="2"/>
        <v>0</v>
      </c>
      <c r="M11" s="355"/>
      <c r="N11" s="355"/>
      <c r="O11" s="355"/>
      <c r="P11" s="355"/>
      <c r="Q11" s="355"/>
      <c r="R11" s="355"/>
      <c r="S11" s="355"/>
      <c r="T11" s="355"/>
      <c r="U11" s="355"/>
    </row>
    <row r="12" spans="1:21 16384:16384" s="46" customFormat="1" hidden="1" x14ac:dyDescent="0.25">
      <c r="A12" s="25" t="s">
        <v>5</v>
      </c>
      <c r="B12" s="171">
        <v>43768</v>
      </c>
      <c r="C12" s="18"/>
      <c r="D12" s="20"/>
      <c r="E12" s="20"/>
      <c r="F12" s="20"/>
      <c r="G12" s="19"/>
      <c r="H12" s="335"/>
      <c r="I12" s="18"/>
      <c r="J12" s="19"/>
      <c r="K12" s="335">
        <f t="shared" si="2"/>
        <v>0</v>
      </c>
      <c r="M12" s="355"/>
      <c r="N12" s="355"/>
      <c r="O12" s="355"/>
      <c r="P12" s="355"/>
      <c r="Q12" s="355"/>
      <c r="R12" s="355"/>
      <c r="S12" s="355"/>
      <c r="T12" s="355"/>
      <c r="U12" s="355"/>
    </row>
    <row r="13" spans="1:21 16384:16384" s="46" customFormat="1" hidden="1" x14ac:dyDescent="0.25">
      <c r="A13" s="25" t="s">
        <v>6</v>
      </c>
      <c r="B13" s="171">
        <v>43769</v>
      </c>
      <c r="C13" s="18"/>
      <c r="D13" s="20"/>
      <c r="E13" s="20"/>
      <c r="F13" s="20"/>
      <c r="G13" s="19"/>
      <c r="H13" s="335"/>
      <c r="I13" s="18"/>
      <c r="J13" s="19"/>
      <c r="K13" s="335">
        <f t="shared" si="2"/>
        <v>0</v>
      </c>
      <c r="M13" s="355"/>
      <c r="N13" s="355"/>
      <c r="O13" s="355"/>
      <c r="P13" s="355"/>
      <c r="Q13" s="355"/>
      <c r="R13" s="355"/>
      <c r="S13" s="355"/>
      <c r="T13" s="355"/>
      <c r="U13" s="355"/>
    </row>
    <row r="14" spans="1:21 16384:16384" s="46" customFormat="1" x14ac:dyDescent="0.25">
      <c r="A14" s="25" t="s">
        <v>0</v>
      </c>
      <c r="B14" s="171">
        <v>43770</v>
      </c>
      <c r="C14" s="18">
        <v>7448</v>
      </c>
      <c r="D14" s="20">
        <v>1652</v>
      </c>
      <c r="E14" s="20">
        <v>1090</v>
      </c>
      <c r="F14" s="20">
        <v>2432</v>
      </c>
      <c r="G14" s="19"/>
      <c r="H14" s="335">
        <v>1341</v>
      </c>
      <c r="I14" s="18">
        <v>993</v>
      </c>
      <c r="J14" s="19">
        <v>2024</v>
      </c>
      <c r="K14" s="335">
        <f t="shared" si="2"/>
        <v>16980</v>
      </c>
      <c r="M14" s="355"/>
      <c r="N14" s="355"/>
      <c r="O14" s="355"/>
      <c r="P14" s="355"/>
      <c r="Q14" s="355"/>
      <c r="R14" s="355"/>
      <c r="S14" s="355"/>
      <c r="T14" s="355"/>
      <c r="U14" s="355"/>
    </row>
    <row r="15" spans="1:21 16384:16384" s="46" customFormat="1" outlineLevel="1" x14ac:dyDescent="0.25">
      <c r="A15" s="25" t="s">
        <v>1</v>
      </c>
      <c r="B15" s="171">
        <v>43771</v>
      </c>
      <c r="C15" s="18">
        <v>5757</v>
      </c>
      <c r="D15" s="20"/>
      <c r="E15" s="20"/>
      <c r="F15" s="20"/>
      <c r="G15" s="19">
        <v>2460</v>
      </c>
      <c r="H15" s="335">
        <v>1346</v>
      </c>
      <c r="I15" s="18"/>
      <c r="J15" s="19"/>
      <c r="K15" s="335">
        <f t="shared" si="2"/>
        <v>9563</v>
      </c>
      <c r="M15" s="355"/>
      <c r="N15" s="355"/>
      <c r="O15" s="355"/>
      <c r="P15" s="355"/>
      <c r="Q15" s="355"/>
      <c r="R15" s="355"/>
      <c r="S15" s="355"/>
      <c r="T15" s="355"/>
      <c r="U15" s="355"/>
    </row>
    <row r="16" spans="1:21 16384:16384" s="46" customFormat="1" ht="15.75" outlineLevel="1" thickBot="1" x14ac:dyDescent="0.3">
      <c r="A16" s="25" t="s">
        <v>2</v>
      </c>
      <c r="B16" s="171">
        <v>43772</v>
      </c>
      <c r="C16" s="18">
        <v>4461</v>
      </c>
      <c r="D16" s="285"/>
      <c r="E16" s="20"/>
      <c r="F16" s="20"/>
      <c r="G16" s="19">
        <v>1909</v>
      </c>
      <c r="H16" s="335">
        <v>1057</v>
      </c>
      <c r="I16" s="18"/>
      <c r="J16" s="19"/>
      <c r="K16" s="335">
        <f t="shared" si="2"/>
        <v>7427</v>
      </c>
      <c r="M16" s="355"/>
      <c r="N16" s="355"/>
      <c r="O16" s="355"/>
      <c r="P16" s="355"/>
    </row>
    <row r="17" spans="1:20" s="47" customFormat="1" ht="13.5" customHeight="1" outlineLevel="1" thickBot="1" x14ac:dyDescent="0.3">
      <c r="A17" s="158" t="s">
        <v>21</v>
      </c>
      <c r="B17" s="695" t="s">
        <v>24</v>
      </c>
      <c r="C17" s="290">
        <f t="shared" ref="C17:K17" si="3">SUM(C10:C16)</f>
        <v>17666</v>
      </c>
      <c r="D17" s="287">
        <f t="shared" si="3"/>
        <v>1652</v>
      </c>
      <c r="E17" s="287">
        <f t="shared" si="3"/>
        <v>1090</v>
      </c>
      <c r="F17" s="287">
        <f t="shared" si="3"/>
        <v>2432</v>
      </c>
      <c r="G17" s="291">
        <f t="shared" si="3"/>
        <v>4369</v>
      </c>
      <c r="H17" s="367">
        <f t="shared" si="3"/>
        <v>3744</v>
      </c>
      <c r="I17" s="290">
        <f t="shared" si="3"/>
        <v>993</v>
      </c>
      <c r="J17" s="291">
        <f t="shared" si="3"/>
        <v>2024</v>
      </c>
      <c r="K17" s="367">
        <f t="shared" si="3"/>
        <v>33970</v>
      </c>
      <c r="M17" s="355"/>
      <c r="O17" s="355"/>
      <c r="P17" s="355"/>
      <c r="Q17" s="355"/>
      <c r="R17" s="355"/>
      <c r="S17" s="355"/>
    </row>
    <row r="18" spans="1:20" s="47" customFormat="1" ht="15" customHeight="1" outlineLevel="1" thickBot="1" x14ac:dyDescent="0.3">
      <c r="A18" s="109" t="s">
        <v>23</v>
      </c>
      <c r="B18" s="695"/>
      <c r="C18" s="290">
        <f>AVERAGE(C10:C16)</f>
        <v>5888.666666666667</v>
      </c>
      <c r="D18" s="287">
        <f t="shared" ref="D18:K18" si="4">AVERAGE(D10:D16)</f>
        <v>1652</v>
      </c>
      <c r="E18" s="287">
        <f t="shared" si="4"/>
        <v>1090</v>
      </c>
      <c r="F18" s="287">
        <f t="shared" si="4"/>
        <v>2432</v>
      </c>
      <c r="G18" s="291">
        <f>AVERAGE(G10:G16)</f>
        <v>2184.5</v>
      </c>
      <c r="H18" s="367">
        <f t="shared" si="4"/>
        <v>1248</v>
      </c>
      <c r="I18" s="290">
        <f t="shared" si="4"/>
        <v>993</v>
      </c>
      <c r="J18" s="291">
        <f t="shared" si="4"/>
        <v>2024</v>
      </c>
      <c r="K18" s="367">
        <f t="shared" si="4"/>
        <v>4852.8571428571431</v>
      </c>
      <c r="M18" s="355"/>
      <c r="N18" s="355"/>
      <c r="O18" s="355"/>
      <c r="P18" s="355"/>
      <c r="Q18" s="355"/>
      <c r="R18" s="355"/>
      <c r="S18" s="355"/>
    </row>
    <row r="19" spans="1:20" s="47" customFormat="1" ht="15" customHeight="1" thickBot="1" x14ac:dyDescent="0.3">
      <c r="A19" s="26" t="s">
        <v>20</v>
      </c>
      <c r="B19" s="695"/>
      <c r="C19" s="292">
        <f t="shared" ref="C19:K19" si="5">SUM(C10:C14)</f>
        <v>7448</v>
      </c>
      <c r="D19" s="288">
        <f t="shared" si="5"/>
        <v>1652</v>
      </c>
      <c r="E19" s="288">
        <f t="shared" si="5"/>
        <v>1090</v>
      </c>
      <c r="F19" s="288">
        <f t="shared" si="5"/>
        <v>2432</v>
      </c>
      <c r="G19" s="293">
        <f t="shared" si="5"/>
        <v>0</v>
      </c>
      <c r="H19" s="368">
        <f t="shared" si="5"/>
        <v>1341</v>
      </c>
      <c r="I19" s="292">
        <f t="shared" si="5"/>
        <v>993</v>
      </c>
      <c r="J19" s="293">
        <f t="shared" si="5"/>
        <v>2024</v>
      </c>
      <c r="K19" s="368">
        <f t="shared" si="5"/>
        <v>16980</v>
      </c>
      <c r="M19" s="355"/>
      <c r="N19" s="355"/>
      <c r="O19" s="355"/>
      <c r="P19" s="355"/>
      <c r="Q19" s="355"/>
      <c r="R19" s="355"/>
      <c r="S19" s="355"/>
      <c r="T19" s="355"/>
    </row>
    <row r="20" spans="1:20" s="47" customFormat="1" ht="15" customHeight="1" thickBot="1" x14ac:dyDescent="0.3">
      <c r="A20" s="26" t="s">
        <v>22</v>
      </c>
      <c r="B20" s="695"/>
      <c r="C20" s="292">
        <f t="shared" ref="C20:J20" si="6">AVERAGE(C10:C14)</f>
        <v>7448</v>
      </c>
      <c r="D20" s="288">
        <f>AVERAGE(D10:D14)</f>
        <v>1652</v>
      </c>
      <c r="E20" s="288">
        <f t="shared" si="6"/>
        <v>1090</v>
      </c>
      <c r="F20" s="288">
        <f t="shared" si="6"/>
        <v>2432</v>
      </c>
      <c r="G20" s="293" t="e">
        <f t="shared" si="6"/>
        <v>#DIV/0!</v>
      </c>
      <c r="H20" s="368">
        <f t="shared" si="6"/>
        <v>1341</v>
      </c>
      <c r="I20" s="292">
        <f t="shared" si="6"/>
        <v>993</v>
      </c>
      <c r="J20" s="293">
        <f t="shared" si="6"/>
        <v>2024</v>
      </c>
      <c r="K20" s="368">
        <f>AVERAGE(K10:K14)</f>
        <v>3396</v>
      </c>
      <c r="M20" s="355"/>
      <c r="N20" s="355"/>
      <c r="O20" s="355"/>
      <c r="P20" s="355"/>
      <c r="Q20" s="355"/>
      <c r="R20" s="355"/>
      <c r="S20" s="355"/>
      <c r="T20" s="355"/>
    </row>
    <row r="21" spans="1:20" s="47" customFormat="1" ht="15" customHeight="1" x14ac:dyDescent="0.25">
      <c r="A21" s="25" t="s">
        <v>3</v>
      </c>
      <c r="B21" s="171">
        <f>B16+1</f>
        <v>43773</v>
      </c>
      <c r="C21" s="18">
        <v>7418</v>
      </c>
      <c r="D21" s="20">
        <v>1973</v>
      </c>
      <c r="E21" s="20">
        <v>1177</v>
      </c>
      <c r="F21" s="20">
        <v>2461</v>
      </c>
      <c r="G21" s="19"/>
      <c r="H21" s="335">
        <v>1265</v>
      </c>
      <c r="I21" s="18">
        <v>1223</v>
      </c>
      <c r="J21" s="19">
        <v>2572</v>
      </c>
      <c r="K21" s="335">
        <f t="shared" ref="K21:K26" si="7">SUM(C21:J21)</f>
        <v>18089</v>
      </c>
      <c r="M21" s="355"/>
      <c r="N21" s="355"/>
      <c r="O21" s="355"/>
      <c r="P21" s="355"/>
      <c r="Q21" s="355"/>
      <c r="R21" s="355"/>
      <c r="S21" s="355"/>
      <c r="T21" s="355"/>
    </row>
    <row r="22" spans="1:20" s="47" customFormat="1" ht="15" customHeight="1" x14ac:dyDescent="0.25">
      <c r="A22" s="25" t="s">
        <v>4</v>
      </c>
      <c r="B22" s="171">
        <f t="shared" ref="B22:B27" si="8">B21+1</f>
        <v>43774</v>
      </c>
      <c r="C22" s="18">
        <v>7296</v>
      </c>
      <c r="D22" s="20">
        <v>1855</v>
      </c>
      <c r="E22" s="20">
        <v>1136</v>
      </c>
      <c r="F22" s="20">
        <v>2602</v>
      </c>
      <c r="G22" s="19"/>
      <c r="H22" s="335">
        <v>1375</v>
      </c>
      <c r="I22" s="18">
        <v>1284</v>
      </c>
      <c r="J22" s="19">
        <v>2565</v>
      </c>
      <c r="K22" s="335">
        <f t="shared" si="7"/>
        <v>18113</v>
      </c>
      <c r="M22" s="355"/>
      <c r="N22" s="355"/>
      <c r="O22" s="355"/>
      <c r="P22" s="355"/>
      <c r="Q22" s="355"/>
      <c r="R22" s="355"/>
      <c r="S22" s="355"/>
      <c r="T22" s="355"/>
    </row>
    <row r="23" spans="1:20" s="47" customFormat="1" ht="15" customHeight="1" x14ac:dyDescent="0.25">
      <c r="A23" s="25" t="s">
        <v>5</v>
      </c>
      <c r="B23" s="171">
        <f t="shared" si="8"/>
        <v>43775</v>
      </c>
      <c r="C23" s="208">
        <v>7371</v>
      </c>
      <c r="D23" s="305">
        <v>1948</v>
      </c>
      <c r="E23" s="305">
        <v>1148</v>
      </c>
      <c r="F23" s="305">
        <v>2530</v>
      </c>
      <c r="G23" s="306"/>
      <c r="H23" s="215">
        <v>1484</v>
      </c>
      <c r="I23" s="208">
        <v>1181</v>
      </c>
      <c r="J23" s="306">
        <v>2582</v>
      </c>
      <c r="K23" s="335">
        <f t="shared" si="7"/>
        <v>18244</v>
      </c>
      <c r="M23" s="355"/>
      <c r="N23" s="355"/>
      <c r="O23" s="355"/>
      <c r="P23" s="355"/>
      <c r="Q23" s="355"/>
      <c r="R23" s="355"/>
      <c r="S23" s="355"/>
      <c r="T23" s="355"/>
    </row>
    <row r="24" spans="1:20" s="47" customFormat="1" ht="15" customHeight="1" x14ac:dyDescent="0.25">
      <c r="A24" s="25" t="s">
        <v>6</v>
      </c>
      <c r="B24" s="171">
        <f t="shared" si="8"/>
        <v>43776</v>
      </c>
      <c r="C24" s="18">
        <v>7805</v>
      </c>
      <c r="D24" s="20">
        <v>1983</v>
      </c>
      <c r="E24" s="20">
        <v>1165</v>
      </c>
      <c r="F24" s="20">
        <v>2302</v>
      </c>
      <c r="G24" s="19"/>
      <c r="H24" s="335">
        <v>1326</v>
      </c>
      <c r="I24" s="18">
        <v>1212</v>
      </c>
      <c r="J24" s="19">
        <v>2398</v>
      </c>
      <c r="K24" s="335">
        <f t="shared" si="7"/>
        <v>18191</v>
      </c>
      <c r="M24" s="355"/>
      <c r="N24" s="355"/>
      <c r="O24" s="355"/>
      <c r="P24" s="355"/>
      <c r="Q24" s="355"/>
      <c r="R24" s="355"/>
      <c r="S24" s="355"/>
    </row>
    <row r="25" spans="1:20" s="47" customFormat="1" ht="15" customHeight="1" x14ac:dyDescent="0.25">
      <c r="A25" s="25" t="s">
        <v>0</v>
      </c>
      <c r="B25" s="171">
        <f t="shared" si="8"/>
        <v>43777</v>
      </c>
      <c r="C25" s="18">
        <v>6885</v>
      </c>
      <c r="D25" s="20">
        <v>1682</v>
      </c>
      <c r="E25" s="20">
        <v>856</v>
      </c>
      <c r="F25" s="20">
        <v>2214</v>
      </c>
      <c r="G25" s="19"/>
      <c r="H25" s="335">
        <v>1240</v>
      </c>
      <c r="I25" s="18">
        <v>955</v>
      </c>
      <c r="J25" s="19">
        <v>1954</v>
      </c>
      <c r="K25" s="335">
        <f t="shared" si="7"/>
        <v>15786</v>
      </c>
      <c r="M25" s="355"/>
      <c r="N25" s="355"/>
      <c r="O25" s="355"/>
      <c r="P25" s="355"/>
      <c r="Q25" s="355"/>
      <c r="R25" s="355"/>
      <c r="S25" s="355"/>
    </row>
    <row r="26" spans="1:20" s="47" customFormat="1" ht="15" customHeight="1" outlineLevel="1" x14ac:dyDescent="0.25">
      <c r="A26" s="25" t="s">
        <v>1</v>
      </c>
      <c r="B26" s="171">
        <f t="shared" si="8"/>
        <v>43778</v>
      </c>
      <c r="C26" s="18">
        <v>4642</v>
      </c>
      <c r="D26" s="275"/>
      <c r="E26" s="20"/>
      <c r="F26" s="20"/>
      <c r="G26" s="19">
        <v>2099</v>
      </c>
      <c r="H26" s="335">
        <v>904</v>
      </c>
      <c r="I26" s="18"/>
      <c r="J26" s="19"/>
      <c r="K26" s="335">
        <f t="shared" si="7"/>
        <v>7645</v>
      </c>
      <c r="M26" s="355"/>
      <c r="N26" s="355"/>
      <c r="O26" s="355"/>
      <c r="P26" s="355"/>
      <c r="Q26" s="355"/>
      <c r="R26" s="355"/>
      <c r="S26" s="355"/>
    </row>
    <row r="27" spans="1:20" s="47" customFormat="1" ht="15" customHeight="1" outlineLevel="1" thickBot="1" x14ac:dyDescent="0.3">
      <c r="A27" s="25" t="s">
        <v>2</v>
      </c>
      <c r="B27" s="171">
        <f t="shared" si="8"/>
        <v>43779</v>
      </c>
      <c r="C27" s="505">
        <v>3976</v>
      </c>
      <c r="D27" s="36"/>
      <c r="E27" s="36"/>
      <c r="F27" s="36"/>
      <c r="G27" s="366">
        <v>1291</v>
      </c>
      <c r="H27" s="335">
        <v>365</v>
      </c>
      <c r="I27" s="18"/>
      <c r="J27" s="19"/>
      <c r="K27" s="335">
        <f>SUM(C27:J27)</f>
        <v>5632</v>
      </c>
      <c r="M27" s="355"/>
      <c r="N27" s="355"/>
      <c r="O27" s="355"/>
      <c r="P27" s="355"/>
      <c r="Q27" s="355"/>
      <c r="R27" s="355"/>
    </row>
    <row r="28" spans="1:20" s="47" customFormat="1" ht="15" customHeight="1" outlineLevel="1" thickBot="1" x14ac:dyDescent="0.3">
      <c r="A28" s="158" t="s">
        <v>21</v>
      </c>
      <c r="B28" s="695" t="s">
        <v>25</v>
      </c>
      <c r="C28" s="290">
        <f t="shared" ref="C28:J28" si="9">SUM(C21:C27)</f>
        <v>45393</v>
      </c>
      <c r="D28" s="287">
        <f t="shared" si="9"/>
        <v>9441</v>
      </c>
      <c r="E28" s="287">
        <f t="shared" si="9"/>
        <v>5482</v>
      </c>
      <c r="F28" s="287">
        <f t="shared" si="9"/>
        <v>12109</v>
      </c>
      <c r="G28" s="291">
        <f t="shared" si="9"/>
        <v>3390</v>
      </c>
      <c r="H28" s="367">
        <f t="shared" si="9"/>
        <v>7959</v>
      </c>
      <c r="I28" s="290">
        <f t="shared" si="9"/>
        <v>5855</v>
      </c>
      <c r="J28" s="291">
        <f t="shared" si="9"/>
        <v>12071</v>
      </c>
      <c r="K28" s="367">
        <f>SUM(K21:K27)</f>
        <v>101700</v>
      </c>
      <c r="M28" s="355"/>
      <c r="N28" s="355"/>
      <c r="O28" s="355"/>
      <c r="P28" s="355"/>
      <c r="Q28" s="355"/>
      <c r="R28" s="355"/>
      <c r="S28" s="355"/>
    </row>
    <row r="29" spans="1:20" s="47" customFormat="1" ht="15" customHeight="1" outlineLevel="1" thickBot="1" x14ac:dyDescent="0.3">
      <c r="A29" s="109" t="s">
        <v>23</v>
      </c>
      <c r="B29" s="695"/>
      <c r="C29" s="290">
        <f>AVERAGE(C21:C27)</f>
        <v>6484.7142857142853</v>
      </c>
      <c r="D29" s="287">
        <f>AVERAGE(D21:D27)</f>
        <v>1888.2</v>
      </c>
      <c r="E29" s="287">
        <f t="shared" ref="E29:K29" si="10">AVERAGE(E21:E27)</f>
        <v>1096.4000000000001</v>
      </c>
      <c r="F29" s="287">
        <f t="shared" si="10"/>
        <v>2421.8000000000002</v>
      </c>
      <c r="G29" s="291">
        <f t="shared" si="10"/>
        <v>1695</v>
      </c>
      <c r="H29" s="367">
        <f>AVERAGE(H21:H27)</f>
        <v>1137</v>
      </c>
      <c r="I29" s="290" t="e">
        <f>AVERAGE(I26:I27)</f>
        <v>#DIV/0!</v>
      </c>
      <c r="J29" s="291">
        <f>AVERAGE(J21:J27)</f>
        <v>2414.1999999999998</v>
      </c>
      <c r="K29" s="367">
        <f t="shared" si="10"/>
        <v>14528.571428571429</v>
      </c>
      <c r="M29" s="355"/>
      <c r="N29" s="355"/>
      <c r="O29" s="355"/>
      <c r="P29" s="355"/>
      <c r="Q29" s="355"/>
      <c r="R29" s="355"/>
      <c r="S29" s="355"/>
    </row>
    <row r="30" spans="1:20" s="47" customFormat="1" ht="15" customHeight="1" thickBot="1" x14ac:dyDescent="0.3">
      <c r="A30" s="26" t="s">
        <v>20</v>
      </c>
      <c r="B30" s="695"/>
      <c r="C30" s="292">
        <f t="shared" ref="C30:K30" si="11">SUM(C21:C25)</f>
        <v>36775</v>
      </c>
      <c r="D30" s="288">
        <f t="shared" si="11"/>
        <v>9441</v>
      </c>
      <c r="E30" s="288">
        <f t="shared" si="11"/>
        <v>5482</v>
      </c>
      <c r="F30" s="288">
        <f t="shared" si="11"/>
        <v>12109</v>
      </c>
      <c r="G30" s="293">
        <f t="shared" si="11"/>
        <v>0</v>
      </c>
      <c r="H30" s="368">
        <f t="shared" si="11"/>
        <v>6690</v>
      </c>
      <c r="I30" s="292">
        <f t="shared" si="11"/>
        <v>5855</v>
      </c>
      <c r="J30" s="293">
        <f t="shared" si="11"/>
        <v>12071</v>
      </c>
      <c r="K30" s="368">
        <f t="shared" si="11"/>
        <v>88423</v>
      </c>
      <c r="M30" s="355"/>
      <c r="N30" s="355"/>
      <c r="O30" s="355"/>
      <c r="P30" s="355"/>
      <c r="Q30" s="355"/>
      <c r="R30" s="355"/>
      <c r="S30" s="355"/>
    </row>
    <row r="31" spans="1:20" s="47" customFormat="1" ht="15" customHeight="1" thickBot="1" x14ac:dyDescent="0.3">
      <c r="A31" s="26" t="s">
        <v>22</v>
      </c>
      <c r="B31" s="695"/>
      <c r="C31" s="292">
        <f>AVERAGE(C21:C25)</f>
        <v>7355</v>
      </c>
      <c r="D31" s="288">
        <f>AVERAGE(D21:D25)</f>
        <v>1888.2</v>
      </c>
      <c r="E31" s="288">
        <f>AVERAGE(E21:E25)</f>
        <v>1096.4000000000001</v>
      </c>
      <c r="F31" s="288">
        <f>AVERAGE(F21:F25)</f>
        <v>2421.8000000000002</v>
      </c>
      <c r="G31" s="293" t="e">
        <f>AVERAGE(G21:G25)</f>
        <v>#DIV/0!</v>
      </c>
      <c r="H31" s="368">
        <v>893</v>
      </c>
      <c r="I31" s="264">
        <f>AVERAGE(I21:I25)</f>
        <v>1171</v>
      </c>
      <c r="J31" s="293">
        <f>AVERAGE(J21:J25)</f>
        <v>2414.1999999999998</v>
      </c>
      <c r="K31" s="368">
        <f>AVERAGE(K21:K25)</f>
        <v>17684.599999999999</v>
      </c>
      <c r="M31" s="355"/>
      <c r="N31" s="355"/>
      <c r="O31" s="355"/>
      <c r="P31" s="355"/>
      <c r="Q31" s="355"/>
      <c r="R31" s="355"/>
      <c r="S31" s="355"/>
    </row>
    <row r="32" spans="1:20" s="47" customFormat="1" ht="15" customHeight="1" x14ac:dyDescent="0.25">
      <c r="A32" s="25" t="s">
        <v>3</v>
      </c>
      <c r="B32" s="174">
        <f>B27+1</f>
        <v>43780</v>
      </c>
      <c r="C32" s="307">
        <v>5746</v>
      </c>
      <c r="D32" s="204">
        <v>1625</v>
      </c>
      <c r="E32" s="205">
        <v>975</v>
      </c>
      <c r="F32" s="205">
        <v>2083</v>
      </c>
      <c r="G32" s="218"/>
      <c r="H32" s="369">
        <v>1096</v>
      </c>
      <c r="I32" s="311">
        <v>756</v>
      </c>
      <c r="J32" s="218">
        <v>1851</v>
      </c>
      <c r="K32" s="335">
        <f t="shared" ref="K32:K37" si="12">SUM(C32:J32)</f>
        <v>14132</v>
      </c>
      <c r="M32" s="355"/>
      <c r="N32" s="355"/>
      <c r="O32" s="355"/>
      <c r="P32" s="355"/>
      <c r="Q32" s="355"/>
      <c r="R32" s="355"/>
      <c r="S32" s="355"/>
    </row>
    <row r="33" spans="1:20" s="47" customFormat="1" ht="15" customHeight="1" x14ac:dyDescent="0.25">
      <c r="A33" s="25" t="s">
        <v>4</v>
      </c>
      <c r="B33" s="174">
        <f t="shared" ref="B33:B38" si="13">B32+1</f>
        <v>43781</v>
      </c>
      <c r="C33" s="307">
        <v>5780</v>
      </c>
      <c r="D33" s="204">
        <v>1773</v>
      </c>
      <c r="E33" s="205">
        <v>1052</v>
      </c>
      <c r="F33" s="205">
        <v>2448</v>
      </c>
      <c r="G33" s="218"/>
      <c r="H33" s="369">
        <v>1341</v>
      </c>
      <c r="I33" s="311">
        <v>1130</v>
      </c>
      <c r="J33" s="218">
        <v>2708</v>
      </c>
      <c r="K33" s="335">
        <f t="shared" si="12"/>
        <v>16232</v>
      </c>
      <c r="L33" s="355"/>
      <c r="M33" s="355"/>
      <c r="N33" s="355"/>
      <c r="O33" s="355"/>
      <c r="P33" s="355"/>
      <c r="Q33" s="355"/>
      <c r="R33" s="355"/>
      <c r="S33" s="355"/>
      <c r="T33" s="355"/>
    </row>
    <row r="34" spans="1:20" s="47" customFormat="1" ht="15" customHeight="1" x14ac:dyDescent="0.25">
      <c r="A34" s="25" t="s">
        <v>5</v>
      </c>
      <c r="B34" s="174">
        <f t="shared" si="13"/>
        <v>43782</v>
      </c>
      <c r="C34" s="307">
        <v>6219</v>
      </c>
      <c r="D34" s="204">
        <v>1721</v>
      </c>
      <c r="E34" s="205">
        <v>1052</v>
      </c>
      <c r="F34" s="205">
        <v>2319</v>
      </c>
      <c r="G34" s="218"/>
      <c r="H34" s="369">
        <v>1361</v>
      </c>
      <c r="I34" s="311">
        <v>1158</v>
      </c>
      <c r="J34" s="218">
        <v>2630</v>
      </c>
      <c r="K34" s="335">
        <f t="shared" si="12"/>
        <v>16460</v>
      </c>
      <c r="L34" s="355"/>
      <c r="M34" s="355"/>
      <c r="N34" s="355"/>
      <c r="O34" s="355"/>
      <c r="P34" s="355"/>
      <c r="Q34" s="355"/>
      <c r="R34" s="355"/>
      <c r="S34" s="355"/>
      <c r="T34" s="355"/>
    </row>
    <row r="35" spans="1:20" s="47" customFormat="1" ht="15" customHeight="1" x14ac:dyDescent="0.25">
      <c r="A35" s="25" t="s">
        <v>6</v>
      </c>
      <c r="B35" s="174">
        <f t="shared" si="13"/>
        <v>43783</v>
      </c>
      <c r="C35" s="307">
        <v>6691</v>
      </c>
      <c r="D35" s="204">
        <v>1716</v>
      </c>
      <c r="E35" s="205">
        <v>1020</v>
      </c>
      <c r="F35" s="205">
        <v>2504</v>
      </c>
      <c r="G35" s="218"/>
      <c r="H35" s="369">
        <v>1459</v>
      </c>
      <c r="I35" s="311">
        <v>1078</v>
      </c>
      <c r="J35" s="218">
        <v>2605</v>
      </c>
      <c r="K35" s="335">
        <f t="shared" si="12"/>
        <v>17073</v>
      </c>
      <c r="L35" s="355"/>
      <c r="M35" s="355"/>
      <c r="N35" s="355"/>
      <c r="O35" s="355"/>
      <c r="P35" s="355"/>
      <c r="Q35" s="355"/>
      <c r="R35" s="355"/>
      <c r="S35" s="355"/>
      <c r="T35" s="355"/>
    </row>
    <row r="36" spans="1:20" s="47" customFormat="1" ht="15" customHeight="1" x14ac:dyDescent="0.25">
      <c r="A36" s="25" t="s">
        <v>0</v>
      </c>
      <c r="B36" s="174">
        <f t="shared" si="13"/>
        <v>43784</v>
      </c>
      <c r="C36" s="307">
        <v>6463</v>
      </c>
      <c r="D36" s="204">
        <v>1750</v>
      </c>
      <c r="E36" s="205">
        <v>921</v>
      </c>
      <c r="F36" s="204">
        <v>2404</v>
      </c>
      <c r="G36" s="218"/>
      <c r="H36" s="369">
        <v>1256</v>
      </c>
      <c r="I36" s="311">
        <v>961</v>
      </c>
      <c r="J36" s="218">
        <v>2230</v>
      </c>
      <c r="K36" s="335">
        <f t="shared" si="12"/>
        <v>15985</v>
      </c>
      <c r="L36" s="355"/>
      <c r="M36" s="355"/>
      <c r="N36" s="355"/>
      <c r="O36" s="355"/>
      <c r="P36" s="355"/>
      <c r="Q36" s="355"/>
      <c r="R36" s="355"/>
      <c r="S36" s="355"/>
      <c r="T36" s="355"/>
    </row>
    <row r="37" spans="1:20" s="47" customFormat="1" ht="15" customHeight="1" outlineLevel="1" x14ac:dyDescent="0.25">
      <c r="A37" s="25" t="s">
        <v>1</v>
      </c>
      <c r="B37" s="174">
        <f t="shared" si="13"/>
        <v>43785</v>
      </c>
      <c r="C37" s="307">
        <v>5301</v>
      </c>
      <c r="D37" s="205"/>
      <c r="E37" s="205"/>
      <c r="F37" s="205"/>
      <c r="G37" s="218">
        <v>1918</v>
      </c>
      <c r="H37" s="370">
        <v>359</v>
      </c>
      <c r="I37" s="307"/>
      <c r="J37" s="218"/>
      <c r="K37" s="335">
        <f t="shared" si="12"/>
        <v>7578</v>
      </c>
      <c r="L37" s="355"/>
      <c r="M37" s="355"/>
      <c r="N37" s="355"/>
      <c r="O37" s="355"/>
      <c r="P37" s="355"/>
      <c r="Q37" s="355"/>
      <c r="R37" s="355"/>
      <c r="S37" s="355"/>
      <c r="T37" s="355"/>
    </row>
    <row r="38" spans="1:20" s="47" customFormat="1" ht="15" customHeight="1" outlineLevel="1" thickBot="1" x14ac:dyDescent="0.3">
      <c r="A38" s="25" t="s">
        <v>2</v>
      </c>
      <c r="B38" s="174">
        <f t="shared" si="13"/>
        <v>43786</v>
      </c>
      <c r="C38" s="307">
        <v>3682</v>
      </c>
      <c r="D38" s="205"/>
      <c r="E38" s="205"/>
      <c r="F38" s="205"/>
      <c r="G38" s="218">
        <v>1206</v>
      </c>
      <c r="H38" s="370">
        <v>213</v>
      </c>
      <c r="I38" s="307"/>
      <c r="J38" s="218"/>
      <c r="K38" s="335">
        <f>SUM(C38:J38)</f>
        <v>5101</v>
      </c>
      <c r="L38" s="355"/>
      <c r="M38" s="355"/>
      <c r="N38" s="355"/>
      <c r="O38" s="355"/>
      <c r="P38" s="355"/>
      <c r="Q38" s="355"/>
      <c r="R38" s="355"/>
      <c r="S38" s="355"/>
    </row>
    <row r="39" spans="1:20" s="47" customFormat="1" ht="15" customHeight="1" outlineLevel="1" thickBot="1" x14ac:dyDescent="0.3">
      <c r="A39" s="158" t="s">
        <v>21</v>
      </c>
      <c r="B39" s="695" t="s">
        <v>26</v>
      </c>
      <c r="C39" s="290">
        <f t="shared" ref="C39:K39" si="14">SUM(C32:C38)</f>
        <v>39882</v>
      </c>
      <c r="D39" s="287">
        <f t="shared" si="14"/>
        <v>8585</v>
      </c>
      <c r="E39" s="287">
        <f t="shared" si="14"/>
        <v>5020</v>
      </c>
      <c r="F39" s="287">
        <f t="shared" si="14"/>
        <v>11758</v>
      </c>
      <c r="G39" s="291">
        <f t="shared" si="14"/>
        <v>3124</v>
      </c>
      <c r="H39" s="367">
        <f t="shared" si="14"/>
        <v>7085</v>
      </c>
      <c r="I39" s="290">
        <f t="shared" si="14"/>
        <v>5083</v>
      </c>
      <c r="J39" s="291">
        <f t="shared" si="14"/>
        <v>12024</v>
      </c>
      <c r="K39" s="367">
        <f t="shared" si="14"/>
        <v>92561</v>
      </c>
      <c r="L39" s="355"/>
      <c r="M39" s="355"/>
      <c r="N39" s="355"/>
      <c r="O39" s="355"/>
      <c r="P39" s="355"/>
      <c r="Q39" s="355"/>
      <c r="R39" s="355"/>
    </row>
    <row r="40" spans="1:20" s="47" customFormat="1" ht="15" customHeight="1" outlineLevel="1" thickBot="1" x14ac:dyDescent="0.3">
      <c r="A40" s="109" t="s">
        <v>23</v>
      </c>
      <c r="B40" s="695"/>
      <c r="C40" s="290">
        <f t="shared" ref="C40:K40" si="15">AVERAGE(C32:C38)</f>
        <v>5697.4285714285716</v>
      </c>
      <c r="D40" s="287">
        <f t="shared" si="15"/>
        <v>1717</v>
      </c>
      <c r="E40" s="287">
        <f t="shared" si="15"/>
        <v>1004</v>
      </c>
      <c r="F40" s="287">
        <f t="shared" si="15"/>
        <v>2351.6</v>
      </c>
      <c r="G40" s="291">
        <f t="shared" si="15"/>
        <v>1562</v>
      </c>
      <c r="H40" s="367">
        <f t="shared" si="15"/>
        <v>1012.1428571428571</v>
      </c>
      <c r="I40" s="290">
        <f t="shared" si="15"/>
        <v>1016.6</v>
      </c>
      <c r="J40" s="291">
        <f t="shared" si="15"/>
        <v>2404.8000000000002</v>
      </c>
      <c r="K40" s="367">
        <f t="shared" si="15"/>
        <v>13223</v>
      </c>
      <c r="M40" s="355"/>
      <c r="N40" s="355"/>
      <c r="O40" s="355"/>
      <c r="P40" s="355"/>
      <c r="Q40" s="355"/>
      <c r="R40" s="355"/>
    </row>
    <row r="41" spans="1:20" s="47" customFormat="1" ht="15" customHeight="1" thickBot="1" x14ac:dyDescent="0.3">
      <c r="A41" s="26" t="s">
        <v>20</v>
      </c>
      <c r="B41" s="695"/>
      <c r="C41" s="292">
        <f t="shared" ref="C41:H41" si="16">SUM(C32:C36)</f>
        <v>30899</v>
      </c>
      <c r="D41" s="288">
        <f t="shared" si="16"/>
        <v>8585</v>
      </c>
      <c r="E41" s="288">
        <f t="shared" si="16"/>
        <v>5020</v>
      </c>
      <c r="F41" s="288">
        <f t="shared" si="16"/>
        <v>11758</v>
      </c>
      <c r="G41" s="293">
        <f t="shared" si="16"/>
        <v>0</v>
      </c>
      <c r="H41" s="368">
        <f t="shared" si="16"/>
        <v>6513</v>
      </c>
      <c r="I41" s="292">
        <f>SUM(I32:I36)</f>
        <v>5083</v>
      </c>
      <c r="J41" s="293">
        <f>SUM(J32:J36)</f>
        <v>12024</v>
      </c>
      <c r="K41" s="368">
        <f>SUM(K32:K36)</f>
        <v>79882</v>
      </c>
      <c r="M41" s="355"/>
      <c r="N41" s="355"/>
      <c r="O41" s="355"/>
      <c r="P41" s="355"/>
      <c r="Q41" s="355"/>
      <c r="R41" s="355"/>
    </row>
    <row r="42" spans="1:20" s="47" customFormat="1" ht="15" customHeight="1" thickBot="1" x14ac:dyDescent="0.3">
      <c r="A42" s="26" t="s">
        <v>22</v>
      </c>
      <c r="B42" s="695"/>
      <c r="C42" s="292">
        <f t="shared" ref="C42:K42" si="17">AVERAGE(C32:C36)</f>
        <v>6179.8</v>
      </c>
      <c r="D42" s="288">
        <f t="shared" si="17"/>
        <v>1717</v>
      </c>
      <c r="E42" s="288">
        <f t="shared" si="17"/>
        <v>1004</v>
      </c>
      <c r="F42" s="288">
        <f t="shared" si="17"/>
        <v>2351.6</v>
      </c>
      <c r="G42" s="293" t="e">
        <f t="shared" si="17"/>
        <v>#DIV/0!</v>
      </c>
      <c r="H42" s="368">
        <f t="shared" si="17"/>
        <v>1302.5999999999999</v>
      </c>
      <c r="I42" s="292">
        <f t="shared" si="17"/>
        <v>1016.6</v>
      </c>
      <c r="J42" s="293">
        <f t="shared" si="17"/>
        <v>2404.8000000000002</v>
      </c>
      <c r="K42" s="368">
        <f t="shared" si="17"/>
        <v>15976.4</v>
      </c>
      <c r="M42" s="355"/>
      <c r="N42" s="355"/>
      <c r="O42" s="355"/>
      <c r="P42" s="355"/>
      <c r="Q42" s="355"/>
      <c r="R42" s="355"/>
      <c r="S42" s="355"/>
    </row>
    <row r="43" spans="1:20" s="47" customFormat="1" ht="15" customHeight="1" x14ac:dyDescent="0.25">
      <c r="A43" s="25" t="s">
        <v>3</v>
      </c>
      <c r="B43" s="176">
        <f>B38+1</f>
        <v>43787</v>
      </c>
      <c r="C43" s="18">
        <v>5797</v>
      </c>
      <c r="D43" s="20">
        <v>1654</v>
      </c>
      <c r="E43" s="20">
        <v>829</v>
      </c>
      <c r="F43" s="20">
        <v>2100</v>
      </c>
      <c r="G43" s="19"/>
      <c r="H43" s="335">
        <v>1242</v>
      </c>
      <c r="I43" s="18">
        <v>1123</v>
      </c>
      <c r="J43" s="19">
        <v>2624</v>
      </c>
      <c r="K43" s="335">
        <f t="shared" ref="K43:K49" si="18">SUM(C43:J43)</f>
        <v>15369</v>
      </c>
      <c r="M43" s="355"/>
      <c r="N43" s="355"/>
      <c r="O43" s="355"/>
      <c r="P43" s="355"/>
      <c r="Q43" s="355"/>
      <c r="R43" s="355"/>
      <c r="S43" s="355"/>
    </row>
    <row r="44" spans="1:20" s="47" customFormat="1" ht="15" customHeight="1" x14ac:dyDescent="0.25">
      <c r="A44" s="25" t="s">
        <v>4</v>
      </c>
      <c r="B44" s="176">
        <f t="shared" ref="B44:B49" si="19">B43+1</f>
        <v>43788</v>
      </c>
      <c r="C44" s="18">
        <v>6348</v>
      </c>
      <c r="D44" s="20">
        <v>1735</v>
      </c>
      <c r="E44" s="20">
        <v>1073</v>
      </c>
      <c r="F44" s="20">
        <v>2388</v>
      </c>
      <c r="G44" s="19"/>
      <c r="H44" s="335">
        <v>1368</v>
      </c>
      <c r="I44" s="18">
        <v>1313</v>
      </c>
      <c r="J44" s="19">
        <v>2352</v>
      </c>
      <c r="K44" s="335">
        <f t="shared" si="18"/>
        <v>16577</v>
      </c>
      <c r="M44" s="355"/>
      <c r="N44" s="355"/>
      <c r="O44" s="355"/>
      <c r="P44" s="355"/>
      <c r="Q44" s="355"/>
      <c r="R44" s="355"/>
      <c r="S44" s="355"/>
    </row>
    <row r="45" spans="1:20" s="47" customFormat="1" ht="15" customHeight="1" x14ac:dyDescent="0.25">
      <c r="A45" s="25" t="s">
        <v>5</v>
      </c>
      <c r="B45" s="176">
        <f t="shared" si="19"/>
        <v>43789</v>
      </c>
      <c r="C45" s="18">
        <v>6309</v>
      </c>
      <c r="D45" s="20">
        <v>1659</v>
      </c>
      <c r="E45" s="20">
        <v>1096</v>
      </c>
      <c r="F45" s="20">
        <v>2243</v>
      </c>
      <c r="G45" s="19"/>
      <c r="H45" s="335">
        <v>1414</v>
      </c>
      <c r="I45" s="18">
        <v>1172</v>
      </c>
      <c r="J45" s="19">
        <v>2167</v>
      </c>
      <c r="K45" s="335">
        <f t="shared" si="18"/>
        <v>16060</v>
      </c>
      <c r="M45" s="355"/>
      <c r="N45" s="355"/>
      <c r="O45" s="355"/>
      <c r="P45" s="355"/>
      <c r="Q45" s="355"/>
      <c r="R45" s="355"/>
      <c r="S45" s="355"/>
    </row>
    <row r="46" spans="1:20" s="47" customFormat="1" ht="15" customHeight="1" x14ac:dyDescent="0.25">
      <c r="A46" s="25" t="s">
        <v>6</v>
      </c>
      <c r="B46" s="176">
        <f t="shared" si="19"/>
        <v>43790</v>
      </c>
      <c r="C46" s="18">
        <v>6441</v>
      </c>
      <c r="D46" s="20">
        <v>2002</v>
      </c>
      <c r="E46" s="20">
        <v>1063</v>
      </c>
      <c r="F46" s="20">
        <v>2213</v>
      </c>
      <c r="G46" s="19"/>
      <c r="H46" s="335">
        <v>1525</v>
      </c>
      <c r="I46" s="18">
        <v>1135</v>
      </c>
      <c r="J46" s="19">
        <v>2534</v>
      </c>
      <c r="K46" s="335">
        <f>SUM(C46:J46)</f>
        <v>16913</v>
      </c>
      <c r="M46" s="355"/>
      <c r="N46" s="355"/>
      <c r="O46" s="355"/>
      <c r="P46" s="355"/>
      <c r="Q46" s="355"/>
      <c r="R46" s="355"/>
      <c r="S46" s="355"/>
    </row>
    <row r="47" spans="1:20" s="47" customFormat="1" ht="15" customHeight="1" x14ac:dyDescent="0.25">
      <c r="A47" s="25" t="s">
        <v>0</v>
      </c>
      <c r="B47" s="176">
        <f t="shared" si="19"/>
        <v>43791</v>
      </c>
      <c r="C47" s="18">
        <v>6076</v>
      </c>
      <c r="D47" s="20">
        <v>1693</v>
      </c>
      <c r="E47" s="20">
        <v>982</v>
      </c>
      <c r="F47" s="20">
        <v>1859</v>
      </c>
      <c r="G47" s="19"/>
      <c r="H47" s="335">
        <v>1265</v>
      </c>
      <c r="I47" s="18">
        <v>973</v>
      </c>
      <c r="J47" s="19">
        <v>2037</v>
      </c>
      <c r="K47" s="335">
        <f t="shared" si="18"/>
        <v>14885</v>
      </c>
      <c r="M47" s="355"/>
      <c r="N47" s="355"/>
      <c r="O47" s="355"/>
      <c r="P47" s="355"/>
      <c r="Q47" s="355"/>
      <c r="R47" s="355"/>
      <c r="S47" s="355"/>
    </row>
    <row r="48" spans="1:20" s="47" customFormat="1" ht="15" customHeight="1" outlineLevel="1" x14ac:dyDescent="0.25">
      <c r="A48" s="25" t="s">
        <v>1</v>
      </c>
      <c r="B48" s="176">
        <f t="shared" si="19"/>
        <v>43792</v>
      </c>
      <c r="C48" s="18">
        <v>4570</v>
      </c>
      <c r="D48" s="20"/>
      <c r="E48" s="20"/>
      <c r="F48" s="20"/>
      <c r="G48" s="19">
        <v>1755</v>
      </c>
      <c r="H48" s="335">
        <v>352</v>
      </c>
      <c r="I48" s="18"/>
      <c r="J48" s="19"/>
      <c r="K48" s="335">
        <f t="shared" si="18"/>
        <v>6677</v>
      </c>
      <c r="L48" s="122"/>
      <c r="M48" s="355"/>
      <c r="N48" s="355"/>
      <c r="O48" s="355"/>
    </row>
    <row r="49" spans="1:20" s="47" customFormat="1" ht="15" customHeight="1" outlineLevel="1" thickBot="1" x14ac:dyDescent="0.3">
      <c r="A49" s="25" t="s">
        <v>2</v>
      </c>
      <c r="B49" s="176">
        <f t="shared" si="19"/>
        <v>43793</v>
      </c>
      <c r="C49" s="506">
        <v>2068</v>
      </c>
      <c r="D49" s="20"/>
      <c r="E49" s="20"/>
      <c r="F49" s="20"/>
      <c r="G49" s="19">
        <v>606</v>
      </c>
      <c r="H49" s="335">
        <v>155</v>
      </c>
      <c r="I49" s="18"/>
      <c r="J49" s="19"/>
      <c r="K49" s="335">
        <f t="shared" si="18"/>
        <v>2829</v>
      </c>
      <c r="L49" s="122"/>
      <c r="N49" s="355"/>
      <c r="O49" s="355"/>
      <c r="P49" s="355"/>
    </row>
    <row r="50" spans="1:20" s="47" customFormat="1" ht="15" customHeight="1" outlineLevel="1" thickBot="1" x14ac:dyDescent="0.3">
      <c r="A50" s="158" t="s">
        <v>21</v>
      </c>
      <c r="B50" s="695" t="s">
        <v>27</v>
      </c>
      <c r="C50" s="290">
        <f t="shared" ref="C50:K50" si="20">SUM(C43:C49)</f>
        <v>37609</v>
      </c>
      <c r="D50" s="287">
        <f t="shared" si="20"/>
        <v>8743</v>
      </c>
      <c r="E50" s="287">
        <f t="shared" si="20"/>
        <v>5043</v>
      </c>
      <c r="F50" s="287">
        <f t="shared" si="20"/>
        <v>10803</v>
      </c>
      <c r="G50" s="291">
        <f t="shared" si="20"/>
        <v>2361</v>
      </c>
      <c r="H50" s="367">
        <f t="shared" si="20"/>
        <v>7321</v>
      </c>
      <c r="I50" s="290">
        <f t="shared" si="20"/>
        <v>5716</v>
      </c>
      <c r="J50" s="291">
        <f t="shared" si="20"/>
        <v>11714</v>
      </c>
      <c r="K50" s="367">
        <f t="shared" si="20"/>
        <v>89310</v>
      </c>
      <c r="M50" s="355"/>
      <c r="N50" s="355"/>
      <c r="O50" s="355"/>
      <c r="P50" s="355"/>
      <c r="Q50" s="355"/>
      <c r="R50" s="355"/>
      <c r="S50" s="355"/>
      <c r="T50" s="355"/>
    </row>
    <row r="51" spans="1:20" s="47" customFormat="1" ht="15" customHeight="1" outlineLevel="1" thickBot="1" x14ac:dyDescent="0.3">
      <c r="A51" s="109" t="s">
        <v>23</v>
      </c>
      <c r="B51" s="695"/>
      <c r="C51" s="290">
        <f t="shared" ref="C51:K51" si="21">AVERAGE(C43:C49)</f>
        <v>5372.7142857142853</v>
      </c>
      <c r="D51" s="287">
        <f t="shared" si="21"/>
        <v>1748.6</v>
      </c>
      <c r="E51" s="287">
        <f t="shared" si="21"/>
        <v>1008.6</v>
      </c>
      <c r="F51" s="287">
        <f t="shared" si="21"/>
        <v>2160.6</v>
      </c>
      <c r="G51" s="291">
        <f t="shared" si="21"/>
        <v>1180.5</v>
      </c>
      <c r="H51" s="367">
        <f t="shared" si="21"/>
        <v>1045.8571428571429</v>
      </c>
      <c r="I51" s="290">
        <f t="shared" si="21"/>
        <v>1143.2</v>
      </c>
      <c r="J51" s="291">
        <f t="shared" si="21"/>
        <v>2342.8000000000002</v>
      </c>
      <c r="K51" s="367">
        <f t="shared" si="21"/>
        <v>12758.571428571429</v>
      </c>
      <c r="M51" s="355"/>
      <c r="N51" s="355"/>
      <c r="O51" s="355"/>
      <c r="P51" s="355"/>
      <c r="Q51" s="355"/>
      <c r="R51" s="355"/>
      <c r="S51" s="355"/>
      <c r="T51" s="355"/>
    </row>
    <row r="52" spans="1:20" s="47" customFormat="1" ht="15" customHeight="1" thickBot="1" x14ac:dyDescent="0.3">
      <c r="A52" s="26" t="s">
        <v>20</v>
      </c>
      <c r="B52" s="695"/>
      <c r="C52" s="292">
        <f t="shared" ref="C52:K52" si="22">SUM(C43:C47)</f>
        <v>30971</v>
      </c>
      <c r="D52" s="288">
        <f t="shared" si="22"/>
        <v>8743</v>
      </c>
      <c r="E52" s="288">
        <f t="shared" si="22"/>
        <v>5043</v>
      </c>
      <c r="F52" s="288">
        <f t="shared" si="22"/>
        <v>10803</v>
      </c>
      <c r="G52" s="293">
        <f t="shared" si="22"/>
        <v>0</v>
      </c>
      <c r="H52" s="368">
        <f t="shared" si="22"/>
        <v>6814</v>
      </c>
      <c r="I52" s="292">
        <f t="shared" si="22"/>
        <v>5716</v>
      </c>
      <c r="J52" s="293">
        <f t="shared" si="22"/>
        <v>11714</v>
      </c>
      <c r="K52" s="368">
        <f t="shared" si="22"/>
        <v>79804</v>
      </c>
      <c r="M52" s="355"/>
      <c r="N52" s="355"/>
      <c r="O52" s="355"/>
      <c r="P52" s="355"/>
      <c r="Q52" s="355"/>
      <c r="R52" s="355"/>
      <c r="S52" s="355"/>
      <c r="T52" s="355"/>
    </row>
    <row r="53" spans="1:20" s="47" customFormat="1" ht="15" customHeight="1" thickBot="1" x14ac:dyDescent="0.3">
      <c r="A53" s="26" t="s">
        <v>22</v>
      </c>
      <c r="B53" s="695"/>
      <c r="C53" s="292">
        <f t="shared" ref="C53:K53" si="23">AVERAGE(C43:C47)</f>
        <v>6194.2</v>
      </c>
      <c r="D53" s="288">
        <f t="shared" si="23"/>
        <v>1748.6</v>
      </c>
      <c r="E53" s="288">
        <f t="shared" si="23"/>
        <v>1008.6</v>
      </c>
      <c r="F53" s="288">
        <f t="shared" si="23"/>
        <v>2160.6</v>
      </c>
      <c r="G53" s="293">
        <f>AVERAGE(G43:G49)</f>
        <v>1180.5</v>
      </c>
      <c r="H53" s="368">
        <f t="shared" si="23"/>
        <v>1362.8</v>
      </c>
      <c r="I53" s="292">
        <f t="shared" si="23"/>
        <v>1143.2</v>
      </c>
      <c r="J53" s="293">
        <f t="shared" si="23"/>
        <v>2342.8000000000002</v>
      </c>
      <c r="K53" s="368">
        <f t="shared" si="23"/>
        <v>15960.8</v>
      </c>
      <c r="M53" s="355"/>
      <c r="N53" s="355"/>
      <c r="O53" s="355"/>
      <c r="P53" s="355"/>
      <c r="Q53" s="355"/>
      <c r="R53" s="355"/>
      <c r="S53" s="355"/>
      <c r="T53" s="355"/>
    </row>
    <row r="54" spans="1:20" s="47" customFormat="1" ht="15" customHeight="1" x14ac:dyDescent="0.25">
      <c r="A54" s="25" t="s">
        <v>3</v>
      </c>
      <c r="B54" s="176">
        <f>B49+1</f>
        <v>43794</v>
      </c>
      <c r="C54" s="307">
        <v>6194</v>
      </c>
      <c r="D54" s="204">
        <v>851</v>
      </c>
      <c r="E54" s="204">
        <v>990</v>
      </c>
      <c r="F54" s="205">
        <v>2363</v>
      </c>
      <c r="G54" s="218"/>
      <c r="H54" s="369">
        <v>1396</v>
      </c>
      <c r="I54" s="311">
        <v>1119</v>
      </c>
      <c r="J54" s="504">
        <v>2498</v>
      </c>
      <c r="K54" s="335">
        <f>SUM(C54:J54)</f>
        <v>15411</v>
      </c>
      <c r="M54" s="355"/>
      <c r="N54" s="355"/>
      <c r="O54" s="355"/>
      <c r="P54" s="355"/>
      <c r="Q54" s="355"/>
      <c r="R54" s="355"/>
      <c r="S54" s="355"/>
      <c r="T54" s="355"/>
    </row>
    <row r="55" spans="1:20" s="47" customFormat="1" ht="15" customHeight="1" x14ac:dyDescent="0.25">
      <c r="A55" s="149" t="s">
        <v>4</v>
      </c>
      <c r="B55" s="176">
        <f t="shared" ref="B55:B60" si="24">B54+1</f>
        <v>43795</v>
      </c>
      <c r="C55" s="307">
        <v>6225</v>
      </c>
      <c r="D55" s="204">
        <v>1827</v>
      </c>
      <c r="E55" s="205">
        <v>992</v>
      </c>
      <c r="F55" s="205">
        <v>2201</v>
      </c>
      <c r="G55" s="218"/>
      <c r="H55" s="370">
        <v>1265</v>
      </c>
      <c r="I55" s="307">
        <v>1198</v>
      </c>
      <c r="J55" s="218">
        <v>2260</v>
      </c>
      <c r="K55" s="335">
        <f t="shared" ref="K55:K60" si="25">SUM(C55:J55)</f>
        <v>15968</v>
      </c>
      <c r="M55" s="355"/>
      <c r="N55" s="355"/>
      <c r="O55" s="355"/>
      <c r="P55" s="355"/>
      <c r="Q55" s="355"/>
      <c r="R55" s="355"/>
    </row>
    <row r="56" spans="1:20" s="47" customFormat="1" x14ac:dyDescent="0.25">
      <c r="A56" s="149" t="s">
        <v>5</v>
      </c>
      <c r="B56" s="176">
        <f t="shared" si="24"/>
        <v>43796</v>
      </c>
      <c r="C56" s="307">
        <v>6132</v>
      </c>
      <c r="D56" s="205">
        <v>1360</v>
      </c>
      <c r="E56" s="205">
        <v>456</v>
      </c>
      <c r="F56" s="205">
        <v>1715</v>
      </c>
      <c r="G56" s="218"/>
      <c r="H56" s="370">
        <v>926</v>
      </c>
      <c r="I56" s="307">
        <v>799</v>
      </c>
      <c r="J56" s="218">
        <v>1808</v>
      </c>
      <c r="K56" s="335">
        <f t="shared" si="25"/>
        <v>13196</v>
      </c>
      <c r="N56" s="355"/>
      <c r="O56" s="355"/>
      <c r="R56" s="355"/>
    </row>
    <row r="57" spans="1:20" s="47" customFormat="1" x14ac:dyDescent="0.25">
      <c r="A57" s="149" t="s">
        <v>6</v>
      </c>
      <c r="B57" s="176">
        <f t="shared" si="24"/>
        <v>43797</v>
      </c>
      <c r="C57" s="307">
        <v>2938</v>
      </c>
      <c r="D57" s="205">
        <v>518</v>
      </c>
      <c r="E57" s="205">
        <v>0</v>
      </c>
      <c r="F57" s="205">
        <v>465</v>
      </c>
      <c r="G57" s="218"/>
      <c r="H57" s="370">
        <v>0</v>
      </c>
      <c r="I57" s="307">
        <v>0</v>
      </c>
      <c r="J57" s="218">
        <v>0</v>
      </c>
      <c r="K57" s="335">
        <f t="shared" si="25"/>
        <v>3921</v>
      </c>
      <c r="N57" s="355"/>
    </row>
    <row r="58" spans="1:20" s="47" customFormat="1" ht="13.5" x14ac:dyDescent="0.25">
      <c r="A58" s="25" t="s">
        <v>0</v>
      </c>
      <c r="B58" s="178">
        <f t="shared" si="24"/>
        <v>43798</v>
      </c>
      <c r="C58" s="307">
        <v>5226</v>
      </c>
      <c r="D58" s="205"/>
      <c r="E58" s="205">
        <v>237</v>
      </c>
      <c r="F58" s="205"/>
      <c r="G58" s="218">
        <v>1678</v>
      </c>
      <c r="H58" s="370">
        <v>300</v>
      </c>
      <c r="I58" s="307">
        <v>216</v>
      </c>
      <c r="J58" s="218">
        <v>372</v>
      </c>
      <c r="K58" s="335">
        <f t="shared" si="25"/>
        <v>8029</v>
      </c>
    </row>
    <row r="59" spans="1:20" s="47" customFormat="1" ht="15.75" outlineLevel="1" thickBot="1" x14ac:dyDescent="0.3">
      <c r="A59" s="25" t="s">
        <v>1</v>
      </c>
      <c r="B59" s="178">
        <f t="shared" si="24"/>
        <v>43799</v>
      </c>
      <c r="C59" s="18">
        <v>5176</v>
      </c>
      <c r="D59" s="20"/>
      <c r="E59" s="20"/>
      <c r="F59" s="20"/>
      <c r="G59" s="19">
        <v>1695</v>
      </c>
      <c r="H59" s="335">
        <v>396</v>
      </c>
      <c r="I59" s="18"/>
      <c r="J59" s="19"/>
      <c r="K59" s="335">
        <f t="shared" si="25"/>
        <v>7267</v>
      </c>
      <c r="O59" s="355"/>
    </row>
    <row r="60" spans="1:20" s="47" customFormat="1" ht="15.75" hidden="1" outlineLevel="1" thickBot="1" x14ac:dyDescent="0.3">
      <c r="A60" s="149" t="s">
        <v>2</v>
      </c>
      <c r="B60" s="178">
        <f t="shared" si="24"/>
        <v>43800</v>
      </c>
      <c r="C60" s="18"/>
      <c r="D60" s="20"/>
      <c r="E60" s="20"/>
      <c r="F60" s="20"/>
      <c r="G60" s="19"/>
      <c r="H60" s="335"/>
      <c r="I60" s="18"/>
      <c r="J60" s="19"/>
      <c r="K60" s="335">
        <f t="shared" si="25"/>
        <v>0</v>
      </c>
      <c r="O60" s="355"/>
    </row>
    <row r="61" spans="1:20" s="47" customFormat="1" ht="15" customHeight="1" outlineLevel="1" thickBot="1" x14ac:dyDescent="0.3">
      <c r="A61" s="158" t="s">
        <v>21</v>
      </c>
      <c r="B61" s="695" t="s">
        <v>28</v>
      </c>
      <c r="C61" s="290">
        <f t="shared" ref="C61:K61" si="26">SUM(C54:C60)</f>
        <v>31891</v>
      </c>
      <c r="D61" s="287">
        <f t="shared" si="26"/>
        <v>4556</v>
      </c>
      <c r="E61" s="287">
        <f t="shared" si="26"/>
        <v>2675</v>
      </c>
      <c r="F61" s="287">
        <f t="shared" si="26"/>
        <v>6744</v>
      </c>
      <c r="G61" s="291">
        <f t="shared" si="26"/>
        <v>3373</v>
      </c>
      <c r="H61" s="367">
        <f t="shared" si="26"/>
        <v>4283</v>
      </c>
      <c r="I61" s="290">
        <f t="shared" si="26"/>
        <v>3332</v>
      </c>
      <c r="J61" s="291">
        <f t="shared" si="26"/>
        <v>6938</v>
      </c>
      <c r="K61" s="367">
        <f t="shared" si="26"/>
        <v>63792</v>
      </c>
    </row>
    <row r="62" spans="1:20" s="47" customFormat="1" ht="15" customHeight="1" outlineLevel="1" thickBot="1" x14ac:dyDescent="0.3">
      <c r="A62" s="109" t="s">
        <v>23</v>
      </c>
      <c r="B62" s="695"/>
      <c r="C62" s="290">
        <f t="shared" ref="C62:J62" si="27">AVERAGE(C54:C60)</f>
        <v>5315.166666666667</v>
      </c>
      <c r="D62" s="287">
        <f t="shared" si="27"/>
        <v>1139</v>
      </c>
      <c r="E62" s="287">
        <f t="shared" si="27"/>
        <v>535</v>
      </c>
      <c r="F62" s="287">
        <f t="shared" si="27"/>
        <v>1686</v>
      </c>
      <c r="G62" s="291">
        <f t="shared" si="27"/>
        <v>1686.5</v>
      </c>
      <c r="H62" s="367">
        <f t="shared" si="27"/>
        <v>713.83333333333337</v>
      </c>
      <c r="I62" s="290">
        <f t="shared" si="27"/>
        <v>666.4</v>
      </c>
      <c r="J62" s="291">
        <f t="shared" si="27"/>
        <v>1387.6</v>
      </c>
      <c r="K62" s="367">
        <f>AVERAGE(K54:K60)</f>
        <v>9113.1428571428569</v>
      </c>
    </row>
    <row r="63" spans="1:20" s="47" customFormat="1" ht="15" customHeight="1" thickBot="1" x14ac:dyDescent="0.3">
      <c r="A63" s="26" t="s">
        <v>20</v>
      </c>
      <c r="B63" s="695"/>
      <c r="C63" s="292">
        <f t="shared" ref="C63:K63" si="28">SUM(C54:C58)</f>
        <v>26715</v>
      </c>
      <c r="D63" s="288">
        <f t="shared" si="28"/>
        <v>4556</v>
      </c>
      <c r="E63" s="288">
        <f t="shared" si="28"/>
        <v>2675</v>
      </c>
      <c r="F63" s="288">
        <f t="shared" si="28"/>
        <v>6744</v>
      </c>
      <c r="G63" s="293">
        <f t="shared" si="28"/>
        <v>1678</v>
      </c>
      <c r="H63" s="368">
        <f t="shared" si="28"/>
        <v>3887</v>
      </c>
      <c r="I63" s="292">
        <f t="shared" si="28"/>
        <v>3332</v>
      </c>
      <c r="J63" s="293">
        <f t="shared" si="28"/>
        <v>6938</v>
      </c>
      <c r="K63" s="368">
        <f t="shared" si="28"/>
        <v>56525</v>
      </c>
    </row>
    <row r="64" spans="1:20" s="47" customFormat="1" ht="14.25" thickBot="1" x14ac:dyDescent="0.3">
      <c r="A64" s="26" t="s">
        <v>22</v>
      </c>
      <c r="B64" s="696"/>
      <c r="C64" s="31">
        <f>AVERAGE(C54:C58)</f>
        <v>5343</v>
      </c>
      <c r="D64" s="33">
        <f>AVERAGE(D55:D58)</f>
        <v>1235</v>
      </c>
      <c r="E64" s="33">
        <f>AVERAGE(E55:E58)</f>
        <v>421.25</v>
      </c>
      <c r="F64" s="33">
        <f t="shared" ref="F64:K64" si="29">AVERAGE(F54:F58)</f>
        <v>1686</v>
      </c>
      <c r="G64" s="32">
        <f t="shared" si="29"/>
        <v>1678</v>
      </c>
      <c r="H64" s="35">
        <f>AVERAGE(H55:H58)</f>
        <v>622.75</v>
      </c>
      <c r="I64" s="31">
        <f>AVERAGE(I55:I58)</f>
        <v>553.25</v>
      </c>
      <c r="J64" s="32">
        <f t="shared" si="29"/>
        <v>1387.6</v>
      </c>
      <c r="K64" s="35">
        <f t="shared" si="29"/>
        <v>11305</v>
      </c>
    </row>
    <row r="65" spans="1:15" s="47" customFormat="1" ht="14.25" hidden="1" thickBot="1" x14ac:dyDescent="0.3">
      <c r="A65" s="149"/>
      <c r="B65" s="336"/>
      <c r="C65" s="51"/>
      <c r="D65" s="53"/>
      <c r="E65" s="53"/>
      <c r="F65" s="53"/>
      <c r="G65" s="52"/>
      <c r="H65" s="140"/>
      <c r="I65" s="12"/>
      <c r="J65" s="13"/>
      <c r="K65" s="55"/>
    </row>
    <row r="66" spans="1:15" s="47" customFormat="1" ht="14.25" hidden="1" thickBot="1" x14ac:dyDescent="0.3">
      <c r="A66" s="149"/>
      <c r="B66" s="281"/>
      <c r="C66" s="18"/>
      <c r="D66" s="20"/>
      <c r="E66" s="20"/>
      <c r="F66" s="20"/>
      <c r="G66" s="19"/>
      <c r="H66" s="140"/>
      <c r="I66" s="371"/>
      <c r="J66" s="372"/>
      <c r="K66" s="270"/>
    </row>
    <row r="67" spans="1:15" s="47" customFormat="1" ht="14.25" hidden="1" thickBot="1" x14ac:dyDescent="0.3">
      <c r="A67" s="149"/>
      <c r="B67" s="281"/>
      <c r="C67" s="18"/>
      <c r="D67" s="20"/>
      <c r="E67" s="20"/>
      <c r="F67" s="20"/>
      <c r="G67" s="19"/>
      <c r="H67" s="140"/>
      <c r="I67" s="12"/>
      <c r="J67" s="63"/>
      <c r="K67" s="335"/>
    </row>
    <row r="68" spans="1:15" s="47" customFormat="1" ht="14.25" hidden="1" thickBot="1" x14ac:dyDescent="0.3">
      <c r="A68" s="149"/>
      <c r="B68" s="281"/>
      <c r="C68" s="18"/>
      <c r="D68" s="20"/>
      <c r="E68" s="20"/>
      <c r="F68" s="20"/>
      <c r="G68" s="19"/>
      <c r="H68" s="140"/>
      <c r="I68" s="12"/>
      <c r="J68" s="63"/>
      <c r="K68" s="335"/>
    </row>
    <row r="69" spans="1:15" s="47" customFormat="1" ht="14.25" hidden="1" thickBot="1" x14ac:dyDescent="0.3">
      <c r="A69" s="25"/>
      <c r="B69" s="281"/>
      <c r="C69" s="18"/>
      <c r="D69" s="20"/>
      <c r="E69" s="20"/>
      <c r="F69" s="20"/>
      <c r="G69" s="19"/>
      <c r="H69" s="140"/>
      <c r="I69" s="12"/>
      <c r="J69" s="63"/>
      <c r="K69" s="335"/>
    </row>
    <row r="70" spans="1:15" s="47" customFormat="1" ht="14.25" hidden="1" outlineLevel="1" thickBot="1" x14ac:dyDescent="0.3">
      <c r="A70" s="25"/>
      <c r="B70" s="281"/>
      <c r="C70" s="18"/>
      <c r="D70" s="20"/>
      <c r="E70" s="20"/>
      <c r="F70" s="20"/>
      <c r="G70" s="19"/>
      <c r="H70" s="141"/>
      <c r="I70" s="18"/>
      <c r="J70" s="64"/>
      <c r="K70" s="335"/>
    </row>
    <row r="71" spans="1:15" s="47" customFormat="1" ht="14.25" hidden="1" outlineLevel="1" thickBot="1" x14ac:dyDescent="0.3">
      <c r="A71" s="25"/>
      <c r="B71" s="281"/>
      <c r="C71" s="56"/>
      <c r="D71" s="58"/>
      <c r="E71" s="58"/>
      <c r="F71" s="58"/>
      <c r="G71" s="57"/>
      <c r="H71" s="337"/>
      <c r="I71" s="21"/>
      <c r="J71" s="65"/>
      <c r="K71" s="338"/>
    </row>
    <row r="72" spans="1:15" s="47" customFormat="1" ht="14.25" hidden="1" outlineLevel="1" thickBot="1" x14ac:dyDescent="0.3">
      <c r="A72" s="158" t="s">
        <v>21</v>
      </c>
      <c r="B72" s="681" t="s">
        <v>32</v>
      </c>
      <c r="C72" s="333">
        <f>SUM(C65:C71)</f>
        <v>0</v>
      </c>
      <c r="D72" s="333">
        <f t="shared" ref="D72:K72" si="30">SUM(D65:D71)</f>
        <v>0</v>
      </c>
      <c r="E72" s="333">
        <f t="shared" si="30"/>
        <v>0</v>
      </c>
      <c r="F72" s="333">
        <f t="shared" si="30"/>
        <v>0</v>
      </c>
      <c r="G72" s="333">
        <f t="shared" si="30"/>
        <v>0</v>
      </c>
      <c r="H72" s="114">
        <f t="shared" si="30"/>
        <v>0</v>
      </c>
      <c r="I72" s="114">
        <f t="shared" si="30"/>
        <v>0</v>
      </c>
      <c r="J72" s="114">
        <f t="shared" si="30"/>
        <v>0</v>
      </c>
      <c r="K72" s="333">
        <f t="shared" si="30"/>
        <v>0</v>
      </c>
    </row>
    <row r="73" spans="1:15" s="47" customFormat="1" ht="14.25" hidden="1" outlineLevel="1" thickBot="1" x14ac:dyDescent="0.3">
      <c r="A73" s="109" t="s">
        <v>23</v>
      </c>
      <c r="B73" s="682"/>
      <c r="C73" s="110" t="e">
        <f>AVERAGE(C65:C71)</f>
        <v>#DIV/0!</v>
      </c>
      <c r="D73" s="110" t="e">
        <f t="shared" ref="D73:K73" si="31">AVERAGE(D65:D71)</f>
        <v>#DIV/0!</v>
      </c>
      <c r="E73" s="110" t="e">
        <f t="shared" si="31"/>
        <v>#DIV/0!</v>
      </c>
      <c r="F73" s="110" t="e">
        <f t="shared" si="31"/>
        <v>#DIV/0!</v>
      </c>
      <c r="G73" s="110" t="e">
        <f t="shared" si="31"/>
        <v>#DIV/0!</v>
      </c>
      <c r="H73" s="110" t="e">
        <f t="shared" si="31"/>
        <v>#DIV/0!</v>
      </c>
      <c r="I73" s="110" t="e">
        <f t="shared" si="31"/>
        <v>#DIV/0!</v>
      </c>
      <c r="J73" s="110" t="e">
        <f t="shared" si="31"/>
        <v>#DIV/0!</v>
      </c>
      <c r="K73" s="110" t="e">
        <f t="shared" si="31"/>
        <v>#DIV/0!</v>
      </c>
    </row>
    <row r="74" spans="1:15" s="47" customFormat="1" ht="14.25" hidden="1" thickBot="1" x14ac:dyDescent="0.3">
      <c r="A74" s="26" t="s">
        <v>20</v>
      </c>
      <c r="B74" s="682"/>
      <c r="C74" s="27">
        <f>SUM(C65:C69)</f>
        <v>0</v>
      </c>
      <c r="D74" s="27">
        <f t="shared" ref="D74:K74" si="32">SUM(D65:D69)</f>
        <v>0</v>
      </c>
      <c r="E74" s="27">
        <f t="shared" si="32"/>
        <v>0</v>
      </c>
      <c r="F74" s="27">
        <f t="shared" si="32"/>
        <v>0</v>
      </c>
      <c r="G74" s="27">
        <f t="shared" si="32"/>
        <v>0</v>
      </c>
      <c r="H74" s="27">
        <f t="shared" si="32"/>
        <v>0</v>
      </c>
      <c r="I74" s="27">
        <f t="shared" si="32"/>
        <v>0</v>
      </c>
      <c r="J74" s="27">
        <f t="shared" si="32"/>
        <v>0</v>
      </c>
      <c r="K74" s="27">
        <f t="shared" si="32"/>
        <v>0</v>
      </c>
    </row>
    <row r="75" spans="1:15" s="47" customFormat="1" ht="14.25" hidden="1" thickBot="1" x14ac:dyDescent="0.3">
      <c r="A75" s="26" t="s">
        <v>22</v>
      </c>
      <c r="B75" s="683"/>
      <c r="C75" s="31" t="e">
        <f>AVERAGE(C65:C69)</f>
        <v>#DIV/0!</v>
      </c>
      <c r="D75" s="31" t="e">
        <f t="shared" ref="D75:K75" si="33">AVERAGE(D65:D69)</f>
        <v>#DIV/0!</v>
      </c>
      <c r="E75" s="31" t="e">
        <f t="shared" si="33"/>
        <v>#DIV/0!</v>
      </c>
      <c r="F75" s="31" t="e">
        <f t="shared" si="33"/>
        <v>#DIV/0!</v>
      </c>
      <c r="G75" s="31" t="e">
        <f t="shared" si="33"/>
        <v>#DIV/0!</v>
      </c>
      <c r="H75" s="31" t="e">
        <f t="shared" si="33"/>
        <v>#DIV/0!</v>
      </c>
      <c r="I75" s="31" t="e">
        <f t="shared" si="33"/>
        <v>#DIV/0!</v>
      </c>
      <c r="J75" s="31" t="e">
        <f t="shared" si="33"/>
        <v>#DIV/0!</v>
      </c>
      <c r="K75" s="31" t="e">
        <f t="shared" si="33"/>
        <v>#DIV/0!</v>
      </c>
    </row>
    <row r="76" spans="1:15" s="47" customFormat="1" ht="15" customHeight="1" x14ac:dyDescent="0.25">
      <c r="A76" s="4"/>
      <c r="B76" s="131"/>
      <c r="C76" s="50"/>
      <c r="D76" s="50"/>
      <c r="E76" s="50"/>
      <c r="F76" s="50"/>
      <c r="G76" s="50"/>
      <c r="H76" s="50"/>
      <c r="I76" s="50"/>
      <c r="J76" s="50"/>
      <c r="K76" s="50"/>
    </row>
    <row r="77" spans="1:15" s="47" customFormat="1" ht="30" customHeight="1" x14ac:dyDescent="0.25">
      <c r="A77" s="190"/>
      <c r="B77" s="38" t="s">
        <v>8</v>
      </c>
      <c r="C77" s="39" t="s">
        <v>9</v>
      </c>
      <c r="D77" s="39" t="s">
        <v>10</v>
      </c>
      <c r="E77" s="60"/>
      <c r="F77" s="689" t="s">
        <v>58</v>
      </c>
      <c r="G77" s="690"/>
      <c r="H77" s="691"/>
      <c r="I77" s="60"/>
      <c r="J77" s="60"/>
      <c r="K77" s="60"/>
      <c r="L77" s="60"/>
      <c r="M77" s="50"/>
      <c r="N77" s="50"/>
      <c r="O77" s="50"/>
    </row>
    <row r="78" spans="1:15" ht="29.25" customHeight="1" x14ac:dyDescent="0.25">
      <c r="A78" s="42" t="s">
        <v>118</v>
      </c>
      <c r="B78" s="189">
        <f>SUM(C6:G6,C61:G61, C50:G50, C39:G39, C28:G28, C17:G17, C72:G72  )</f>
        <v>285191</v>
      </c>
      <c r="C78" s="37">
        <f>SUM(,H6,H61:H61, H50:H50, H39:H39, H28:H28, H17:H17, H72:H72 )</f>
        <v>30392</v>
      </c>
      <c r="D78" s="37">
        <f>SUM(,I6:J6,I61:J61, I50:J50, I39:J39, I28:J28, I17:J17, I72:J72)</f>
        <v>65750</v>
      </c>
      <c r="E78" s="61"/>
      <c r="F78" s="677" t="s">
        <v>30</v>
      </c>
      <c r="G78" s="678"/>
      <c r="H78" s="106">
        <f>SUM(K19, K30, K41, K52, K63, K74)</f>
        <v>321614</v>
      </c>
      <c r="I78" s="61"/>
      <c r="J78" s="61"/>
      <c r="K78" s="61"/>
      <c r="L78" s="61"/>
    </row>
    <row r="79" spans="1:15" ht="30" customHeight="1" x14ac:dyDescent="0.25">
      <c r="A79" s="42" t="s">
        <v>30</v>
      </c>
      <c r="B79" s="191">
        <f>SUM(C63:G63, C52:G52, C41:G41, C30:G30, C19:G19, C74:G74 )</f>
        <v>230619</v>
      </c>
      <c r="C79" s="62">
        <f>SUM(H63:H63, H52:H52, H41:H41, H30:H30, H19:H19, H74:H74)</f>
        <v>25245</v>
      </c>
      <c r="D79" s="62">
        <f>SUM(I63:J63, I52:J52, I41:J41, I30:J30, I19:J19, I74:J74)</f>
        <v>65750</v>
      </c>
      <c r="E79" s="61"/>
      <c r="F79" s="677" t="s">
        <v>118</v>
      </c>
      <c r="G79" s="678"/>
      <c r="H79" s="107">
        <f>SUM(K6,K61, K50, K39, K28, K17, K72)</f>
        <v>381333</v>
      </c>
      <c r="I79" s="61"/>
      <c r="J79" s="61"/>
      <c r="K79" s="61"/>
      <c r="L79" s="61"/>
    </row>
    <row r="80" spans="1:15" ht="30" customHeight="1" x14ac:dyDescent="0.25">
      <c r="F80" s="677" t="s">
        <v>22</v>
      </c>
      <c r="G80" s="678"/>
      <c r="H80" s="107">
        <f>AVERAGE(K19, K30, K41, K52, K63, K74)</f>
        <v>53602.333333333336</v>
      </c>
    </row>
    <row r="81" spans="6:8" ht="30" customHeight="1" x14ac:dyDescent="0.25">
      <c r="F81" s="677" t="s">
        <v>119</v>
      </c>
      <c r="G81" s="678"/>
      <c r="H81" s="106">
        <f>AVERAGE(K6,K61, K50, K39, K28, K17, K72)</f>
        <v>54476.142857142855</v>
      </c>
    </row>
  </sheetData>
  <mergeCells count="26">
    <mergeCell ref="F80:G80"/>
    <mergeCell ref="F81:G81"/>
    <mergeCell ref="J3:J4"/>
    <mergeCell ref="K1:K4"/>
    <mergeCell ref="C1:G2"/>
    <mergeCell ref="H1:H2"/>
    <mergeCell ref="I1:J2"/>
    <mergeCell ref="G3:G4"/>
    <mergeCell ref="H3:H4"/>
    <mergeCell ref="I3:I4"/>
    <mergeCell ref="F79:G79"/>
    <mergeCell ref="A3:A4"/>
    <mergeCell ref="B3:B4"/>
    <mergeCell ref="C3:C4"/>
    <mergeCell ref="F77:H77"/>
    <mergeCell ref="F78:G78"/>
    <mergeCell ref="D3:D4"/>
    <mergeCell ref="E3:E4"/>
    <mergeCell ref="F3:F4"/>
    <mergeCell ref="B72:B75"/>
    <mergeCell ref="B61:B64"/>
    <mergeCell ref="B50:B53"/>
    <mergeCell ref="B39:B42"/>
    <mergeCell ref="B28:B31"/>
    <mergeCell ref="B17:B20"/>
    <mergeCell ref="B6:B9"/>
  </mergeCells>
  <pageMargins left="0.7" right="0.7" top="0.75" bottom="0.75" header="0.3" footer="0.3"/>
  <pageSetup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85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R61" sqref="R61"/>
    </sheetView>
  </sheetViews>
  <sheetFormatPr defaultRowHeight="15" outlineLevelRow="1" x14ac:dyDescent="0.25"/>
  <cols>
    <col min="1" max="1" width="18.7109375" style="1" bestFit="1" customWidth="1"/>
    <col min="2" max="2" width="10.7109375" style="132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0" width="10.7109375" style="1" customWidth="1"/>
    <col min="11" max="11" width="12.7109375" style="1" customWidth="1"/>
    <col min="12" max="12" width="10.85546875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24" ht="15" customHeight="1" x14ac:dyDescent="0.25">
      <c r="A1" s="23"/>
      <c r="B1" s="168"/>
      <c r="C1" s="701" t="s">
        <v>8</v>
      </c>
      <c r="D1" s="702"/>
      <c r="E1" s="703"/>
      <c r="F1" s="701" t="s">
        <v>79</v>
      </c>
      <c r="G1" s="702"/>
      <c r="H1" s="703"/>
      <c r="I1" s="701" t="s">
        <v>10</v>
      </c>
      <c r="J1" s="702"/>
      <c r="K1" s="702"/>
      <c r="L1" s="707" t="s">
        <v>65</v>
      </c>
      <c r="M1" s="699" t="s">
        <v>19</v>
      </c>
    </row>
    <row r="2" spans="1:24" ht="15" customHeight="1" thickBot="1" x14ac:dyDescent="0.3">
      <c r="A2" s="24"/>
      <c r="B2" s="169"/>
      <c r="C2" s="704"/>
      <c r="D2" s="705"/>
      <c r="E2" s="706"/>
      <c r="F2" s="704"/>
      <c r="G2" s="705"/>
      <c r="H2" s="706"/>
      <c r="I2" s="704"/>
      <c r="J2" s="705"/>
      <c r="K2" s="705"/>
      <c r="L2" s="708"/>
      <c r="M2" s="700"/>
    </row>
    <row r="3" spans="1:24" ht="15" customHeight="1" x14ac:dyDescent="0.25">
      <c r="A3" s="662" t="s">
        <v>52</v>
      </c>
      <c r="B3" s="687" t="s">
        <v>53</v>
      </c>
      <c r="C3" s="714" t="s">
        <v>15</v>
      </c>
      <c r="D3" s="710" t="s">
        <v>16</v>
      </c>
      <c r="E3" s="697" t="s">
        <v>81</v>
      </c>
      <c r="F3" s="712" t="s">
        <v>15</v>
      </c>
      <c r="G3" s="710" t="s">
        <v>16</v>
      </c>
      <c r="H3" s="697" t="s">
        <v>81</v>
      </c>
      <c r="I3" s="712" t="s">
        <v>15</v>
      </c>
      <c r="J3" s="692" t="s">
        <v>17</v>
      </c>
      <c r="K3" s="710" t="s">
        <v>16</v>
      </c>
      <c r="L3" s="655" t="s">
        <v>18</v>
      </c>
      <c r="M3" s="700"/>
    </row>
    <row r="4" spans="1:24" ht="15.75" thickBot="1" x14ac:dyDescent="0.3">
      <c r="A4" s="686"/>
      <c r="B4" s="688"/>
      <c r="C4" s="715"/>
      <c r="D4" s="711"/>
      <c r="E4" s="698"/>
      <c r="F4" s="713"/>
      <c r="G4" s="711"/>
      <c r="H4" s="698"/>
      <c r="I4" s="713"/>
      <c r="J4" s="693"/>
      <c r="K4" s="711"/>
      <c r="L4" s="657"/>
      <c r="M4" s="700"/>
    </row>
    <row r="5" spans="1:24" ht="15.75" hidden="1" thickBot="1" x14ac:dyDescent="0.3">
      <c r="A5" s="507" t="s">
        <v>2</v>
      </c>
      <c r="B5" s="522">
        <v>43709</v>
      </c>
      <c r="C5" s="523"/>
      <c r="D5" s="524"/>
      <c r="E5" s="525"/>
      <c r="F5" s="523"/>
      <c r="G5" s="524"/>
      <c r="H5" s="525"/>
      <c r="I5" s="526"/>
      <c r="J5" s="527"/>
      <c r="K5" s="524"/>
      <c r="L5" s="528"/>
      <c r="M5" s="529">
        <f>SUM(C5:L5)</f>
        <v>0</v>
      </c>
    </row>
    <row r="6" spans="1:24" s="3" customFormat="1" ht="15" hidden="1" customHeight="1" outlineLevel="1" thickBot="1" x14ac:dyDescent="0.3">
      <c r="A6" s="158" t="s">
        <v>21</v>
      </c>
      <c r="B6" s="682" t="s">
        <v>24</v>
      </c>
      <c r="C6" s="257">
        <f>SUM(C5)</f>
        <v>0</v>
      </c>
      <c r="D6" s="257">
        <f t="shared" ref="D6:L6" si="0">SUM(D5)</f>
        <v>0</v>
      </c>
      <c r="E6" s="257">
        <f t="shared" si="0"/>
        <v>0</v>
      </c>
      <c r="F6" s="257">
        <f t="shared" si="0"/>
        <v>0</v>
      </c>
      <c r="G6" s="257">
        <f t="shared" si="0"/>
        <v>0</v>
      </c>
      <c r="H6" s="257">
        <f t="shared" si="0"/>
        <v>0</v>
      </c>
      <c r="I6" s="257">
        <f t="shared" si="0"/>
        <v>0</v>
      </c>
      <c r="J6" s="257">
        <f t="shared" si="0"/>
        <v>0</v>
      </c>
      <c r="K6" s="257">
        <f t="shared" si="0"/>
        <v>0</v>
      </c>
      <c r="L6" s="257">
        <f t="shared" si="0"/>
        <v>0</v>
      </c>
      <c r="M6" s="300">
        <f>SUM(M5)</f>
        <v>0</v>
      </c>
      <c r="O6" s="355"/>
      <c r="Q6" s="355"/>
      <c r="R6" s="355"/>
    </row>
    <row r="7" spans="1:24" s="3" customFormat="1" ht="15" hidden="1" customHeight="1" outlineLevel="1" thickBot="1" x14ac:dyDescent="0.3">
      <c r="A7" s="109" t="s">
        <v>23</v>
      </c>
      <c r="B7" s="682"/>
      <c r="C7" s="257" t="e">
        <f>AVERAGE(C5)</f>
        <v>#DIV/0!</v>
      </c>
      <c r="D7" s="257" t="e">
        <f t="shared" ref="D7:L7" si="1">AVERAGE(D5)</f>
        <v>#DIV/0!</v>
      </c>
      <c r="E7" s="257" t="e">
        <f t="shared" si="1"/>
        <v>#DIV/0!</v>
      </c>
      <c r="F7" s="257" t="e">
        <f t="shared" si="1"/>
        <v>#DIV/0!</v>
      </c>
      <c r="G7" s="257" t="e">
        <f t="shared" si="1"/>
        <v>#DIV/0!</v>
      </c>
      <c r="H7" s="257" t="e">
        <f t="shared" si="1"/>
        <v>#DIV/0!</v>
      </c>
      <c r="I7" s="257" t="e">
        <f t="shared" si="1"/>
        <v>#DIV/0!</v>
      </c>
      <c r="J7" s="257" t="e">
        <f t="shared" si="1"/>
        <v>#DIV/0!</v>
      </c>
      <c r="K7" s="257" t="e">
        <f t="shared" si="1"/>
        <v>#DIV/0!</v>
      </c>
      <c r="L7" s="257" t="e">
        <f t="shared" si="1"/>
        <v>#DIV/0!</v>
      </c>
      <c r="M7" s="300">
        <f>AVERAGE(M5)</f>
        <v>0</v>
      </c>
      <c r="O7" s="355"/>
      <c r="Q7" s="355"/>
      <c r="R7" s="355"/>
      <c r="S7" s="355"/>
    </row>
    <row r="8" spans="1:24" s="3" customFormat="1" ht="15" hidden="1" customHeight="1" thickBot="1" x14ac:dyDescent="0.3">
      <c r="A8" s="26" t="s">
        <v>20</v>
      </c>
      <c r="B8" s="682"/>
      <c r="C8" s="259" t="e">
        <f>SUM(#REF!)</f>
        <v>#REF!</v>
      </c>
      <c r="D8" s="238" t="e">
        <f>SUM(#REF!)</f>
        <v>#REF!</v>
      </c>
      <c r="E8" s="260" t="e">
        <f>SUM(#REF!)</f>
        <v>#REF!</v>
      </c>
      <c r="F8" s="316" t="e">
        <f>SUM(#REF!)</f>
        <v>#REF!</v>
      </c>
      <c r="G8" s="238" t="e">
        <f>SUM(#REF!)</f>
        <v>#REF!</v>
      </c>
      <c r="H8" s="298" t="e">
        <f>SUM(#REF!)</f>
        <v>#REF!</v>
      </c>
      <c r="I8" s="259" t="e">
        <f>SUM(#REF!)</f>
        <v>#REF!</v>
      </c>
      <c r="J8" s="238" t="e">
        <f>SUM(#REF!)</f>
        <v>#REF!</v>
      </c>
      <c r="K8" s="298" t="e">
        <f>SUM(#REF!)</f>
        <v>#REF!</v>
      </c>
      <c r="L8" s="303" t="e">
        <f>SUM(#REF!)</f>
        <v>#REF!</v>
      </c>
      <c r="M8" s="301" t="e">
        <f>SUM(#REF!)</f>
        <v>#REF!</v>
      </c>
      <c r="O8" s="355"/>
      <c r="P8" s="355"/>
      <c r="Q8" s="355"/>
      <c r="R8" s="355"/>
      <c r="S8" s="355"/>
      <c r="T8" s="355"/>
      <c r="U8" s="355"/>
      <c r="V8" s="355"/>
      <c r="W8" s="355"/>
      <c r="X8" s="355"/>
    </row>
    <row r="9" spans="1:24" s="3" customFormat="1" ht="15" hidden="1" customHeight="1" thickBot="1" x14ac:dyDescent="0.3">
      <c r="A9" s="26" t="s">
        <v>22</v>
      </c>
      <c r="B9" s="682"/>
      <c r="C9" s="259" t="e">
        <f>AVERAGE(#REF!)</f>
        <v>#REF!</v>
      </c>
      <c r="D9" s="238" t="e">
        <f>AVERAGE(#REF!)</f>
        <v>#REF!</v>
      </c>
      <c r="E9" s="260" t="e">
        <f>AVERAGE(#REF!)</f>
        <v>#REF!</v>
      </c>
      <c r="F9" s="316" t="e">
        <f>AVERAGE(#REF!)</f>
        <v>#REF!</v>
      </c>
      <c r="G9" s="238" t="e">
        <f>AVERAGE(#REF!)</f>
        <v>#REF!</v>
      </c>
      <c r="H9" s="298" t="e">
        <f>AVERAGE(#REF!)</f>
        <v>#REF!</v>
      </c>
      <c r="I9" s="259" t="e">
        <f>AVERAGE(#REF!)</f>
        <v>#REF!</v>
      </c>
      <c r="J9" s="238" t="e">
        <f>AVERAGE(#REF!)</f>
        <v>#REF!</v>
      </c>
      <c r="K9" s="298" t="e">
        <f>AVERAGE(#REF!)</f>
        <v>#REF!</v>
      </c>
      <c r="L9" s="303" t="e">
        <f>AVERAGE(#REF!)</f>
        <v>#REF!</v>
      </c>
      <c r="M9" s="301" t="e">
        <f>AVERAGE(#REF!)</f>
        <v>#REF!</v>
      </c>
      <c r="O9" s="355"/>
      <c r="P9" s="355"/>
      <c r="Q9" s="355"/>
      <c r="R9" s="355"/>
      <c r="S9" s="355"/>
      <c r="T9" s="355"/>
      <c r="U9" s="355"/>
      <c r="V9" s="355"/>
      <c r="W9" s="355"/>
      <c r="X9" s="355"/>
    </row>
    <row r="10" spans="1:24" s="2" customFormat="1" hidden="1" x14ac:dyDescent="0.25">
      <c r="A10" s="25" t="s">
        <v>3</v>
      </c>
      <c r="B10" s="373">
        <v>43738</v>
      </c>
      <c r="C10" s="377"/>
      <c r="D10" s="378"/>
      <c r="E10" s="379"/>
      <c r="F10" s="375"/>
      <c r="G10" s="226"/>
      <c r="H10" s="351"/>
      <c r="I10" s="265"/>
      <c r="J10" s="226"/>
      <c r="K10" s="351"/>
      <c r="L10" s="434"/>
      <c r="M10" s="17">
        <f t="shared" ref="M10:M16" si="2">SUM(C10:L10)</f>
        <v>0</v>
      </c>
      <c r="O10" s="355"/>
      <c r="P10" s="355"/>
      <c r="Q10" s="355"/>
      <c r="R10" s="355"/>
      <c r="S10" s="355"/>
      <c r="T10" s="355"/>
      <c r="U10" s="355"/>
      <c r="V10" s="355"/>
    </row>
    <row r="11" spans="1:24" s="2" customFormat="1" hidden="1" x14ac:dyDescent="0.25">
      <c r="A11" s="25" t="s">
        <v>4</v>
      </c>
      <c r="B11" s="374">
        <v>43767</v>
      </c>
      <c r="C11" s="256"/>
      <c r="D11" s="223"/>
      <c r="E11" s="247"/>
      <c r="F11" s="272"/>
      <c r="G11" s="223"/>
      <c r="H11" s="247"/>
      <c r="I11" s="256"/>
      <c r="J11" s="223"/>
      <c r="K11" s="247"/>
      <c r="L11" s="193"/>
      <c r="M11" s="304">
        <f t="shared" si="2"/>
        <v>0</v>
      </c>
      <c r="O11" s="355"/>
      <c r="P11" s="355"/>
      <c r="Q11" s="355"/>
      <c r="R11" s="355"/>
      <c r="S11" s="355"/>
      <c r="T11" s="355"/>
      <c r="U11" s="355"/>
      <c r="V11" s="355"/>
      <c r="W11" s="355"/>
    </row>
    <row r="12" spans="1:24" s="2" customFormat="1" hidden="1" outlineLevel="1" x14ac:dyDescent="0.25">
      <c r="A12" s="25" t="s">
        <v>5</v>
      </c>
      <c r="B12" s="374">
        <v>43768</v>
      </c>
      <c r="C12" s="256"/>
      <c r="D12" s="223"/>
      <c r="E12" s="247"/>
      <c r="F12" s="376"/>
      <c r="G12" s="223"/>
      <c r="H12" s="247"/>
      <c r="I12" s="256"/>
      <c r="J12" s="223"/>
      <c r="K12" s="247"/>
      <c r="L12" s="193"/>
      <c r="M12" s="304">
        <f t="shared" si="2"/>
        <v>0</v>
      </c>
      <c r="O12" s="355"/>
      <c r="P12" s="355"/>
      <c r="Q12" s="355"/>
      <c r="R12" s="355"/>
      <c r="S12" s="355"/>
      <c r="T12" s="355"/>
      <c r="U12" s="355"/>
      <c r="V12" s="355"/>
      <c r="W12" s="355"/>
    </row>
    <row r="13" spans="1:24" s="2" customFormat="1" hidden="1" outlineLevel="1" x14ac:dyDescent="0.25">
      <c r="A13" s="25" t="s">
        <v>6</v>
      </c>
      <c r="B13" s="374">
        <v>43769</v>
      </c>
      <c r="C13" s="256"/>
      <c r="D13" s="223"/>
      <c r="E13" s="247"/>
      <c r="F13" s="376"/>
      <c r="G13" s="223"/>
      <c r="H13" s="247"/>
      <c r="I13" s="256"/>
      <c r="J13" s="223"/>
      <c r="K13" s="247"/>
      <c r="L13" s="193"/>
      <c r="M13" s="304">
        <f t="shared" si="2"/>
        <v>0</v>
      </c>
      <c r="N13" s="150"/>
      <c r="O13" s="355"/>
      <c r="P13" s="355"/>
      <c r="Q13" s="355"/>
      <c r="R13" s="355"/>
      <c r="S13" s="355"/>
      <c r="T13" s="355"/>
      <c r="U13" s="355"/>
      <c r="V13" s="355"/>
      <c r="W13" s="355"/>
    </row>
    <row r="14" spans="1:24" s="2" customFormat="1" outlineLevel="1" x14ac:dyDescent="0.25">
      <c r="A14" s="25" t="s">
        <v>0</v>
      </c>
      <c r="B14" s="374">
        <v>43770</v>
      </c>
      <c r="C14" s="256">
        <v>398</v>
      </c>
      <c r="D14" s="223">
        <v>249</v>
      </c>
      <c r="E14" s="247">
        <v>381</v>
      </c>
      <c r="F14" s="376">
        <v>2484</v>
      </c>
      <c r="G14" s="223">
        <v>2571</v>
      </c>
      <c r="H14" s="247">
        <v>367</v>
      </c>
      <c r="I14" s="256">
        <v>729</v>
      </c>
      <c r="J14" s="223">
        <v>360</v>
      </c>
      <c r="K14" s="247">
        <v>2288</v>
      </c>
      <c r="L14" s="193">
        <v>329</v>
      </c>
      <c r="M14" s="304">
        <f t="shared" si="2"/>
        <v>10156</v>
      </c>
      <c r="N14" s="150"/>
      <c r="O14" s="355"/>
      <c r="P14" s="355"/>
      <c r="Q14" s="355"/>
      <c r="R14" s="355"/>
      <c r="S14" s="355"/>
      <c r="T14" s="355"/>
      <c r="U14" s="355"/>
      <c r="V14" s="355"/>
      <c r="W14" s="355"/>
    </row>
    <row r="15" spans="1:24" s="2" customFormat="1" outlineLevel="1" x14ac:dyDescent="0.25">
      <c r="A15" s="25" t="s">
        <v>1</v>
      </c>
      <c r="B15" s="374">
        <v>43771</v>
      </c>
      <c r="C15" s="256">
        <v>439</v>
      </c>
      <c r="D15" s="223">
        <v>771</v>
      </c>
      <c r="E15" s="247">
        <v>590</v>
      </c>
      <c r="F15" s="272">
        <v>1685</v>
      </c>
      <c r="G15" s="223">
        <v>705</v>
      </c>
      <c r="H15" s="247">
        <v>14074</v>
      </c>
      <c r="I15" s="256"/>
      <c r="J15" s="223"/>
      <c r="K15" s="247"/>
      <c r="L15" s="193"/>
      <c r="M15" s="304">
        <f t="shared" si="2"/>
        <v>18264</v>
      </c>
      <c r="N15" s="150"/>
      <c r="O15" s="355"/>
      <c r="P15" s="355"/>
      <c r="Q15" s="355"/>
      <c r="R15" s="355"/>
      <c r="S15" s="355"/>
      <c r="T15" s="355"/>
      <c r="U15" s="355"/>
      <c r="V15" s="355"/>
      <c r="W15" s="355"/>
    </row>
    <row r="16" spans="1:24" s="2" customFormat="1" ht="15" customHeight="1" outlineLevel="1" thickBot="1" x14ac:dyDescent="0.3">
      <c r="A16" s="25" t="s">
        <v>2</v>
      </c>
      <c r="B16" s="374">
        <v>43772</v>
      </c>
      <c r="C16" s="256">
        <v>402</v>
      </c>
      <c r="D16" s="223">
        <v>506</v>
      </c>
      <c r="E16" s="247">
        <v>425</v>
      </c>
      <c r="F16" s="272">
        <v>1216</v>
      </c>
      <c r="G16" s="223">
        <v>708</v>
      </c>
      <c r="H16" s="247">
        <v>11409</v>
      </c>
      <c r="I16" s="256"/>
      <c r="J16" s="223"/>
      <c r="K16" s="247"/>
      <c r="L16" s="193"/>
      <c r="M16" s="304">
        <f t="shared" si="2"/>
        <v>14666</v>
      </c>
      <c r="N16" s="150"/>
      <c r="O16" s="355"/>
      <c r="P16" s="355"/>
      <c r="R16" s="355"/>
      <c r="S16" s="355"/>
      <c r="V16" s="355"/>
      <c r="W16" s="355"/>
    </row>
    <row r="17" spans="1:24" s="3" customFormat="1" ht="15" customHeight="1" outlineLevel="1" thickBot="1" x14ac:dyDescent="0.3">
      <c r="A17" s="158" t="s">
        <v>21</v>
      </c>
      <c r="B17" s="682" t="s">
        <v>24</v>
      </c>
      <c r="C17" s="257">
        <f t="shared" ref="C17:L17" si="3">SUM(C10:C16)</f>
        <v>1239</v>
      </c>
      <c r="D17" s="237">
        <f t="shared" si="3"/>
        <v>1526</v>
      </c>
      <c r="E17" s="258">
        <f t="shared" si="3"/>
        <v>1396</v>
      </c>
      <c r="F17" s="315">
        <f t="shared" si="3"/>
        <v>5385</v>
      </c>
      <c r="G17" s="237">
        <f t="shared" si="3"/>
        <v>3984</v>
      </c>
      <c r="H17" s="297">
        <f t="shared" si="3"/>
        <v>25850</v>
      </c>
      <c r="I17" s="257">
        <f t="shared" si="3"/>
        <v>729</v>
      </c>
      <c r="J17" s="237">
        <f t="shared" si="3"/>
        <v>360</v>
      </c>
      <c r="K17" s="297">
        <f t="shared" si="3"/>
        <v>2288</v>
      </c>
      <c r="L17" s="302">
        <f t="shared" si="3"/>
        <v>329</v>
      </c>
      <c r="M17" s="300">
        <f>SUM(M10:M16)</f>
        <v>43086</v>
      </c>
      <c r="O17" s="355"/>
      <c r="Q17" s="355"/>
      <c r="R17" s="355"/>
    </row>
    <row r="18" spans="1:24" s="3" customFormat="1" ht="15" customHeight="1" outlineLevel="1" thickBot="1" x14ac:dyDescent="0.3">
      <c r="A18" s="109" t="s">
        <v>23</v>
      </c>
      <c r="B18" s="682"/>
      <c r="C18" s="257">
        <f>AVERAGE(C10:C16)</f>
        <v>413</v>
      </c>
      <c r="D18" s="237">
        <f>AVERAGE(D10:D16)</f>
        <v>508.66666666666669</v>
      </c>
      <c r="E18" s="258">
        <f>AVERAGE(E10:E16)</f>
        <v>465.33333333333331</v>
      </c>
      <c r="F18" s="315">
        <f t="shared" ref="F18:L18" si="4">AVERAGE(F10:F16)</f>
        <v>1795</v>
      </c>
      <c r="G18" s="237">
        <f t="shared" si="4"/>
        <v>1328</v>
      </c>
      <c r="H18" s="297">
        <f>AVERAGE(H10:H16)</f>
        <v>8616.6666666666661</v>
      </c>
      <c r="I18" s="257">
        <f t="shared" si="4"/>
        <v>729</v>
      </c>
      <c r="J18" s="237">
        <f t="shared" si="4"/>
        <v>360</v>
      </c>
      <c r="K18" s="297">
        <f t="shared" si="4"/>
        <v>2288</v>
      </c>
      <c r="L18" s="302">
        <f t="shared" si="4"/>
        <v>329</v>
      </c>
      <c r="M18" s="300">
        <f>AVERAGE(M10:M16)</f>
        <v>6155.1428571428569</v>
      </c>
      <c r="O18" s="355"/>
      <c r="Q18" s="355"/>
      <c r="R18" s="355"/>
      <c r="S18" s="355"/>
    </row>
    <row r="19" spans="1:24" s="3" customFormat="1" ht="15" customHeight="1" thickBot="1" x14ac:dyDescent="0.3">
      <c r="A19" s="26" t="s">
        <v>20</v>
      </c>
      <c r="B19" s="682"/>
      <c r="C19" s="259">
        <f t="shared" ref="C19:L19" si="5">SUM(C10:C14)</f>
        <v>398</v>
      </c>
      <c r="D19" s="238">
        <f t="shared" si="5"/>
        <v>249</v>
      </c>
      <c r="E19" s="260">
        <f t="shared" si="5"/>
        <v>381</v>
      </c>
      <c r="F19" s="316">
        <f t="shared" si="5"/>
        <v>2484</v>
      </c>
      <c r="G19" s="238">
        <f t="shared" si="5"/>
        <v>2571</v>
      </c>
      <c r="H19" s="298">
        <f t="shared" si="5"/>
        <v>367</v>
      </c>
      <c r="I19" s="259">
        <f t="shared" si="5"/>
        <v>729</v>
      </c>
      <c r="J19" s="238">
        <f t="shared" si="5"/>
        <v>360</v>
      </c>
      <c r="K19" s="298">
        <f t="shared" si="5"/>
        <v>2288</v>
      </c>
      <c r="L19" s="303">
        <f t="shared" si="5"/>
        <v>329</v>
      </c>
      <c r="M19" s="301">
        <f>SUM(M10:M14)</f>
        <v>10156</v>
      </c>
      <c r="O19" s="355"/>
      <c r="P19" s="355"/>
      <c r="Q19" s="355"/>
      <c r="R19" s="355"/>
      <c r="S19" s="355"/>
      <c r="T19" s="355"/>
      <c r="U19" s="355"/>
      <c r="V19" s="355"/>
      <c r="W19" s="355"/>
      <c r="X19" s="355"/>
    </row>
    <row r="20" spans="1:24" s="3" customFormat="1" ht="15" customHeight="1" thickBot="1" x14ac:dyDescent="0.3">
      <c r="A20" s="26" t="s">
        <v>22</v>
      </c>
      <c r="B20" s="682"/>
      <c r="C20" s="259">
        <f>AVERAGE(C10:C14)</f>
        <v>398</v>
      </c>
      <c r="D20" s="238">
        <f t="shared" ref="D20:L20" si="6">AVERAGE(D10:D14)</f>
        <v>249</v>
      </c>
      <c r="E20" s="260">
        <f>AVERAGE(E10:E14)</f>
        <v>381</v>
      </c>
      <c r="F20" s="316">
        <f>AVERAGE(F10:F14)</f>
        <v>2484</v>
      </c>
      <c r="G20" s="238">
        <f t="shared" si="6"/>
        <v>2571</v>
      </c>
      <c r="H20" s="298">
        <f>AVERAGE(H10:H14)</f>
        <v>367</v>
      </c>
      <c r="I20" s="259">
        <f>AVERAGE(I10:I14)</f>
        <v>729</v>
      </c>
      <c r="J20" s="238">
        <f t="shared" si="6"/>
        <v>360</v>
      </c>
      <c r="K20" s="298">
        <f t="shared" si="6"/>
        <v>2288</v>
      </c>
      <c r="L20" s="303">
        <f t="shared" si="6"/>
        <v>329</v>
      </c>
      <c r="M20" s="301">
        <f>AVERAGE(M10:M14)</f>
        <v>2031.2</v>
      </c>
      <c r="O20" s="355"/>
      <c r="P20" s="355"/>
      <c r="Q20" s="355"/>
      <c r="R20" s="355"/>
      <c r="S20" s="355"/>
      <c r="T20" s="355"/>
      <c r="U20" s="355"/>
      <c r="V20" s="355"/>
      <c r="W20" s="355"/>
      <c r="X20" s="355"/>
    </row>
    <row r="21" spans="1:24" s="3" customFormat="1" ht="15" customHeight="1" x14ac:dyDescent="0.25">
      <c r="A21" s="25" t="s">
        <v>3</v>
      </c>
      <c r="B21" s="170">
        <f>B16+1</f>
        <v>43773</v>
      </c>
      <c r="C21" s="256">
        <v>375</v>
      </c>
      <c r="D21" s="223">
        <v>249</v>
      </c>
      <c r="E21" s="247">
        <v>359</v>
      </c>
      <c r="F21" s="272">
        <v>2725</v>
      </c>
      <c r="G21" s="223">
        <v>2831</v>
      </c>
      <c r="H21" s="245">
        <v>370</v>
      </c>
      <c r="I21" s="256">
        <v>792</v>
      </c>
      <c r="J21" s="223">
        <v>552</v>
      </c>
      <c r="K21" s="245">
        <v>2210</v>
      </c>
      <c r="L21" s="193">
        <v>375</v>
      </c>
      <c r="M21" s="304">
        <f t="shared" ref="M21:M26" si="7">SUM(C21:L21)</f>
        <v>10838</v>
      </c>
      <c r="O21" s="355"/>
      <c r="P21" s="355"/>
      <c r="Q21" s="355"/>
      <c r="R21" s="355"/>
      <c r="S21" s="355"/>
      <c r="T21" s="355"/>
      <c r="U21" s="355"/>
      <c r="V21" s="355"/>
      <c r="W21" s="355"/>
      <c r="X21" s="355"/>
    </row>
    <row r="22" spans="1:24" s="3" customFormat="1" ht="15" customHeight="1" x14ac:dyDescent="0.25">
      <c r="A22" s="25" t="s">
        <v>4</v>
      </c>
      <c r="B22" s="171">
        <f t="shared" ref="B22:B27" si="8">B21+1</f>
        <v>43774</v>
      </c>
      <c r="C22" s="256">
        <v>346</v>
      </c>
      <c r="D22" s="223">
        <v>258</v>
      </c>
      <c r="E22" s="247">
        <v>411</v>
      </c>
      <c r="F22" s="272">
        <v>2879</v>
      </c>
      <c r="G22" s="223">
        <v>2786</v>
      </c>
      <c r="H22" s="245">
        <v>371</v>
      </c>
      <c r="I22" s="256">
        <v>735</v>
      </c>
      <c r="J22" s="223">
        <v>542</v>
      </c>
      <c r="K22" s="245">
        <v>2418</v>
      </c>
      <c r="L22" s="193">
        <v>363</v>
      </c>
      <c r="M22" s="304">
        <f t="shared" si="7"/>
        <v>11109</v>
      </c>
      <c r="O22" s="355"/>
      <c r="P22" s="355"/>
      <c r="Q22" s="355"/>
      <c r="R22" s="355"/>
      <c r="S22" s="355"/>
      <c r="T22" s="355"/>
      <c r="U22" s="355"/>
      <c r="V22" s="355"/>
      <c r="W22" s="355"/>
      <c r="X22" s="355"/>
    </row>
    <row r="23" spans="1:24" s="3" customFormat="1" ht="15" customHeight="1" x14ac:dyDescent="0.25">
      <c r="A23" s="25" t="s">
        <v>5</v>
      </c>
      <c r="B23" s="171">
        <f t="shared" si="8"/>
        <v>43775</v>
      </c>
      <c r="C23" s="256">
        <v>384</v>
      </c>
      <c r="D23" s="223">
        <v>243</v>
      </c>
      <c r="E23" s="247">
        <v>420</v>
      </c>
      <c r="F23" s="272">
        <v>2930</v>
      </c>
      <c r="G23" s="223">
        <v>2662</v>
      </c>
      <c r="H23" s="245">
        <v>342</v>
      </c>
      <c r="I23" s="256">
        <v>832</v>
      </c>
      <c r="J23" s="223">
        <v>485</v>
      </c>
      <c r="K23" s="245">
        <v>2525</v>
      </c>
      <c r="L23" s="193">
        <v>354</v>
      </c>
      <c r="M23" s="304">
        <f t="shared" si="7"/>
        <v>11177</v>
      </c>
      <c r="O23" s="355"/>
      <c r="P23" s="355"/>
      <c r="Q23" s="355"/>
      <c r="R23" s="355"/>
      <c r="S23" s="355"/>
      <c r="T23" s="355"/>
      <c r="U23" s="355"/>
      <c r="V23" s="355"/>
      <c r="W23" s="355"/>
      <c r="X23" s="355"/>
    </row>
    <row r="24" spans="1:24" s="3" customFormat="1" ht="15" customHeight="1" x14ac:dyDescent="0.25">
      <c r="A24" s="25" t="s">
        <v>6</v>
      </c>
      <c r="B24" s="172">
        <f t="shared" si="8"/>
        <v>43776</v>
      </c>
      <c r="C24" s="256">
        <v>348</v>
      </c>
      <c r="D24" s="223">
        <v>202</v>
      </c>
      <c r="E24" s="247">
        <v>376</v>
      </c>
      <c r="F24" s="272">
        <v>3321</v>
      </c>
      <c r="G24" s="223">
        <v>2390</v>
      </c>
      <c r="H24" s="245">
        <v>347</v>
      </c>
      <c r="I24" s="256">
        <v>775</v>
      </c>
      <c r="J24" s="223">
        <v>462</v>
      </c>
      <c r="K24" s="245">
        <v>2307</v>
      </c>
      <c r="L24" s="193">
        <v>353</v>
      </c>
      <c r="M24" s="304">
        <f t="shared" si="7"/>
        <v>10881</v>
      </c>
      <c r="O24" s="355"/>
      <c r="P24" s="355"/>
      <c r="Q24" s="355"/>
      <c r="R24" s="355"/>
      <c r="S24" s="355"/>
      <c r="T24" s="355"/>
      <c r="U24" s="355"/>
      <c r="V24" s="355"/>
      <c r="W24" s="355"/>
      <c r="X24" s="355"/>
    </row>
    <row r="25" spans="1:24" s="3" customFormat="1" ht="15" customHeight="1" x14ac:dyDescent="0.25">
      <c r="A25" s="25" t="s">
        <v>0</v>
      </c>
      <c r="B25" s="172">
        <f t="shared" si="8"/>
        <v>43777</v>
      </c>
      <c r="C25" s="256">
        <v>309</v>
      </c>
      <c r="D25" s="223">
        <v>167</v>
      </c>
      <c r="E25" s="247">
        <v>303</v>
      </c>
      <c r="F25" s="272">
        <v>2921</v>
      </c>
      <c r="G25" s="223">
        <v>2062</v>
      </c>
      <c r="H25" s="245">
        <v>311</v>
      </c>
      <c r="I25" s="256">
        <v>711</v>
      </c>
      <c r="J25" s="223">
        <v>355</v>
      </c>
      <c r="K25" s="245">
        <v>1621</v>
      </c>
      <c r="L25" s="193">
        <v>288</v>
      </c>
      <c r="M25" s="304">
        <f t="shared" si="7"/>
        <v>9048</v>
      </c>
      <c r="O25" s="355"/>
      <c r="P25" s="355"/>
      <c r="Q25" s="355"/>
      <c r="R25" s="355"/>
      <c r="S25" s="355"/>
      <c r="T25" s="355"/>
      <c r="U25" s="355"/>
      <c r="V25" s="355"/>
      <c r="W25" s="355"/>
    </row>
    <row r="26" spans="1:24" s="3" customFormat="1" ht="15" customHeight="1" outlineLevel="1" x14ac:dyDescent="0.25">
      <c r="A26" s="25" t="s">
        <v>1</v>
      </c>
      <c r="B26" s="184">
        <f t="shared" si="8"/>
        <v>43778</v>
      </c>
      <c r="C26" s="256">
        <v>346</v>
      </c>
      <c r="D26" s="380">
        <v>527</v>
      </c>
      <c r="E26" s="247">
        <v>451</v>
      </c>
      <c r="F26" s="272">
        <v>1112</v>
      </c>
      <c r="G26" s="223">
        <v>799</v>
      </c>
      <c r="H26" s="245">
        <v>11479</v>
      </c>
      <c r="I26" s="256"/>
      <c r="J26" s="223"/>
      <c r="K26" s="245"/>
      <c r="L26" s="193"/>
      <c r="M26" s="304">
        <f t="shared" si="7"/>
        <v>14714</v>
      </c>
      <c r="O26" s="355"/>
      <c r="P26" s="355"/>
      <c r="Q26" s="355"/>
      <c r="R26" s="355"/>
      <c r="S26" s="355"/>
      <c r="T26" s="355"/>
      <c r="U26" s="355"/>
      <c r="V26" s="355"/>
      <c r="W26" s="355"/>
    </row>
    <row r="27" spans="1:24" s="3" customFormat="1" ht="15" customHeight="1" outlineLevel="1" thickBot="1" x14ac:dyDescent="0.3">
      <c r="A27" s="25" t="s">
        <v>2</v>
      </c>
      <c r="B27" s="171">
        <f t="shared" si="8"/>
        <v>43779</v>
      </c>
      <c r="C27" s="256">
        <v>155</v>
      </c>
      <c r="D27" s="223">
        <v>57</v>
      </c>
      <c r="E27" s="247">
        <v>150</v>
      </c>
      <c r="F27" s="272">
        <v>805</v>
      </c>
      <c r="G27" s="223">
        <v>456</v>
      </c>
      <c r="H27" s="245">
        <v>10070</v>
      </c>
      <c r="I27" s="256"/>
      <c r="J27" s="223"/>
      <c r="K27" s="245"/>
      <c r="L27" s="193"/>
      <c r="M27" s="304">
        <f>SUM(C27:L27)</f>
        <v>11693</v>
      </c>
      <c r="O27" s="355"/>
      <c r="P27" s="355"/>
      <c r="Q27" s="355"/>
      <c r="R27" s="355"/>
      <c r="S27" s="355"/>
      <c r="T27" s="355"/>
      <c r="U27" s="355"/>
      <c r="V27" s="355"/>
      <c r="W27" s="355"/>
    </row>
    <row r="28" spans="1:24" s="3" customFormat="1" ht="15" customHeight="1" outlineLevel="1" thickBot="1" x14ac:dyDescent="0.3">
      <c r="A28" s="158" t="s">
        <v>21</v>
      </c>
      <c r="B28" s="681" t="s">
        <v>25</v>
      </c>
      <c r="C28" s="257">
        <f>SUM(C21:C27)</f>
        <v>2263</v>
      </c>
      <c r="D28" s="237">
        <f>SUM(D21:D27)</f>
        <v>1703</v>
      </c>
      <c r="E28" s="258">
        <f>SUM(E21:E27)</f>
        <v>2470</v>
      </c>
      <c r="F28" s="315">
        <f t="shared" ref="F28:L28" si="9">SUM(F21:F27)</f>
        <v>16693</v>
      </c>
      <c r="G28" s="237">
        <f t="shared" si="9"/>
        <v>13986</v>
      </c>
      <c r="H28" s="297">
        <f>SUM(H21:H27)</f>
        <v>23290</v>
      </c>
      <c r="I28" s="257">
        <f t="shared" si="9"/>
        <v>3845</v>
      </c>
      <c r="J28" s="237">
        <f t="shared" si="9"/>
        <v>2396</v>
      </c>
      <c r="K28" s="297">
        <f t="shared" si="9"/>
        <v>11081</v>
      </c>
      <c r="L28" s="302">
        <f t="shared" si="9"/>
        <v>1733</v>
      </c>
      <c r="M28" s="300">
        <f>SUM(M21:M27)</f>
        <v>79460</v>
      </c>
      <c r="O28" s="355"/>
      <c r="P28" s="355"/>
      <c r="Q28" s="355"/>
      <c r="R28" s="355"/>
      <c r="S28" s="355"/>
      <c r="T28" s="355"/>
      <c r="U28" s="355"/>
      <c r="V28" s="355"/>
      <c r="W28" s="355"/>
      <c r="X28" s="355"/>
    </row>
    <row r="29" spans="1:24" s="3" customFormat="1" ht="15" customHeight="1" outlineLevel="1" thickBot="1" x14ac:dyDescent="0.3">
      <c r="A29" s="109" t="s">
        <v>23</v>
      </c>
      <c r="B29" s="682"/>
      <c r="C29" s="257">
        <f>AVERAGE(C21:C27)</f>
        <v>323.28571428571428</v>
      </c>
      <c r="D29" s="237">
        <f>AVERAGE(D21:D27)</f>
        <v>243.28571428571428</v>
      </c>
      <c r="E29" s="258">
        <f>AVERAGE(E21:E27)</f>
        <v>352.85714285714283</v>
      </c>
      <c r="F29" s="315">
        <f t="shared" ref="F29:M29" si="10">AVERAGE(F21:F27)</f>
        <v>2384.7142857142858</v>
      </c>
      <c r="G29" s="237">
        <f t="shared" si="10"/>
        <v>1998</v>
      </c>
      <c r="H29" s="297">
        <f>AVERAGE(H21:H27)</f>
        <v>3327.1428571428573</v>
      </c>
      <c r="I29" s="257">
        <f t="shared" si="10"/>
        <v>769</v>
      </c>
      <c r="J29" s="237">
        <f t="shared" si="10"/>
        <v>479.2</v>
      </c>
      <c r="K29" s="297">
        <f t="shared" si="10"/>
        <v>2216.1999999999998</v>
      </c>
      <c r="L29" s="302">
        <f t="shared" si="10"/>
        <v>346.6</v>
      </c>
      <c r="M29" s="300">
        <f t="shared" si="10"/>
        <v>11351.428571428571</v>
      </c>
      <c r="O29" s="355"/>
      <c r="P29" s="355"/>
      <c r="Q29" s="355"/>
      <c r="R29" s="355"/>
      <c r="S29" s="355"/>
      <c r="T29" s="355"/>
      <c r="U29" s="355"/>
      <c r="V29" s="355"/>
      <c r="W29" s="355"/>
      <c r="X29" s="355"/>
    </row>
    <row r="30" spans="1:24" s="3" customFormat="1" ht="15" customHeight="1" thickBot="1" x14ac:dyDescent="0.3">
      <c r="A30" s="26" t="s">
        <v>20</v>
      </c>
      <c r="B30" s="682"/>
      <c r="C30" s="259">
        <f>SUM(C21:C25)</f>
        <v>1762</v>
      </c>
      <c r="D30" s="238">
        <f>SUM(D21:D25)</f>
        <v>1119</v>
      </c>
      <c r="E30" s="260">
        <f>SUM(E21:E25)</f>
        <v>1869</v>
      </c>
      <c r="F30" s="316">
        <f t="shared" ref="F30:L30" si="11">SUM(F21:F25)</f>
        <v>14776</v>
      </c>
      <c r="G30" s="238">
        <f>SUM(G21:G25)</f>
        <v>12731</v>
      </c>
      <c r="H30" s="298">
        <f>SUM(H21:H25)</f>
        <v>1741</v>
      </c>
      <c r="I30" s="259">
        <f>SUM(I21:I25)</f>
        <v>3845</v>
      </c>
      <c r="J30" s="238">
        <f t="shared" si="11"/>
        <v>2396</v>
      </c>
      <c r="K30" s="298">
        <f>SUM(K21:K25)</f>
        <v>11081</v>
      </c>
      <c r="L30" s="303">
        <f t="shared" si="11"/>
        <v>1733</v>
      </c>
      <c r="M30" s="301">
        <f>SUM(M21:M25)</f>
        <v>53053</v>
      </c>
      <c r="O30" s="355"/>
      <c r="P30" s="355"/>
      <c r="Q30" s="355"/>
      <c r="R30" s="355"/>
      <c r="S30" s="355"/>
      <c r="T30" s="355"/>
      <c r="U30" s="355"/>
      <c r="V30" s="355"/>
      <c r="W30" s="355"/>
      <c r="X30" s="355"/>
    </row>
    <row r="31" spans="1:24" s="3" customFormat="1" ht="15" customHeight="1" thickBot="1" x14ac:dyDescent="0.3">
      <c r="A31" s="26" t="s">
        <v>22</v>
      </c>
      <c r="B31" s="683"/>
      <c r="C31" s="259">
        <f>AVERAGE(C21:C25)</f>
        <v>352.4</v>
      </c>
      <c r="D31" s="238">
        <f>AVERAGE(D16:D24)</f>
        <v>443.40740740740739</v>
      </c>
      <c r="E31" s="260">
        <f>AVERAGE(E21:E25)</f>
        <v>373.8</v>
      </c>
      <c r="F31" s="316">
        <f t="shared" ref="F31:M31" si="12">AVERAGE(F21:F25)</f>
        <v>2955.2</v>
      </c>
      <c r="G31" s="238">
        <f t="shared" si="12"/>
        <v>2546.1999999999998</v>
      </c>
      <c r="H31" s="298">
        <f>AVERAGE(H21:H25)</f>
        <v>348.2</v>
      </c>
      <c r="I31" s="259">
        <f>AVERAGE(I21:I25)</f>
        <v>769</v>
      </c>
      <c r="J31" s="238">
        <f t="shared" si="12"/>
        <v>479.2</v>
      </c>
      <c r="K31" s="298">
        <f t="shared" si="12"/>
        <v>2216.1999999999998</v>
      </c>
      <c r="L31" s="303">
        <f t="shared" si="12"/>
        <v>346.6</v>
      </c>
      <c r="M31" s="301">
        <f t="shared" si="12"/>
        <v>10610.6</v>
      </c>
      <c r="O31" s="355"/>
      <c r="P31" s="355"/>
      <c r="Q31" s="355"/>
      <c r="R31" s="355"/>
      <c r="S31" s="355"/>
      <c r="T31" s="355"/>
      <c r="U31" s="355"/>
      <c r="V31" s="355"/>
      <c r="W31" s="355"/>
      <c r="X31" s="355"/>
    </row>
    <row r="32" spans="1:24" s="3" customFormat="1" ht="15" customHeight="1" x14ac:dyDescent="0.25">
      <c r="A32" s="25" t="s">
        <v>3</v>
      </c>
      <c r="B32" s="173">
        <f>B27+1</f>
        <v>43780</v>
      </c>
      <c r="C32" s="256">
        <v>346</v>
      </c>
      <c r="D32" s="223">
        <v>223</v>
      </c>
      <c r="E32" s="247">
        <v>262</v>
      </c>
      <c r="F32" s="272">
        <v>2856</v>
      </c>
      <c r="G32" s="223">
        <v>2089</v>
      </c>
      <c r="H32" s="245">
        <v>344</v>
      </c>
      <c r="I32" s="256">
        <v>595</v>
      </c>
      <c r="J32" s="223">
        <v>323</v>
      </c>
      <c r="K32" s="245">
        <v>1542</v>
      </c>
      <c r="L32" s="193">
        <v>301</v>
      </c>
      <c r="M32" s="304">
        <f t="shared" ref="M32:M38" si="13">SUM(C32:L32)</f>
        <v>8881</v>
      </c>
      <c r="O32" s="355"/>
      <c r="P32" s="355"/>
      <c r="Q32" s="355"/>
      <c r="R32" s="355"/>
      <c r="S32" s="355"/>
      <c r="T32" s="355"/>
      <c r="U32" s="355"/>
      <c r="V32" s="355"/>
      <c r="W32" s="355"/>
      <c r="X32" s="355"/>
    </row>
    <row r="33" spans="1:24" s="3" customFormat="1" ht="15" customHeight="1" x14ac:dyDescent="0.25">
      <c r="A33" s="25" t="s">
        <v>4</v>
      </c>
      <c r="B33" s="174">
        <f t="shared" ref="B33:B38" si="14">B32+1</f>
        <v>43781</v>
      </c>
      <c r="C33" s="381">
        <v>349</v>
      </c>
      <c r="D33" s="223">
        <v>223</v>
      </c>
      <c r="E33" s="247">
        <v>374</v>
      </c>
      <c r="F33" s="272">
        <v>3160</v>
      </c>
      <c r="G33" s="223">
        <v>2498</v>
      </c>
      <c r="H33" s="245">
        <v>313</v>
      </c>
      <c r="I33" s="256">
        <v>796</v>
      </c>
      <c r="J33" s="223">
        <v>428</v>
      </c>
      <c r="K33" s="245">
        <v>2382</v>
      </c>
      <c r="L33" s="193">
        <v>363</v>
      </c>
      <c r="M33" s="304">
        <f t="shared" si="13"/>
        <v>10886</v>
      </c>
      <c r="O33" s="355"/>
      <c r="P33" s="355"/>
      <c r="Q33" s="355"/>
      <c r="R33" s="355"/>
      <c r="S33" s="355"/>
      <c r="T33" s="355"/>
      <c r="U33" s="355"/>
      <c r="W33" s="355"/>
      <c r="X33" s="355"/>
    </row>
    <row r="34" spans="1:24" s="3" customFormat="1" ht="15" customHeight="1" x14ac:dyDescent="0.25">
      <c r="A34" s="25" t="s">
        <v>5</v>
      </c>
      <c r="B34" s="174">
        <f t="shared" si="14"/>
        <v>43782</v>
      </c>
      <c r="C34" s="381">
        <v>366</v>
      </c>
      <c r="D34" s="223">
        <v>169</v>
      </c>
      <c r="E34" s="247">
        <v>321</v>
      </c>
      <c r="F34" s="272">
        <v>3066</v>
      </c>
      <c r="G34" s="223">
        <v>2176</v>
      </c>
      <c r="H34" s="245">
        <v>311</v>
      </c>
      <c r="I34" s="256">
        <v>720</v>
      </c>
      <c r="J34" s="223">
        <v>465</v>
      </c>
      <c r="K34" s="245">
        <v>2085</v>
      </c>
      <c r="L34" s="193">
        <v>373</v>
      </c>
      <c r="M34" s="304">
        <f t="shared" si="13"/>
        <v>10052</v>
      </c>
      <c r="O34" s="355"/>
      <c r="P34" s="355"/>
      <c r="Q34" s="355"/>
      <c r="R34" s="355"/>
      <c r="T34" s="355"/>
      <c r="U34" s="355"/>
    </row>
    <row r="35" spans="1:24" s="3" customFormat="1" ht="15" customHeight="1" x14ac:dyDescent="0.25">
      <c r="A35" s="25" t="s">
        <v>6</v>
      </c>
      <c r="B35" s="174">
        <f t="shared" si="14"/>
        <v>43783</v>
      </c>
      <c r="C35" s="381">
        <v>376</v>
      </c>
      <c r="D35" s="223">
        <v>201</v>
      </c>
      <c r="E35" s="247">
        <v>427</v>
      </c>
      <c r="F35" s="272">
        <v>3733</v>
      </c>
      <c r="G35" s="223">
        <v>2397</v>
      </c>
      <c r="H35" s="245">
        <v>428</v>
      </c>
      <c r="I35" s="256">
        <v>799</v>
      </c>
      <c r="J35" s="223">
        <v>507</v>
      </c>
      <c r="K35" s="245">
        <v>2119</v>
      </c>
      <c r="L35" s="193">
        <v>405</v>
      </c>
      <c r="M35" s="304">
        <f t="shared" si="13"/>
        <v>11392</v>
      </c>
      <c r="O35" s="355"/>
      <c r="P35" s="355"/>
      <c r="Q35" s="355"/>
      <c r="R35" s="355"/>
      <c r="S35" s="355"/>
      <c r="T35" s="355"/>
      <c r="U35" s="355"/>
      <c r="V35" s="355"/>
    </row>
    <row r="36" spans="1:24" s="3" customFormat="1" ht="15" customHeight="1" x14ac:dyDescent="0.25">
      <c r="A36" s="25" t="s">
        <v>0</v>
      </c>
      <c r="B36" s="174">
        <f t="shared" si="14"/>
        <v>43784</v>
      </c>
      <c r="C36" s="381">
        <v>281</v>
      </c>
      <c r="D36" s="223">
        <v>473</v>
      </c>
      <c r="E36" s="247">
        <v>276</v>
      </c>
      <c r="F36" s="272">
        <v>3440</v>
      </c>
      <c r="G36" s="223">
        <v>2312</v>
      </c>
      <c r="H36" s="245">
        <v>347</v>
      </c>
      <c r="I36" s="256">
        <v>721</v>
      </c>
      <c r="J36" s="223">
        <v>349</v>
      </c>
      <c r="K36" s="245">
        <v>1676</v>
      </c>
      <c r="L36" s="193">
        <v>323</v>
      </c>
      <c r="M36" s="304">
        <f t="shared" si="13"/>
        <v>10198</v>
      </c>
      <c r="O36" s="355"/>
      <c r="P36" s="355"/>
      <c r="Q36" s="355"/>
      <c r="R36" s="355"/>
      <c r="S36" s="355"/>
      <c r="T36" s="355"/>
      <c r="U36" s="355"/>
      <c r="V36" s="355"/>
      <c r="W36" s="355"/>
    </row>
    <row r="37" spans="1:24" s="3" customFormat="1" ht="15" customHeight="1" outlineLevel="1" x14ac:dyDescent="0.25">
      <c r="A37" s="25" t="s">
        <v>1</v>
      </c>
      <c r="B37" s="174">
        <f t="shared" si="14"/>
        <v>43785</v>
      </c>
      <c r="C37" s="256">
        <v>174</v>
      </c>
      <c r="D37" s="223">
        <v>206</v>
      </c>
      <c r="E37" s="247">
        <v>142</v>
      </c>
      <c r="F37" s="272">
        <v>1236</v>
      </c>
      <c r="G37" s="223">
        <v>471</v>
      </c>
      <c r="H37" s="245">
        <v>10151</v>
      </c>
      <c r="I37" s="256"/>
      <c r="J37" s="223"/>
      <c r="K37" s="245"/>
      <c r="L37" s="193"/>
      <c r="M37" s="304">
        <f t="shared" si="13"/>
        <v>12380</v>
      </c>
      <c r="O37" s="355"/>
      <c r="P37" s="355"/>
      <c r="Q37" s="355"/>
      <c r="R37" s="355"/>
      <c r="S37" s="355"/>
      <c r="T37" s="355"/>
      <c r="V37" s="355"/>
      <c r="W37" s="355"/>
    </row>
    <row r="38" spans="1:24" s="3" customFormat="1" ht="15" customHeight="1" outlineLevel="1" thickBot="1" x14ac:dyDescent="0.3">
      <c r="A38" s="25" t="s">
        <v>2</v>
      </c>
      <c r="B38" s="174">
        <f t="shared" si="14"/>
        <v>43786</v>
      </c>
      <c r="C38" s="256">
        <v>109</v>
      </c>
      <c r="D38" s="380">
        <v>63</v>
      </c>
      <c r="E38" s="247">
        <v>103</v>
      </c>
      <c r="F38" s="272">
        <v>940</v>
      </c>
      <c r="G38" s="223">
        <v>464</v>
      </c>
      <c r="H38" s="245">
        <v>8810</v>
      </c>
      <c r="I38" s="256"/>
      <c r="J38" s="223"/>
      <c r="K38" s="245"/>
      <c r="L38" s="193"/>
      <c r="M38" s="304">
        <f t="shared" si="13"/>
        <v>10489</v>
      </c>
      <c r="O38" s="355"/>
      <c r="P38" s="355"/>
      <c r="Q38" s="355"/>
      <c r="R38" s="355"/>
      <c r="S38" s="355"/>
      <c r="T38" s="355"/>
      <c r="V38" s="355"/>
      <c r="W38" s="355"/>
    </row>
    <row r="39" spans="1:24" s="3" customFormat="1" ht="15" customHeight="1" outlineLevel="1" thickBot="1" x14ac:dyDescent="0.3">
      <c r="A39" s="158" t="s">
        <v>21</v>
      </c>
      <c r="B39" s="681" t="s">
        <v>26</v>
      </c>
      <c r="C39" s="257">
        <f t="shared" ref="C39:M39" si="15">SUM(C32:C38)</f>
        <v>2001</v>
      </c>
      <c r="D39" s="237">
        <f t="shared" si="15"/>
        <v>1558</v>
      </c>
      <c r="E39" s="258">
        <f>SUM(E32:E38)</f>
        <v>1905</v>
      </c>
      <c r="F39" s="315">
        <f t="shared" si="15"/>
        <v>18431</v>
      </c>
      <c r="G39" s="237">
        <f t="shared" si="15"/>
        <v>12407</v>
      </c>
      <c r="H39" s="297">
        <f t="shared" si="15"/>
        <v>20704</v>
      </c>
      <c r="I39" s="257">
        <f t="shared" si="15"/>
        <v>3631</v>
      </c>
      <c r="J39" s="237">
        <f t="shared" si="15"/>
        <v>2072</v>
      </c>
      <c r="K39" s="297">
        <f t="shared" si="15"/>
        <v>9804</v>
      </c>
      <c r="L39" s="302">
        <f t="shared" si="15"/>
        <v>1765</v>
      </c>
      <c r="M39" s="300">
        <f t="shared" si="15"/>
        <v>74278</v>
      </c>
      <c r="O39" s="355"/>
      <c r="P39" s="355"/>
      <c r="Q39" s="355"/>
      <c r="R39" s="355"/>
      <c r="S39" s="355"/>
      <c r="T39" s="355"/>
      <c r="V39" s="355"/>
      <c r="W39" s="355"/>
    </row>
    <row r="40" spans="1:24" s="3" customFormat="1" ht="15" customHeight="1" outlineLevel="1" thickBot="1" x14ac:dyDescent="0.3">
      <c r="A40" s="109" t="s">
        <v>23</v>
      </c>
      <c r="B40" s="682"/>
      <c r="C40" s="257">
        <f t="shared" ref="C40:M40" si="16">AVERAGE(C32:C38)</f>
        <v>285.85714285714283</v>
      </c>
      <c r="D40" s="237">
        <f t="shared" si="16"/>
        <v>222.57142857142858</v>
      </c>
      <c r="E40" s="258">
        <f t="shared" si="16"/>
        <v>272.14285714285717</v>
      </c>
      <c r="F40" s="315">
        <f t="shared" si="16"/>
        <v>2633</v>
      </c>
      <c r="G40" s="237">
        <f t="shared" si="16"/>
        <v>1772.4285714285713</v>
      </c>
      <c r="H40" s="297">
        <f t="shared" si="16"/>
        <v>2957.7142857142858</v>
      </c>
      <c r="I40" s="257">
        <f t="shared" si="16"/>
        <v>726.2</v>
      </c>
      <c r="J40" s="237">
        <f t="shared" si="16"/>
        <v>414.4</v>
      </c>
      <c r="K40" s="297">
        <f t="shared" si="16"/>
        <v>1960.8</v>
      </c>
      <c r="L40" s="302">
        <f t="shared" si="16"/>
        <v>353</v>
      </c>
      <c r="M40" s="300">
        <f t="shared" si="16"/>
        <v>10611.142857142857</v>
      </c>
      <c r="O40" s="355"/>
      <c r="P40" s="355"/>
      <c r="Q40" s="355"/>
      <c r="R40" s="355"/>
      <c r="S40" s="355"/>
      <c r="U40" s="355"/>
      <c r="V40" s="355"/>
      <c r="W40" s="355"/>
    </row>
    <row r="41" spans="1:24" s="3" customFormat="1" ht="15" customHeight="1" thickBot="1" x14ac:dyDescent="0.3">
      <c r="A41" s="26" t="s">
        <v>20</v>
      </c>
      <c r="B41" s="682"/>
      <c r="C41" s="259">
        <f t="shared" ref="C41:M41" si="17">SUM(C32:C36)</f>
        <v>1718</v>
      </c>
      <c r="D41" s="238">
        <f t="shared" si="17"/>
        <v>1289</v>
      </c>
      <c r="E41" s="260">
        <f t="shared" si="17"/>
        <v>1660</v>
      </c>
      <c r="F41" s="316">
        <f t="shared" si="17"/>
        <v>16255</v>
      </c>
      <c r="G41" s="238">
        <f t="shared" si="17"/>
        <v>11472</v>
      </c>
      <c r="H41" s="298">
        <f t="shared" si="17"/>
        <v>1743</v>
      </c>
      <c r="I41" s="259">
        <f t="shared" si="17"/>
        <v>3631</v>
      </c>
      <c r="J41" s="238">
        <f t="shared" si="17"/>
        <v>2072</v>
      </c>
      <c r="K41" s="298">
        <f t="shared" si="17"/>
        <v>9804</v>
      </c>
      <c r="L41" s="303">
        <f t="shared" si="17"/>
        <v>1765</v>
      </c>
      <c r="M41" s="301">
        <f t="shared" si="17"/>
        <v>51409</v>
      </c>
      <c r="N41" s="203"/>
      <c r="O41" s="355"/>
      <c r="Q41" s="355"/>
      <c r="R41" s="355"/>
      <c r="S41" s="355"/>
      <c r="T41" s="355"/>
      <c r="U41" s="355"/>
      <c r="V41" s="355"/>
      <c r="W41" s="355"/>
      <c r="X41" s="355"/>
    </row>
    <row r="42" spans="1:24" s="3" customFormat="1" ht="15" customHeight="1" thickBot="1" x14ac:dyDescent="0.3">
      <c r="A42" s="26" t="s">
        <v>22</v>
      </c>
      <c r="B42" s="683"/>
      <c r="C42" s="259">
        <f>AVERAGE(C32:C36)</f>
        <v>343.6</v>
      </c>
      <c r="D42" s="238">
        <f t="shared" ref="D42:M42" si="18">AVERAGE(D32:D36)</f>
        <v>257.8</v>
      </c>
      <c r="E42" s="260">
        <f>AVERAGE(E32:E36)</f>
        <v>332</v>
      </c>
      <c r="F42" s="316">
        <f>AVERAGE(F32:F36)</f>
        <v>3251</v>
      </c>
      <c r="G42" s="238">
        <f t="shared" si="18"/>
        <v>2294.4</v>
      </c>
      <c r="H42" s="298">
        <f>AVERAGE(H32:H36)</f>
        <v>348.6</v>
      </c>
      <c r="I42" s="259">
        <f t="shared" si="18"/>
        <v>726.2</v>
      </c>
      <c r="J42" s="238">
        <f t="shared" si="18"/>
        <v>414.4</v>
      </c>
      <c r="K42" s="298">
        <f t="shared" si="18"/>
        <v>1960.8</v>
      </c>
      <c r="L42" s="303">
        <f t="shared" si="18"/>
        <v>353</v>
      </c>
      <c r="M42" s="301">
        <f t="shared" si="18"/>
        <v>10281.799999999999</v>
      </c>
      <c r="O42" s="355"/>
      <c r="P42" s="355"/>
      <c r="Q42" s="355"/>
      <c r="R42" s="355"/>
      <c r="S42" s="355"/>
      <c r="T42" s="355"/>
      <c r="U42" s="355"/>
      <c r="V42" s="355"/>
      <c r="X42" s="355"/>
    </row>
    <row r="43" spans="1:24" s="3" customFormat="1" ht="15" customHeight="1" x14ac:dyDescent="0.25">
      <c r="A43" s="25" t="s">
        <v>3</v>
      </c>
      <c r="B43" s="175">
        <f>B38+1</f>
        <v>43787</v>
      </c>
      <c r="C43" s="256">
        <v>373</v>
      </c>
      <c r="D43" s="223">
        <v>221</v>
      </c>
      <c r="E43" s="247">
        <v>326</v>
      </c>
      <c r="F43" s="272">
        <v>2972</v>
      </c>
      <c r="G43" s="223">
        <v>2681</v>
      </c>
      <c r="H43" s="245">
        <v>295</v>
      </c>
      <c r="I43" s="256">
        <v>769</v>
      </c>
      <c r="J43" s="223">
        <v>519</v>
      </c>
      <c r="K43" s="245">
        <v>2267</v>
      </c>
      <c r="L43" s="193">
        <v>346</v>
      </c>
      <c r="M43" s="304">
        <f t="shared" ref="M43:M49" si="19">SUM(C43:L43)</f>
        <v>10769</v>
      </c>
      <c r="O43" s="355"/>
      <c r="P43" s="355"/>
      <c r="Q43" s="355"/>
      <c r="R43" s="355"/>
      <c r="S43" s="355"/>
      <c r="T43" s="355"/>
      <c r="U43" s="355"/>
      <c r="V43" s="355"/>
      <c r="X43" s="355"/>
    </row>
    <row r="44" spans="1:24" s="3" customFormat="1" ht="15" customHeight="1" x14ac:dyDescent="0.25">
      <c r="A44" s="25" t="s">
        <v>4</v>
      </c>
      <c r="B44" s="176">
        <f t="shared" ref="B44:B49" si="20">B43+1</f>
        <v>43788</v>
      </c>
      <c r="C44" s="256">
        <v>395</v>
      </c>
      <c r="D44" s="223">
        <v>258</v>
      </c>
      <c r="E44" s="247">
        <v>336</v>
      </c>
      <c r="F44" s="272">
        <v>3070</v>
      </c>
      <c r="G44" s="223">
        <v>2852</v>
      </c>
      <c r="H44" s="245">
        <v>343</v>
      </c>
      <c r="I44" s="256">
        <v>836</v>
      </c>
      <c r="J44" s="223">
        <v>493</v>
      </c>
      <c r="K44" s="245">
        <v>2260</v>
      </c>
      <c r="L44" s="193">
        <v>366</v>
      </c>
      <c r="M44" s="304">
        <f t="shared" si="19"/>
        <v>11209</v>
      </c>
      <c r="O44" s="355"/>
      <c r="P44" s="355"/>
      <c r="Q44" s="355"/>
      <c r="R44" s="355"/>
      <c r="S44" s="355"/>
      <c r="T44" s="355"/>
      <c r="U44" s="355"/>
      <c r="V44" s="355"/>
      <c r="W44" s="355"/>
      <c r="X44" s="355"/>
    </row>
    <row r="45" spans="1:24" s="3" customFormat="1" ht="15" customHeight="1" x14ac:dyDescent="0.25">
      <c r="A45" s="25" t="s">
        <v>5</v>
      </c>
      <c r="B45" s="176">
        <f t="shared" si="20"/>
        <v>43789</v>
      </c>
      <c r="C45" s="256">
        <v>379</v>
      </c>
      <c r="D45" s="223">
        <v>212</v>
      </c>
      <c r="E45" s="247">
        <v>463</v>
      </c>
      <c r="F45" s="272">
        <v>3360</v>
      </c>
      <c r="G45" s="223">
        <v>2726</v>
      </c>
      <c r="H45" s="245">
        <v>306</v>
      </c>
      <c r="I45" s="256">
        <v>809</v>
      </c>
      <c r="J45" s="223">
        <v>485</v>
      </c>
      <c r="K45" s="245">
        <v>2251</v>
      </c>
      <c r="L45" s="193">
        <v>356</v>
      </c>
      <c r="M45" s="304">
        <f t="shared" si="19"/>
        <v>11347</v>
      </c>
      <c r="O45" s="355"/>
      <c r="P45" s="355"/>
      <c r="Q45" s="355"/>
      <c r="R45" s="355"/>
      <c r="S45" s="355"/>
      <c r="T45" s="355"/>
      <c r="U45" s="355"/>
      <c r="V45" s="355"/>
      <c r="W45" s="355"/>
      <c r="X45" s="355"/>
    </row>
    <row r="46" spans="1:24" s="3" customFormat="1" ht="15" customHeight="1" x14ac:dyDescent="0.25">
      <c r="A46" s="25" t="s">
        <v>6</v>
      </c>
      <c r="B46" s="176">
        <f t="shared" si="20"/>
        <v>43790</v>
      </c>
      <c r="C46" s="256">
        <v>375</v>
      </c>
      <c r="D46" s="223">
        <v>254</v>
      </c>
      <c r="E46" s="247">
        <v>403</v>
      </c>
      <c r="F46" s="272">
        <v>3440</v>
      </c>
      <c r="G46" s="223">
        <v>2711</v>
      </c>
      <c r="H46" s="245">
        <v>318</v>
      </c>
      <c r="I46" s="256">
        <v>809</v>
      </c>
      <c r="J46" s="223">
        <v>436</v>
      </c>
      <c r="K46" s="245">
        <v>2229</v>
      </c>
      <c r="L46" s="193">
        <v>336</v>
      </c>
      <c r="M46" s="304">
        <f t="shared" si="19"/>
        <v>11311</v>
      </c>
      <c r="O46" s="355"/>
      <c r="P46" s="355"/>
      <c r="Q46" s="355"/>
      <c r="R46" s="355"/>
      <c r="S46" s="355"/>
      <c r="T46" s="355"/>
      <c r="U46" s="355"/>
      <c r="V46" s="355"/>
      <c r="W46" s="355"/>
      <c r="X46" s="355"/>
    </row>
    <row r="47" spans="1:24" s="3" customFormat="1" ht="15" customHeight="1" x14ac:dyDescent="0.25">
      <c r="A47" s="25" t="s">
        <v>0</v>
      </c>
      <c r="B47" s="176">
        <f t="shared" si="20"/>
        <v>43791</v>
      </c>
      <c r="C47" s="256">
        <v>318</v>
      </c>
      <c r="D47" s="223">
        <v>193</v>
      </c>
      <c r="E47" s="247">
        <v>310</v>
      </c>
      <c r="F47" s="272">
        <v>2649</v>
      </c>
      <c r="G47" s="223">
        <v>1940</v>
      </c>
      <c r="H47" s="245">
        <v>320</v>
      </c>
      <c r="I47" s="256">
        <v>763</v>
      </c>
      <c r="J47" s="223">
        <v>371</v>
      </c>
      <c r="K47" s="245">
        <v>1720</v>
      </c>
      <c r="L47" s="193">
        <v>287</v>
      </c>
      <c r="M47" s="304">
        <f t="shared" si="19"/>
        <v>8871</v>
      </c>
      <c r="O47" s="355"/>
      <c r="P47" s="355"/>
      <c r="Q47" s="355"/>
      <c r="R47" s="355"/>
      <c r="S47" s="355"/>
      <c r="T47" s="355"/>
      <c r="U47" s="355"/>
      <c r="V47" s="355"/>
      <c r="W47" s="355"/>
    </row>
    <row r="48" spans="1:24" s="3" customFormat="1" ht="15" customHeight="1" outlineLevel="1" x14ac:dyDescent="0.25">
      <c r="A48" s="25" t="s">
        <v>1</v>
      </c>
      <c r="B48" s="176">
        <f t="shared" si="20"/>
        <v>43792</v>
      </c>
      <c r="C48" s="256">
        <v>192</v>
      </c>
      <c r="D48" s="223">
        <v>94</v>
      </c>
      <c r="E48" s="247">
        <v>81</v>
      </c>
      <c r="F48" s="272">
        <v>1184</v>
      </c>
      <c r="G48" s="223">
        <v>686</v>
      </c>
      <c r="H48" s="245">
        <v>12483</v>
      </c>
      <c r="I48" s="256"/>
      <c r="J48" s="223"/>
      <c r="K48" s="245"/>
      <c r="L48" s="193"/>
      <c r="M48" s="304">
        <f t="shared" si="19"/>
        <v>14720</v>
      </c>
      <c r="N48" s="122"/>
      <c r="O48" s="355"/>
      <c r="P48" s="355"/>
      <c r="Q48" s="355"/>
      <c r="R48" s="355"/>
      <c r="S48" s="355"/>
      <c r="T48" s="355"/>
      <c r="U48" s="355"/>
      <c r="V48" s="355"/>
      <c r="W48" s="355"/>
    </row>
    <row r="49" spans="1:24" s="3" customFormat="1" ht="15" customHeight="1" outlineLevel="1" thickBot="1" x14ac:dyDescent="0.3">
      <c r="A49" s="25" t="s">
        <v>2</v>
      </c>
      <c r="B49" s="176">
        <f t="shared" si="20"/>
        <v>43793</v>
      </c>
      <c r="C49" s="256">
        <v>44</v>
      </c>
      <c r="D49" s="223">
        <v>47</v>
      </c>
      <c r="E49" s="247">
        <v>49</v>
      </c>
      <c r="F49" s="272">
        <v>548</v>
      </c>
      <c r="G49" s="223">
        <v>241</v>
      </c>
      <c r="H49" s="245">
        <v>6963</v>
      </c>
      <c r="I49" s="256"/>
      <c r="J49" s="223"/>
      <c r="K49" s="245"/>
      <c r="L49" s="193"/>
      <c r="M49" s="304">
        <f t="shared" si="19"/>
        <v>7892</v>
      </c>
      <c r="N49" s="122"/>
      <c r="O49" s="355"/>
      <c r="P49" s="355"/>
      <c r="Q49" s="355"/>
      <c r="R49" s="355"/>
      <c r="S49" s="355"/>
      <c r="T49" s="355"/>
      <c r="U49" s="355"/>
      <c r="V49" s="355"/>
    </row>
    <row r="50" spans="1:24" s="3" customFormat="1" ht="15" customHeight="1" outlineLevel="1" thickBot="1" x14ac:dyDescent="0.3">
      <c r="A50" s="158" t="s">
        <v>21</v>
      </c>
      <c r="B50" s="681" t="s">
        <v>27</v>
      </c>
      <c r="C50" s="257">
        <f t="shared" ref="C50:L50" si="21">SUM(C43:C49)</f>
        <v>2076</v>
      </c>
      <c r="D50" s="237">
        <f t="shared" si="21"/>
        <v>1279</v>
      </c>
      <c r="E50" s="258">
        <f>SUM(E43:E49)</f>
        <v>1968</v>
      </c>
      <c r="F50" s="315">
        <f>SUM(F43:F49)</f>
        <v>17223</v>
      </c>
      <c r="G50" s="237">
        <f t="shared" si="21"/>
        <v>13837</v>
      </c>
      <c r="H50" s="297">
        <f>SUM(H43:H49)</f>
        <v>21028</v>
      </c>
      <c r="I50" s="257">
        <f t="shared" si="21"/>
        <v>3986</v>
      </c>
      <c r="J50" s="237">
        <f t="shared" si="21"/>
        <v>2304</v>
      </c>
      <c r="K50" s="297">
        <f t="shared" si="21"/>
        <v>10727</v>
      </c>
      <c r="L50" s="302">
        <f t="shared" si="21"/>
        <v>1691</v>
      </c>
      <c r="M50" s="300">
        <f>SUM(M43:M49)</f>
        <v>76119</v>
      </c>
      <c r="O50" s="355"/>
      <c r="P50" s="355"/>
      <c r="Q50" s="355"/>
      <c r="R50" s="355"/>
      <c r="U50" s="355"/>
    </row>
    <row r="51" spans="1:24" s="3" customFormat="1" ht="15" customHeight="1" outlineLevel="1" thickBot="1" x14ac:dyDescent="0.3">
      <c r="A51" s="109" t="s">
        <v>23</v>
      </c>
      <c r="B51" s="682"/>
      <c r="C51" s="257">
        <f t="shared" ref="C51:M51" si="22">AVERAGE(C43:C49)</f>
        <v>296.57142857142856</v>
      </c>
      <c r="D51" s="237">
        <f t="shared" si="22"/>
        <v>182.71428571428572</v>
      </c>
      <c r="E51" s="258">
        <f>AVERAGE(E43:E49)</f>
        <v>281.14285714285717</v>
      </c>
      <c r="F51" s="315">
        <f>AVERAGE(F43:F49)</f>
        <v>2460.4285714285716</v>
      </c>
      <c r="G51" s="237">
        <f t="shared" si="22"/>
        <v>1976.7142857142858</v>
      </c>
      <c r="H51" s="297">
        <f>AVERAGE(H43:H49)</f>
        <v>3004</v>
      </c>
      <c r="I51" s="257">
        <f t="shared" si="22"/>
        <v>797.2</v>
      </c>
      <c r="J51" s="237">
        <f t="shared" si="22"/>
        <v>460.8</v>
      </c>
      <c r="K51" s="297">
        <f t="shared" si="22"/>
        <v>2145.4</v>
      </c>
      <c r="L51" s="302">
        <f t="shared" si="22"/>
        <v>338.2</v>
      </c>
      <c r="M51" s="300">
        <f t="shared" si="22"/>
        <v>10874.142857142857</v>
      </c>
      <c r="O51" s="355"/>
      <c r="P51" s="355"/>
      <c r="Q51" s="355"/>
      <c r="R51" s="355"/>
      <c r="W51" s="355"/>
    </row>
    <row r="52" spans="1:24" s="3" customFormat="1" ht="15" customHeight="1" thickBot="1" x14ac:dyDescent="0.3">
      <c r="A52" s="26" t="s">
        <v>20</v>
      </c>
      <c r="B52" s="682"/>
      <c r="C52" s="259">
        <f t="shared" ref="C52:I52" si="23">SUM(C43:C47)</f>
        <v>1840</v>
      </c>
      <c r="D52" s="238">
        <f t="shared" si="23"/>
        <v>1138</v>
      </c>
      <c r="E52" s="260">
        <f t="shared" si="23"/>
        <v>1838</v>
      </c>
      <c r="F52" s="316">
        <f t="shared" si="23"/>
        <v>15491</v>
      </c>
      <c r="G52" s="238">
        <f t="shared" si="23"/>
        <v>12910</v>
      </c>
      <c r="H52" s="298">
        <f t="shared" si="23"/>
        <v>1582</v>
      </c>
      <c r="I52" s="259">
        <f t="shared" si="23"/>
        <v>3986</v>
      </c>
      <c r="J52" s="238">
        <f>SUM(J43:J47)</f>
        <v>2304</v>
      </c>
      <c r="K52" s="298">
        <f>SUM(K43:K47)</f>
        <v>10727</v>
      </c>
      <c r="L52" s="303">
        <f>SUM(L43:L47)</f>
        <v>1691</v>
      </c>
      <c r="M52" s="301">
        <f>SUM(M43:M47)</f>
        <v>53507</v>
      </c>
      <c r="P52" s="355"/>
      <c r="Q52" s="355"/>
      <c r="R52" s="355"/>
      <c r="T52" s="355"/>
      <c r="W52" s="355"/>
    </row>
    <row r="53" spans="1:24" s="3" customFormat="1" ht="15" customHeight="1" thickBot="1" x14ac:dyDescent="0.3">
      <c r="A53" s="26" t="s">
        <v>22</v>
      </c>
      <c r="B53" s="683"/>
      <c r="C53" s="259">
        <f t="shared" ref="C53:M53" si="24">AVERAGE(C43:C47)</f>
        <v>368</v>
      </c>
      <c r="D53" s="238">
        <f>AVERAGE(D43:D47)</f>
        <v>227.6</v>
      </c>
      <c r="E53" s="260">
        <f>AVERAGE(E43:E47)</f>
        <v>367.6</v>
      </c>
      <c r="F53" s="316">
        <f>AVERAGE(F43:F47)</f>
        <v>3098.2</v>
      </c>
      <c r="G53" s="238">
        <f t="shared" si="24"/>
        <v>2582</v>
      </c>
      <c r="H53" s="298">
        <f>AVERAGE(H43:H47)</f>
        <v>316.39999999999998</v>
      </c>
      <c r="I53" s="259">
        <f>AVERAGE(I43:I47)</f>
        <v>797.2</v>
      </c>
      <c r="J53" s="238">
        <f t="shared" si="24"/>
        <v>460.8</v>
      </c>
      <c r="K53" s="298">
        <f t="shared" si="24"/>
        <v>2145.4</v>
      </c>
      <c r="L53" s="303">
        <f t="shared" si="24"/>
        <v>338.2</v>
      </c>
      <c r="M53" s="301">
        <f t="shared" si="24"/>
        <v>10701.4</v>
      </c>
      <c r="P53" s="355"/>
      <c r="Q53" s="355"/>
      <c r="R53" s="355"/>
      <c r="S53" s="355"/>
      <c r="T53" s="355"/>
      <c r="U53" s="355"/>
      <c r="W53" s="355"/>
    </row>
    <row r="54" spans="1:24" s="3" customFormat="1" ht="15" customHeight="1" x14ac:dyDescent="0.25">
      <c r="A54" s="25" t="s">
        <v>3</v>
      </c>
      <c r="B54" s="175">
        <f>B49+1</f>
        <v>43794</v>
      </c>
      <c r="C54" s="256">
        <v>283</v>
      </c>
      <c r="D54" s="223">
        <v>125</v>
      </c>
      <c r="E54" s="251">
        <v>0</v>
      </c>
      <c r="F54" s="272">
        <v>3297</v>
      </c>
      <c r="G54" s="223">
        <v>2473</v>
      </c>
      <c r="H54" s="245">
        <v>113</v>
      </c>
      <c r="I54" s="256">
        <v>623</v>
      </c>
      <c r="J54" s="223">
        <v>445</v>
      </c>
      <c r="K54" s="245">
        <v>2197</v>
      </c>
      <c r="L54" s="193">
        <v>150</v>
      </c>
      <c r="M54" s="304">
        <f t="shared" ref="M54:M60" si="25">SUM(C54:L54)</f>
        <v>9706</v>
      </c>
      <c r="P54" s="355"/>
      <c r="Q54" s="355"/>
      <c r="R54" s="355"/>
      <c r="S54" s="355"/>
      <c r="T54" s="355"/>
      <c r="U54" s="355"/>
      <c r="V54" s="355"/>
      <c r="W54" s="355"/>
    </row>
    <row r="55" spans="1:24" s="3" customFormat="1" ht="15" customHeight="1" x14ac:dyDescent="0.25">
      <c r="A55" s="149" t="s">
        <v>4</v>
      </c>
      <c r="B55" s="176">
        <f t="shared" ref="B55:B60" si="26">B54+1</f>
        <v>43795</v>
      </c>
      <c r="C55" s="256">
        <v>0</v>
      </c>
      <c r="D55" s="223">
        <v>0</v>
      </c>
      <c r="E55" s="251">
        <v>0</v>
      </c>
      <c r="F55" s="272">
        <v>3328</v>
      </c>
      <c r="G55" s="223">
        <v>3156</v>
      </c>
      <c r="H55" s="245">
        <v>112</v>
      </c>
      <c r="I55" s="256">
        <v>692</v>
      </c>
      <c r="J55" s="223">
        <v>381</v>
      </c>
      <c r="K55" s="245">
        <v>1843</v>
      </c>
      <c r="L55" s="193">
        <v>325</v>
      </c>
      <c r="M55" s="304">
        <f t="shared" si="25"/>
        <v>9837</v>
      </c>
      <c r="O55" s="355"/>
      <c r="P55" s="355"/>
      <c r="Q55" s="355"/>
      <c r="R55" s="355"/>
      <c r="S55" s="355"/>
      <c r="T55" s="355"/>
      <c r="U55" s="355"/>
      <c r="V55" s="355"/>
      <c r="W55" s="355"/>
      <c r="X55" s="355"/>
    </row>
    <row r="56" spans="1:24" s="3" customFormat="1" x14ac:dyDescent="0.25">
      <c r="A56" s="149" t="s">
        <v>5</v>
      </c>
      <c r="B56" s="176">
        <f t="shared" si="26"/>
        <v>43796</v>
      </c>
      <c r="C56" s="256">
        <v>242</v>
      </c>
      <c r="D56" s="223">
        <v>127</v>
      </c>
      <c r="E56" s="251">
        <v>217</v>
      </c>
      <c r="F56" s="272">
        <v>2470</v>
      </c>
      <c r="G56" s="223">
        <v>1592</v>
      </c>
      <c r="H56" s="245">
        <v>249</v>
      </c>
      <c r="I56" s="256">
        <v>566</v>
      </c>
      <c r="J56" s="223">
        <v>210</v>
      </c>
      <c r="K56" s="245">
        <v>1213</v>
      </c>
      <c r="L56" s="193">
        <v>168</v>
      </c>
      <c r="M56" s="304">
        <f t="shared" si="25"/>
        <v>7054</v>
      </c>
      <c r="O56" s="355"/>
      <c r="P56" s="355"/>
      <c r="Q56" s="355"/>
      <c r="R56" s="355"/>
      <c r="S56" s="355"/>
      <c r="T56" s="355"/>
      <c r="U56" s="355"/>
      <c r="V56" s="355"/>
      <c r="W56" s="355"/>
      <c r="X56" s="355"/>
    </row>
    <row r="57" spans="1:24" s="3" customFormat="1" x14ac:dyDescent="0.25">
      <c r="A57" s="149" t="s">
        <v>6</v>
      </c>
      <c r="B57" s="176">
        <f t="shared" si="26"/>
        <v>43797</v>
      </c>
      <c r="C57" s="256">
        <v>0</v>
      </c>
      <c r="D57" s="223">
        <v>0</v>
      </c>
      <c r="E57" s="251">
        <v>0</v>
      </c>
      <c r="F57" s="272">
        <v>0</v>
      </c>
      <c r="G57" s="223">
        <v>0</v>
      </c>
      <c r="H57" s="245">
        <v>0</v>
      </c>
      <c r="I57" s="256">
        <v>0</v>
      </c>
      <c r="J57" s="223">
        <v>0</v>
      </c>
      <c r="K57" s="245">
        <v>0</v>
      </c>
      <c r="L57" s="193">
        <v>0</v>
      </c>
      <c r="M57" s="304">
        <f t="shared" si="25"/>
        <v>0</v>
      </c>
      <c r="O57" s="355"/>
      <c r="P57" s="355"/>
      <c r="Q57" s="355"/>
      <c r="R57" s="355"/>
      <c r="S57" s="355"/>
      <c r="T57" s="355"/>
      <c r="U57" s="355"/>
      <c r="V57" s="355"/>
      <c r="W57" s="355"/>
      <c r="X57" s="355"/>
    </row>
    <row r="58" spans="1:24" s="3" customFormat="1" x14ac:dyDescent="0.25">
      <c r="A58" s="25" t="s">
        <v>0</v>
      </c>
      <c r="B58" s="178">
        <f t="shared" si="26"/>
        <v>43798</v>
      </c>
      <c r="C58" s="256">
        <v>61</v>
      </c>
      <c r="D58" s="223">
        <v>68</v>
      </c>
      <c r="E58" s="251">
        <v>73</v>
      </c>
      <c r="F58" s="272">
        <v>1445</v>
      </c>
      <c r="G58" s="223">
        <v>522</v>
      </c>
      <c r="H58" s="245">
        <v>120</v>
      </c>
      <c r="I58" s="256">
        <v>332</v>
      </c>
      <c r="J58" s="223">
        <v>44</v>
      </c>
      <c r="K58" s="245">
        <v>384</v>
      </c>
      <c r="L58" s="193">
        <v>54</v>
      </c>
      <c r="M58" s="304">
        <f t="shared" si="25"/>
        <v>3103</v>
      </c>
      <c r="O58" s="355"/>
      <c r="P58" s="355"/>
      <c r="Q58" s="355"/>
      <c r="R58" s="355"/>
      <c r="S58" s="355"/>
      <c r="T58" s="355"/>
      <c r="U58" s="355"/>
      <c r="V58" s="355"/>
      <c r="W58" s="355"/>
      <c r="X58" s="355"/>
    </row>
    <row r="59" spans="1:24" s="3" customFormat="1" ht="15.75" outlineLevel="1" thickBot="1" x14ac:dyDescent="0.3">
      <c r="A59" s="25" t="s">
        <v>1</v>
      </c>
      <c r="B59" s="178">
        <f t="shared" si="26"/>
        <v>43799</v>
      </c>
      <c r="C59" s="256">
        <v>137</v>
      </c>
      <c r="D59" s="223">
        <v>146</v>
      </c>
      <c r="E59" s="251">
        <v>113</v>
      </c>
      <c r="F59" s="272">
        <v>807</v>
      </c>
      <c r="G59" s="223">
        <v>491</v>
      </c>
      <c r="H59" s="245">
        <v>667</v>
      </c>
      <c r="I59" s="256"/>
      <c r="J59" s="223"/>
      <c r="K59" s="245"/>
      <c r="L59" s="193"/>
      <c r="M59" s="304">
        <f t="shared" si="25"/>
        <v>2361</v>
      </c>
      <c r="O59" s="355"/>
      <c r="P59" s="355"/>
      <c r="Q59" s="355"/>
      <c r="R59" s="355"/>
      <c r="S59" s="355"/>
      <c r="T59" s="355"/>
      <c r="U59" s="355"/>
      <c r="V59" s="355"/>
      <c r="W59" s="355"/>
      <c r="X59" s="355"/>
    </row>
    <row r="60" spans="1:24" s="3" customFormat="1" ht="15.75" hidden="1" outlineLevel="1" thickBot="1" x14ac:dyDescent="0.3">
      <c r="A60" s="149" t="s">
        <v>2</v>
      </c>
      <c r="B60" s="178">
        <f t="shared" si="26"/>
        <v>43800</v>
      </c>
      <c r="C60" s="256"/>
      <c r="D60" s="223"/>
      <c r="E60" s="382"/>
      <c r="F60" s="272"/>
      <c r="G60" s="223"/>
      <c r="H60" s="245"/>
      <c r="I60" s="256"/>
      <c r="J60" s="223"/>
      <c r="K60" s="245"/>
      <c r="L60" s="193">
        <v>697</v>
      </c>
      <c r="M60" s="304">
        <f t="shared" si="25"/>
        <v>697</v>
      </c>
      <c r="O60" s="355"/>
      <c r="P60" s="355"/>
      <c r="Q60" s="355"/>
      <c r="R60" s="355"/>
      <c r="S60" s="355"/>
      <c r="T60" s="355"/>
      <c r="W60" s="355"/>
      <c r="X60" s="355"/>
    </row>
    <row r="61" spans="1:24" s="3" customFormat="1" ht="15" customHeight="1" outlineLevel="1" thickBot="1" x14ac:dyDescent="0.3">
      <c r="A61" s="158" t="s">
        <v>21</v>
      </c>
      <c r="B61" s="681" t="s">
        <v>28</v>
      </c>
      <c r="C61" s="257">
        <f t="shared" ref="C61:M61" si="27">SUM(C54:C60)</f>
        <v>723</v>
      </c>
      <c r="D61" s="237">
        <f t="shared" si="27"/>
        <v>466</v>
      </c>
      <c r="E61" s="258">
        <f t="shared" si="27"/>
        <v>403</v>
      </c>
      <c r="F61" s="315">
        <f t="shared" si="27"/>
        <v>11347</v>
      </c>
      <c r="G61" s="237">
        <f t="shared" si="27"/>
        <v>8234</v>
      </c>
      <c r="H61" s="297">
        <f t="shared" si="27"/>
        <v>1261</v>
      </c>
      <c r="I61" s="257">
        <f t="shared" si="27"/>
        <v>2213</v>
      </c>
      <c r="J61" s="237">
        <f t="shared" si="27"/>
        <v>1080</v>
      </c>
      <c r="K61" s="297">
        <f t="shared" si="27"/>
        <v>5637</v>
      </c>
      <c r="L61" s="302">
        <f t="shared" si="27"/>
        <v>1394</v>
      </c>
      <c r="M61" s="300">
        <f t="shared" si="27"/>
        <v>32758</v>
      </c>
      <c r="O61" s="355"/>
      <c r="Q61" s="355"/>
      <c r="T61" s="355"/>
    </row>
    <row r="62" spans="1:24" s="3" customFormat="1" ht="15" customHeight="1" outlineLevel="1" thickBot="1" x14ac:dyDescent="0.3">
      <c r="A62" s="109" t="s">
        <v>23</v>
      </c>
      <c r="B62" s="682"/>
      <c r="C62" s="257">
        <f t="shared" ref="C62:M62" si="28">AVERAGE(C54:C60)</f>
        <v>120.5</v>
      </c>
      <c r="D62" s="237">
        <f t="shared" si="28"/>
        <v>77.666666666666671</v>
      </c>
      <c r="E62" s="258">
        <f>AVERAGE(E54:E60)</f>
        <v>67.166666666666671</v>
      </c>
      <c r="F62" s="315">
        <f t="shared" si="28"/>
        <v>1891.1666666666667</v>
      </c>
      <c r="G62" s="237">
        <f t="shared" si="28"/>
        <v>1372.3333333333333</v>
      </c>
      <c r="H62" s="297">
        <f>AVERAGE(H54:H60)</f>
        <v>210.16666666666666</v>
      </c>
      <c r="I62" s="257">
        <f t="shared" si="28"/>
        <v>442.6</v>
      </c>
      <c r="J62" s="237">
        <f t="shared" si="28"/>
        <v>216</v>
      </c>
      <c r="K62" s="297">
        <f t="shared" si="28"/>
        <v>1127.4000000000001</v>
      </c>
      <c r="L62" s="302">
        <f t="shared" si="28"/>
        <v>232.33333333333334</v>
      </c>
      <c r="M62" s="300">
        <f t="shared" si="28"/>
        <v>4679.7142857142853</v>
      </c>
      <c r="O62" s="355"/>
      <c r="Q62" s="355"/>
    </row>
    <row r="63" spans="1:24" s="3" customFormat="1" ht="15" customHeight="1" thickBot="1" x14ac:dyDescent="0.3">
      <c r="A63" s="26" t="s">
        <v>20</v>
      </c>
      <c r="B63" s="682"/>
      <c r="C63" s="259">
        <f t="shared" ref="C63:M63" si="29">SUM(C54:C58)</f>
        <v>586</v>
      </c>
      <c r="D63" s="238">
        <f t="shared" si="29"/>
        <v>320</v>
      </c>
      <c r="E63" s="260">
        <f t="shared" si="29"/>
        <v>290</v>
      </c>
      <c r="F63" s="316">
        <f t="shared" si="29"/>
        <v>10540</v>
      </c>
      <c r="G63" s="238">
        <f t="shared" si="29"/>
        <v>7743</v>
      </c>
      <c r="H63" s="298">
        <f t="shared" si="29"/>
        <v>594</v>
      </c>
      <c r="I63" s="259">
        <f t="shared" si="29"/>
        <v>2213</v>
      </c>
      <c r="J63" s="238">
        <f t="shared" si="29"/>
        <v>1080</v>
      </c>
      <c r="K63" s="298">
        <f t="shared" si="29"/>
        <v>5637</v>
      </c>
      <c r="L63" s="303">
        <f t="shared" si="29"/>
        <v>697</v>
      </c>
      <c r="M63" s="301">
        <f t="shared" si="29"/>
        <v>29700</v>
      </c>
      <c r="O63" s="355"/>
      <c r="Q63" s="355"/>
    </row>
    <row r="64" spans="1:24" s="3" customFormat="1" ht="15.75" thickBot="1" x14ac:dyDescent="0.3">
      <c r="A64" s="26" t="s">
        <v>22</v>
      </c>
      <c r="B64" s="683"/>
      <c r="C64" s="40">
        <f t="shared" ref="C64:M64" si="30">AVERAGE(C54:C58)</f>
        <v>117.2</v>
      </c>
      <c r="D64" s="225">
        <f>AVERAGE(D54:D58)</f>
        <v>64</v>
      </c>
      <c r="E64" s="249">
        <f>AVERAGE(E54:E57)</f>
        <v>54.25</v>
      </c>
      <c r="F64" s="162">
        <f>AVERAGE(F54:F58)</f>
        <v>2108</v>
      </c>
      <c r="G64" s="225">
        <f t="shared" si="30"/>
        <v>1548.6</v>
      </c>
      <c r="H64" s="299">
        <f>AVERAGE(H54:H58)</f>
        <v>118.8</v>
      </c>
      <c r="I64" s="40">
        <f t="shared" si="30"/>
        <v>442.6</v>
      </c>
      <c r="J64" s="225">
        <f t="shared" si="30"/>
        <v>216</v>
      </c>
      <c r="K64" s="299">
        <f t="shared" si="30"/>
        <v>1127.4000000000001</v>
      </c>
      <c r="L64" s="220">
        <f t="shared" si="30"/>
        <v>139.4</v>
      </c>
      <c r="M64" s="41">
        <f t="shared" si="30"/>
        <v>5940</v>
      </c>
      <c r="O64" s="355"/>
      <c r="Q64" s="355"/>
    </row>
    <row r="65" spans="1:17" s="3" customFormat="1" ht="15.75" hidden="1" thickBot="1" x14ac:dyDescent="0.3">
      <c r="A65" s="149" t="s">
        <v>3</v>
      </c>
      <c r="B65" s="175"/>
      <c r="C65" s="140"/>
      <c r="D65" s="13"/>
      <c r="E65" s="135"/>
      <c r="F65" s="12"/>
      <c r="G65" s="13"/>
      <c r="H65" s="135"/>
      <c r="I65" s="12"/>
      <c r="J65" s="14"/>
      <c r="K65" s="14"/>
      <c r="L65" s="14"/>
      <c r="M65" s="156">
        <f>SUM(C65:L65)</f>
        <v>0</v>
      </c>
      <c r="O65" s="355"/>
      <c r="Q65" s="355"/>
    </row>
    <row r="66" spans="1:17" s="3" customFormat="1" ht="15.75" hidden="1" thickBot="1" x14ac:dyDescent="0.3">
      <c r="A66" s="149" t="s">
        <v>4</v>
      </c>
      <c r="B66" s="176"/>
      <c r="C66" s="140"/>
      <c r="D66" s="13"/>
      <c r="E66" s="135"/>
      <c r="F66" s="12"/>
      <c r="G66" s="13"/>
      <c r="H66" s="135"/>
      <c r="I66" s="12"/>
      <c r="J66" s="14"/>
      <c r="K66" s="14"/>
      <c r="L66" s="14"/>
      <c r="M66" s="59">
        <f>SUM(C66:L66)</f>
        <v>0</v>
      </c>
      <c r="Q66" s="355"/>
    </row>
    <row r="67" spans="1:17" s="3" customFormat="1" ht="15.75" hidden="1" thickBot="1" x14ac:dyDescent="0.3">
      <c r="A67" s="149" t="s">
        <v>5</v>
      </c>
      <c r="B67" s="177"/>
      <c r="C67" s="140"/>
      <c r="D67" s="13"/>
      <c r="E67" s="135"/>
      <c r="F67" s="12"/>
      <c r="G67" s="13"/>
      <c r="H67" s="135"/>
      <c r="I67" s="12"/>
      <c r="J67" s="14"/>
      <c r="K67" s="14"/>
      <c r="L67" s="14"/>
      <c r="M67" s="17"/>
    </row>
    <row r="68" spans="1:17" s="3" customFormat="1" ht="15.75" hidden="1" thickBot="1" x14ac:dyDescent="0.3">
      <c r="A68" s="149" t="s">
        <v>6</v>
      </c>
      <c r="B68" s="177"/>
      <c r="C68" s="140"/>
      <c r="D68" s="13"/>
      <c r="E68" s="135"/>
      <c r="F68" s="12"/>
      <c r="G68" s="13"/>
      <c r="H68" s="135"/>
      <c r="I68" s="12"/>
      <c r="J68" s="14"/>
      <c r="K68" s="14"/>
      <c r="L68" s="14"/>
      <c r="M68" s="17"/>
    </row>
    <row r="69" spans="1:17" s="3" customFormat="1" ht="15.75" hidden="1" thickBot="1" x14ac:dyDescent="0.3">
      <c r="A69" s="149" t="s">
        <v>0</v>
      </c>
      <c r="B69" s="177"/>
      <c r="C69" s="141"/>
      <c r="D69" s="13"/>
      <c r="E69" s="135"/>
      <c r="F69" s="12"/>
      <c r="G69" s="13"/>
      <c r="H69" s="135"/>
      <c r="I69" s="12"/>
      <c r="J69" s="14"/>
      <c r="K69" s="14"/>
      <c r="L69" s="14"/>
      <c r="M69" s="17"/>
    </row>
    <row r="70" spans="1:17" s="3" customFormat="1" ht="15.75" hidden="1" outlineLevel="1" thickBot="1" x14ac:dyDescent="0.3">
      <c r="A70" s="149" t="s">
        <v>1</v>
      </c>
      <c r="B70" s="177"/>
      <c r="C70" s="141"/>
      <c r="D70" s="19"/>
      <c r="E70" s="136"/>
      <c r="F70" s="18"/>
      <c r="G70" s="19"/>
      <c r="H70" s="136"/>
      <c r="I70" s="18"/>
      <c r="J70" s="20"/>
      <c r="K70" s="20"/>
      <c r="L70" s="20"/>
      <c r="M70" s="17"/>
    </row>
    <row r="71" spans="1:17" s="3" customFormat="1" ht="15.75" hidden="1" outlineLevel="1" thickBot="1" x14ac:dyDescent="0.3">
      <c r="A71" s="149" t="s">
        <v>2</v>
      </c>
      <c r="B71" s="179"/>
      <c r="C71" s="163"/>
      <c r="D71" s="57"/>
      <c r="E71" s="274"/>
      <c r="F71" s="56"/>
      <c r="G71" s="57"/>
      <c r="H71" s="274"/>
      <c r="I71" s="56"/>
      <c r="J71" s="58"/>
      <c r="K71" s="58"/>
      <c r="L71" s="58"/>
      <c r="M71" s="59"/>
    </row>
    <row r="72" spans="1:17" s="3" customFormat="1" ht="15.75" hidden="1" outlineLevel="1" thickBot="1" x14ac:dyDescent="0.3">
      <c r="A72" s="158" t="s">
        <v>21</v>
      </c>
      <c r="B72" s="681" t="s">
        <v>32</v>
      </c>
      <c r="C72" s="164">
        <f t="shared" ref="C72:L72" si="31">SUM(C65:C71)</f>
        <v>0</v>
      </c>
      <c r="D72" s="115">
        <f t="shared" si="31"/>
        <v>0</v>
      </c>
      <c r="E72" s="115">
        <f>SUM(E65:E71)</f>
        <v>0</v>
      </c>
      <c r="F72" s="114">
        <f t="shared" si="31"/>
        <v>0</v>
      </c>
      <c r="G72" s="115">
        <f t="shared" si="31"/>
        <v>0</v>
      </c>
      <c r="H72" s="115">
        <f>SUM(H65:H71)</f>
        <v>0</v>
      </c>
      <c r="I72" s="114">
        <f t="shared" si="31"/>
        <v>0</v>
      </c>
      <c r="J72" s="116">
        <f t="shared" si="31"/>
        <v>0</v>
      </c>
      <c r="K72" s="116">
        <f t="shared" si="31"/>
        <v>0</v>
      </c>
      <c r="L72" s="116">
        <f t="shared" si="31"/>
        <v>0</v>
      </c>
      <c r="M72" s="117">
        <f>SUM(M65:M71)</f>
        <v>0</v>
      </c>
    </row>
    <row r="73" spans="1:17" s="3" customFormat="1" ht="15.75" hidden="1" outlineLevel="1" thickBot="1" x14ac:dyDescent="0.3">
      <c r="A73" s="109" t="s">
        <v>23</v>
      </c>
      <c r="B73" s="682"/>
      <c r="C73" s="165" t="e">
        <f t="shared" ref="C73:M73" si="32">AVERAGE(C65:C71)</f>
        <v>#DIV/0!</v>
      </c>
      <c r="D73" s="111" t="e">
        <f t="shared" si="32"/>
        <v>#DIV/0!</v>
      </c>
      <c r="E73" s="111" t="e">
        <f>AVERAGE(E65:E71)</f>
        <v>#DIV/0!</v>
      </c>
      <c r="F73" s="110" t="e">
        <f t="shared" si="32"/>
        <v>#DIV/0!</v>
      </c>
      <c r="G73" s="111" t="e">
        <f t="shared" si="32"/>
        <v>#DIV/0!</v>
      </c>
      <c r="H73" s="111" t="e">
        <f>AVERAGE(H65:H71)</f>
        <v>#DIV/0!</v>
      </c>
      <c r="I73" s="110" t="e">
        <f t="shared" si="32"/>
        <v>#DIV/0!</v>
      </c>
      <c r="J73" s="112" t="e">
        <f t="shared" si="32"/>
        <v>#DIV/0!</v>
      </c>
      <c r="K73" s="112" t="e">
        <f t="shared" si="32"/>
        <v>#DIV/0!</v>
      </c>
      <c r="L73" s="112" t="e">
        <f t="shared" si="32"/>
        <v>#DIV/0!</v>
      </c>
      <c r="M73" s="113">
        <f t="shared" si="32"/>
        <v>0</v>
      </c>
    </row>
    <row r="74" spans="1:17" s="3" customFormat="1" ht="15.75" hidden="1" thickBot="1" x14ac:dyDescent="0.3">
      <c r="A74" s="26" t="s">
        <v>20</v>
      </c>
      <c r="B74" s="682"/>
      <c r="C74" s="166">
        <f t="shared" ref="C74:M74" si="33">SUM(C65:C69)</f>
        <v>0</v>
      </c>
      <c r="D74" s="28">
        <f t="shared" si="33"/>
        <v>0</v>
      </c>
      <c r="E74" s="28">
        <f>SUM(E65:E69)</f>
        <v>0</v>
      </c>
      <c r="F74" s="27">
        <f t="shared" si="33"/>
        <v>0</v>
      </c>
      <c r="G74" s="28">
        <f t="shared" si="33"/>
        <v>0</v>
      </c>
      <c r="H74" s="28">
        <f>SUM(H65:H69)</f>
        <v>0</v>
      </c>
      <c r="I74" s="27">
        <f t="shared" si="33"/>
        <v>0</v>
      </c>
      <c r="J74" s="29">
        <f t="shared" si="33"/>
        <v>0</v>
      </c>
      <c r="K74" s="29">
        <f t="shared" si="33"/>
        <v>0</v>
      </c>
      <c r="L74" s="29">
        <f t="shared" si="33"/>
        <v>0</v>
      </c>
      <c r="M74" s="30">
        <f t="shared" si="33"/>
        <v>0</v>
      </c>
    </row>
    <row r="75" spans="1:17" s="3" customFormat="1" ht="15.75" hidden="1" thickBot="1" x14ac:dyDescent="0.3">
      <c r="A75" s="26" t="s">
        <v>22</v>
      </c>
      <c r="B75" s="683"/>
      <c r="C75" s="167" t="e">
        <f t="shared" ref="C75:M75" si="34">AVERAGE(C65:C69)</f>
        <v>#DIV/0!</v>
      </c>
      <c r="D75" s="32" t="e">
        <f t="shared" si="34"/>
        <v>#DIV/0!</v>
      </c>
      <c r="E75" s="32" t="e">
        <f>AVERAGE(E65:E69)</f>
        <v>#DIV/0!</v>
      </c>
      <c r="F75" s="31" t="e">
        <f t="shared" si="34"/>
        <v>#DIV/0!</v>
      </c>
      <c r="G75" s="32" t="e">
        <f t="shared" si="34"/>
        <v>#DIV/0!</v>
      </c>
      <c r="H75" s="32" t="e">
        <f>AVERAGE(H65:H69)</f>
        <v>#DIV/0!</v>
      </c>
      <c r="I75" s="31" t="e">
        <f t="shared" si="34"/>
        <v>#DIV/0!</v>
      </c>
      <c r="J75" s="33" t="e">
        <f t="shared" si="34"/>
        <v>#DIV/0!</v>
      </c>
      <c r="K75" s="33" t="e">
        <f t="shared" si="34"/>
        <v>#DIV/0!</v>
      </c>
      <c r="L75" s="33" t="e">
        <f t="shared" si="34"/>
        <v>#DIV/0!</v>
      </c>
      <c r="M75" s="35">
        <f t="shared" si="34"/>
        <v>0</v>
      </c>
    </row>
    <row r="76" spans="1:17" s="3" customFormat="1" ht="21" customHeight="1" x14ac:dyDescent="0.25">
      <c r="A76" s="4"/>
      <c r="B76" s="13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7" s="3" customFormat="1" ht="40.5" customHeight="1" x14ac:dyDescent="0.25">
      <c r="A77" s="4"/>
      <c r="B77" s="131"/>
      <c r="C77" s="36"/>
      <c r="D77" s="38" t="s">
        <v>8</v>
      </c>
      <c r="E77" s="39" t="s">
        <v>87</v>
      </c>
      <c r="F77" s="39" t="s">
        <v>9</v>
      </c>
      <c r="G77" s="39" t="s">
        <v>10</v>
      </c>
    </row>
    <row r="78" spans="1:17" ht="29.25" customHeight="1" x14ac:dyDescent="0.25">
      <c r="C78" s="42" t="s">
        <v>118</v>
      </c>
      <c r="D78" s="37">
        <f>SUM(C6:E6,C61:E61, C50:E50, C39:E39, C28:E28, C17:E17, C72:E72  )</f>
        <v>22976</v>
      </c>
      <c r="E78" s="37">
        <f>SUM(,L6,L61, L50, L39, L28, L17, L72)</f>
        <v>6912</v>
      </c>
      <c r="F78" s="37">
        <f>SUM(F6:H6,F61:H61, F50:H50, F39:H39, F28:H28, F17:H17, F72:H72 )</f>
        <v>213660</v>
      </c>
      <c r="G78" s="37">
        <f>SUM(I6:K6,I17:K17,I28:K28,I39:K39,I50:K50,I61:K61, I72:K72)</f>
        <v>62153</v>
      </c>
    </row>
    <row r="79" spans="1:17" ht="29.25" customHeight="1" x14ac:dyDescent="0.25">
      <c r="C79" s="42" t="s">
        <v>30</v>
      </c>
      <c r="D79" s="37">
        <f>SUM(C63:E63, C52:E52, C41:E41, C30:E30, C19:E19, C74:E74 )</f>
        <v>16457</v>
      </c>
      <c r="E79" s="37">
        <f>SUM(L63, L52, L41, L30, L19, L74)</f>
        <v>6215</v>
      </c>
      <c r="F79" s="37">
        <f>SUM(F63:H63, F52:H52, F41:H41, F30:H30, F19:H19, F74:H74)</f>
        <v>113000</v>
      </c>
      <c r="G79" s="37">
        <f>SUM(I63:K63, I52:K52, I41:K41, I30:K30, I19:K19, I74:K74)</f>
        <v>62153</v>
      </c>
    </row>
    <row r="80" spans="1:17" ht="30" customHeight="1" x14ac:dyDescent="0.25"/>
    <row r="81" spans="3:6" ht="30" customHeight="1" x14ac:dyDescent="0.25">
      <c r="C81" s="689" t="s">
        <v>55</v>
      </c>
      <c r="D81" s="690"/>
      <c r="E81" s="690"/>
      <c r="F81" s="691"/>
    </row>
    <row r="82" spans="3:6" x14ac:dyDescent="0.25">
      <c r="C82" s="677" t="s">
        <v>118</v>
      </c>
      <c r="D82" s="678"/>
      <c r="E82" s="273"/>
      <c r="F82" s="107">
        <f>SUM(M6,M61, M50, M39, M28, M17, M72)</f>
        <v>305701</v>
      </c>
    </row>
    <row r="83" spans="3:6" x14ac:dyDescent="0.25">
      <c r="C83" s="677" t="s">
        <v>30</v>
      </c>
      <c r="D83" s="678"/>
      <c r="E83" s="273"/>
      <c r="F83" s="106">
        <f>SUM(M19, M30, M41, M52, M63, M74)</f>
        <v>197825</v>
      </c>
    </row>
    <row r="84" spans="3:6" x14ac:dyDescent="0.25">
      <c r="C84" s="677" t="s">
        <v>119</v>
      </c>
      <c r="D84" s="678"/>
      <c r="E84" s="273"/>
      <c r="F84" s="107">
        <f>AVERAGE(M6,M61, M50, M39, M28, M17, M72)</f>
        <v>43671.571428571428</v>
      </c>
    </row>
    <row r="85" spans="3:6" x14ac:dyDescent="0.25">
      <c r="C85" s="677" t="s">
        <v>22</v>
      </c>
      <c r="D85" s="678"/>
      <c r="E85" s="273"/>
      <c r="F85" s="106">
        <f>AVERAGE(M19, M30, M41, M52, M63, M74)</f>
        <v>32970.833333333336</v>
      </c>
    </row>
  </sheetData>
  <mergeCells count="29">
    <mergeCell ref="C85:D85"/>
    <mergeCell ref="A3:A4"/>
    <mergeCell ref="B3:B4"/>
    <mergeCell ref="B39:B42"/>
    <mergeCell ref="C84:D84"/>
    <mergeCell ref="C3:C4"/>
    <mergeCell ref="D3:D4"/>
    <mergeCell ref="B61:B64"/>
    <mergeCell ref="C83:D83"/>
    <mergeCell ref="C82:D82"/>
    <mergeCell ref="C81:F81"/>
    <mergeCell ref="B72:B75"/>
    <mergeCell ref="B50:B53"/>
    <mergeCell ref="M1:M4"/>
    <mergeCell ref="B17:B20"/>
    <mergeCell ref="B28:B31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  <mergeCell ref="I1:K2"/>
    <mergeCell ref="L1:L2"/>
    <mergeCell ref="B6:B9"/>
  </mergeCells>
  <pageMargins left="0.7" right="0.7" top="0.75" bottom="0.75" header="0.3" footer="0.3"/>
  <pageSetup paperSize="5" scale="47" orientation="landscape" r:id="rId1"/>
  <ignoredErrors>
    <ignoredError sqref="C50 C29 C42 C31" emptyCellReference="1"/>
    <ignoredError sqref="I18:J18 K18 K28:K29 I62:J62 C62 C64 C51 I51:L51 K62:L62 L20 I20:J20 I28:J29 D42 I64:L64 L28:L31 L18 I42:L42 I50:L50 C20:D20 K31 D50:D51 D62 G50 G42 G64 G28:G29 G20 F51:G51 F62:G62 F18:G18 K20 D31 G31 C53 D53 J53:L53 J52:L52 F53:G53 F52 J31 J30" evalError="1" emptyCellReference="1"/>
    <ignoredError sqref="M64 I72:K76 D72:D76 F72:G76" evalError="1"/>
    <ignoredError sqref="M27" formulaRange="1" emptyCellReference="1"/>
    <ignoredError sqref="M62 M29 F28:F31 M31:M38 M42:M49 M51:M53" evalError="1" formulaRange="1" emptyCellReference="1"/>
    <ignoredError sqref="F42 F6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82"/>
  <sheetViews>
    <sheetView workbookViewId="0">
      <pane xSplit="2" ySplit="4" topLeftCell="C53" activePane="bottomRight" state="frozen"/>
      <selection pane="topRight" activeCell="C1" sqref="C1"/>
      <selection pane="bottomLeft" activeCell="A5" sqref="A5"/>
      <selection pane="bottomRight" activeCell="A60" sqref="A60:XFD60"/>
    </sheetView>
  </sheetViews>
  <sheetFormatPr defaultRowHeight="15" outlineLevelRow="1" x14ac:dyDescent="0.25"/>
  <cols>
    <col min="1" max="1" width="18.7109375" style="1" bestFit="1" customWidth="1"/>
    <col min="2" max="2" width="8.7109375" style="132" bestFit="1" customWidth="1"/>
    <col min="3" max="6" width="15.7109375" style="11" customWidth="1"/>
    <col min="7" max="7" width="16" style="11" customWidth="1"/>
    <col min="8" max="8" width="18.5703125" style="11" bestFit="1" customWidth="1"/>
    <col min="9" max="16384" width="9.140625" style="11"/>
  </cols>
  <sheetData>
    <row r="1" spans="1:8" ht="14.25" customHeight="1" x14ac:dyDescent="0.25">
      <c r="A1" s="23"/>
      <c r="B1" s="168"/>
      <c r="C1" s="701" t="s">
        <v>10</v>
      </c>
      <c r="D1" s="703"/>
      <c r="E1" s="701" t="s">
        <v>14</v>
      </c>
      <c r="F1" s="703"/>
      <c r="G1" s="699" t="s">
        <v>19</v>
      </c>
    </row>
    <row r="2" spans="1:8" ht="14.25" customHeight="1" thickBot="1" x14ac:dyDescent="0.3">
      <c r="A2" s="24"/>
      <c r="B2" s="169"/>
      <c r="C2" s="716"/>
      <c r="D2" s="717"/>
      <c r="E2" s="716"/>
      <c r="F2" s="717"/>
      <c r="G2" s="700"/>
    </row>
    <row r="3" spans="1:8" ht="14.25" customHeight="1" x14ac:dyDescent="0.25">
      <c r="A3" s="662" t="s">
        <v>52</v>
      </c>
      <c r="B3" s="687" t="s">
        <v>53</v>
      </c>
      <c r="C3" s="719" t="s">
        <v>41</v>
      </c>
      <c r="D3" s="721" t="s">
        <v>42</v>
      </c>
      <c r="E3" s="719" t="s">
        <v>54</v>
      </c>
      <c r="F3" s="721" t="s">
        <v>42</v>
      </c>
      <c r="G3" s="700"/>
    </row>
    <row r="4" spans="1:8" ht="14.25" thickBot="1" x14ac:dyDescent="0.3">
      <c r="A4" s="686"/>
      <c r="B4" s="718"/>
      <c r="C4" s="720"/>
      <c r="D4" s="722"/>
      <c r="E4" s="720"/>
      <c r="F4" s="722"/>
      <c r="G4" s="700"/>
    </row>
    <row r="5" spans="1:8" ht="14.25" hidden="1" thickBot="1" x14ac:dyDescent="0.3">
      <c r="A5" s="508" t="s">
        <v>2</v>
      </c>
      <c r="B5" s="509">
        <v>43709</v>
      </c>
      <c r="C5" s="508"/>
      <c r="D5" s="511"/>
      <c r="E5" s="508"/>
      <c r="F5" s="512"/>
      <c r="G5" s="513">
        <f>SUM(C5:F5)</f>
        <v>0</v>
      </c>
    </row>
    <row r="6" spans="1:8" s="47" customFormat="1" ht="15" hidden="1" customHeight="1" outlineLevel="1" thickBot="1" x14ac:dyDescent="0.3">
      <c r="A6" s="158" t="s">
        <v>21</v>
      </c>
      <c r="B6" s="695" t="s">
        <v>24</v>
      </c>
      <c r="C6" s="322">
        <f>SUM(C5)</f>
        <v>0</v>
      </c>
      <c r="D6" s="322">
        <f>SUM(D5)</f>
        <v>0</v>
      </c>
      <c r="E6" s="322">
        <f>SUM(E5)</f>
        <v>0</v>
      </c>
      <c r="F6" s="322">
        <f>SUM(F5)</f>
        <v>0</v>
      </c>
      <c r="G6" s="330">
        <f>SUM(G5)</f>
        <v>0</v>
      </c>
    </row>
    <row r="7" spans="1:8" s="47" customFormat="1" ht="15" hidden="1" customHeight="1" outlineLevel="1" thickBot="1" x14ac:dyDescent="0.3">
      <c r="A7" s="109" t="s">
        <v>23</v>
      </c>
      <c r="B7" s="695"/>
      <c r="C7" s="322" t="e">
        <f>AVERAGE(C5)</f>
        <v>#DIV/0!</v>
      </c>
      <c r="D7" s="322" t="e">
        <f>AVERAGE(D5)</f>
        <v>#DIV/0!</v>
      </c>
      <c r="E7" s="322" t="e">
        <f>AVERAGE(E5)</f>
        <v>#DIV/0!</v>
      </c>
      <c r="F7" s="322" t="e">
        <f>AVERAGE(F5)</f>
        <v>#DIV/0!</v>
      </c>
      <c r="G7" s="330">
        <f>AVERAGE(G5)</f>
        <v>0</v>
      </c>
    </row>
    <row r="8" spans="1:8" s="47" customFormat="1" ht="15" hidden="1" customHeight="1" thickBot="1" x14ac:dyDescent="0.3">
      <c r="A8" s="26" t="s">
        <v>20</v>
      </c>
      <c r="B8" s="695"/>
      <c r="C8" s="323" t="e">
        <f>SUM(#REF!)</f>
        <v>#REF!</v>
      </c>
      <c r="D8" s="359" t="e">
        <f>SUM(#REF!)</f>
        <v>#REF!</v>
      </c>
      <c r="E8" s="323" t="e">
        <f>SUM(#REF!)</f>
        <v>#REF!</v>
      </c>
      <c r="F8" s="326" t="e">
        <f>SUM(#REF!)</f>
        <v>#REF!</v>
      </c>
      <c r="G8" s="331" t="e">
        <f>SUM(#REF!)</f>
        <v>#REF!</v>
      </c>
    </row>
    <row r="9" spans="1:8" s="47" customFormat="1" ht="15" hidden="1" customHeight="1" thickBot="1" x14ac:dyDescent="0.3">
      <c r="A9" s="26" t="s">
        <v>22</v>
      </c>
      <c r="B9" s="695"/>
      <c r="C9" s="323" t="e">
        <f>AVERAGE(#REF!)</f>
        <v>#REF!</v>
      </c>
      <c r="D9" s="359" t="e">
        <f>AVERAGE(#REF!)</f>
        <v>#REF!</v>
      </c>
      <c r="E9" s="323" t="e">
        <f>AVERAGE(#REF!)</f>
        <v>#REF!</v>
      </c>
      <c r="F9" s="326" t="e">
        <f>AVERAGE(#REF!)</f>
        <v>#REF!</v>
      </c>
      <c r="G9" s="331" t="e">
        <f>AVERAGE(#REF!)</f>
        <v>#REF!</v>
      </c>
    </row>
    <row r="10" spans="1:8" s="46" customFormat="1" ht="13.5" hidden="1" x14ac:dyDescent="0.25">
      <c r="A10" s="25" t="s">
        <v>3</v>
      </c>
      <c r="B10" s="312">
        <v>43738</v>
      </c>
      <c r="C10" s="51"/>
      <c r="D10" s="52"/>
      <c r="E10" s="51"/>
      <c r="F10" s="121"/>
      <c r="G10" s="329">
        <f t="shared" ref="G10:G16" si="0">SUM(C10:F10)</f>
        <v>0</v>
      </c>
    </row>
    <row r="11" spans="1:8" s="46" customFormat="1" ht="13.5" hidden="1" x14ac:dyDescent="0.25">
      <c r="A11" s="25" t="s">
        <v>4</v>
      </c>
      <c r="B11" s="171">
        <v>43739</v>
      </c>
      <c r="C11" s="321"/>
      <c r="D11" s="362"/>
      <c r="E11" s="321"/>
      <c r="F11" s="324"/>
      <c r="G11" s="329">
        <f t="shared" si="0"/>
        <v>0</v>
      </c>
    </row>
    <row r="12" spans="1:8" s="46" customFormat="1" ht="13.5" hidden="1" x14ac:dyDescent="0.25">
      <c r="A12" s="25" t="s">
        <v>5</v>
      </c>
      <c r="B12" s="171">
        <v>43740</v>
      </c>
      <c r="C12" s="321"/>
      <c r="D12" s="362"/>
      <c r="E12" s="321"/>
      <c r="F12" s="324"/>
      <c r="G12" s="329">
        <f t="shared" si="0"/>
        <v>0</v>
      </c>
    </row>
    <row r="13" spans="1:8" s="46" customFormat="1" ht="13.5" hidden="1" x14ac:dyDescent="0.25">
      <c r="A13" s="25" t="s">
        <v>6</v>
      </c>
      <c r="B13" s="171">
        <v>43769</v>
      </c>
      <c r="C13" s="321"/>
      <c r="D13" s="362"/>
      <c r="E13" s="321"/>
      <c r="F13" s="324"/>
      <c r="G13" s="329">
        <f t="shared" si="0"/>
        <v>0</v>
      </c>
      <c r="H13" s="150"/>
    </row>
    <row r="14" spans="1:8" s="46" customFormat="1" ht="13.5" x14ac:dyDescent="0.25">
      <c r="A14" s="25" t="s">
        <v>0</v>
      </c>
      <c r="B14" s="178">
        <v>43770</v>
      </c>
      <c r="C14" s="321">
        <v>1017</v>
      </c>
      <c r="D14" s="362">
        <v>1021</v>
      </c>
      <c r="E14" s="321">
        <v>792</v>
      </c>
      <c r="F14" s="324">
        <v>961</v>
      </c>
      <c r="G14" s="329">
        <f t="shared" si="0"/>
        <v>3791</v>
      </c>
      <c r="H14" s="150"/>
    </row>
    <row r="15" spans="1:8" s="46" customFormat="1" ht="13.5" outlineLevel="1" x14ac:dyDescent="0.25">
      <c r="A15" s="25" t="s">
        <v>1</v>
      </c>
      <c r="B15" s="178">
        <v>43771</v>
      </c>
      <c r="C15" s="321">
        <v>0</v>
      </c>
      <c r="D15" s="362">
        <v>478</v>
      </c>
      <c r="E15" s="321">
        <v>0</v>
      </c>
      <c r="F15" s="324">
        <v>531</v>
      </c>
      <c r="G15" s="329">
        <f t="shared" si="0"/>
        <v>1009</v>
      </c>
      <c r="H15" s="150"/>
    </row>
    <row r="16" spans="1:8" s="46" customFormat="1" ht="15" customHeight="1" outlineLevel="1" thickBot="1" x14ac:dyDescent="0.3">
      <c r="A16" s="149" t="s">
        <v>2</v>
      </c>
      <c r="B16" s="178">
        <v>43772</v>
      </c>
      <c r="C16" s="321">
        <v>0</v>
      </c>
      <c r="D16" s="362">
        <v>547</v>
      </c>
      <c r="E16" s="321">
        <v>0</v>
      </c>
      <c r="F16" s="324">
        <v>556</v>
      </c>
      <c r="G16" s="329">
        <f t="shared" si="0"/>
        <v>1103</v>
      </c>
      <c r="H16" s="150"/>
    </row>
    <row r="17" spans="1:8" s="47" customFormat="1" ht="15" customHeight="1" outlineLevel="1" thickBot="1" x14ac:dyDescent="0.3">
      <c r="A17" s="158" t="s">
        <v>21</v>
      </c>
      <c r="B17" s="695" t="s">
        <v>24</v>
      </c>
      <c r="C17" s="322">
        <f>SUM(C10:C16)</f>
        <v>1017</v>
      </c>
      <c r="D17" s="361">
        <f>SUM(D10:D16)</f>
        <v>2046</v>
      </c>
      <c r="E17" s="322">
        <f>SUM(E10:E16)</f>
        <v>792</v>
      </c>
      <c r="F17" s="325">
        <f>SUM(F10:F16)</f>
        <v>2048</v>
      </c>
      <c r="G17" s="330">
        <f>SUM(G10:G16)</f>
        <v>5903</v>
      </c>
    </row>
    <row r="18" spans="1:8" s="47" customFormat="1" ht="15" customHeight="1" outlineLevel="1" thickBot="1" x14ac:dyDescent="0.3">
      <c r="A18" s="109" t="s">
        <v>23</v>
      </c>
      <c r="B18" s="695"/>
      <c r="C18" s="322">
        <f>AVERAGE(C10:C16)</f>
        <v>339</v>
      </c>
      <c r="D18" s="361">
        <f>AVERAGE(D10:D16)</f>
        <v>682</v>
      </c>
      <c r="E18" s="322">
        <f>AVERAGE(E10:E16)</f>
        <v>264</v>
      </c>
      <c r="F18" s="325">
        <f>AVERAGE(F10:F16)</f>
        <v>682.66666666666663</v>
      </c>
      <c r="G18" s="330">
        <f>AVERAGE(G10:G16)</f>
        <v>843.28571428571433</v>
      </c>
    </row>
    <row r="19" spans="1:8" s="47" customFormat="1" ht="15" customHeight="1" thickBot="1" x14ac:dyDescent="0.3">
      <c r="A19" s="26" t="s">
        <v>20</v>
      </c>
      <c r="B19" s="695"/>
      <c r="C19" s="323">
        <f>SUM(C10:C14)</f>
        <v>1017</v>
      </c>
      <c r="D19" s="359">
        <f>SUM(D10:D14)</f>
        <v>1021</v>
      </c>
      <c r="E19" s="323">
        <f>SUM(E10:E14)</f>
        <v>792</v>
      </c>
      <c r="F19" s="326">
        <f>SUM(F10:F14)</f>
        <v>961</v>
      </c>
      <c r="G19" s="331">
        <f>SUM(G10:G14)</f>
        <v>3791</v>
      </c>
    </row>
    <row r="20" spans="1:8" s="47" customFormat="1" ht="15" customHeight="1" thickBot="1" x14ac:dyDescent="0.3">
      <c r="A20" s="26" t="s">
        <v>22</v>
      </c>
      <c r="B20" s="695"/>
      <c r="C20" s="323">
        <f>AVERAGE(C10:C14)</f>
        <v>1017</v>
      </c>
      <c r="D20" s="359">
        <f>AVERAGE(D10:D14)</f>
        <v>1021</v>
      </c>
      <c r="E20" s="323">
        <f>AVERAGE(E10:E14)</f>
        <v>792</v>
      </c>
      <c r="F20" s="326">
        <f>AVERAGE(F10:F14)</f>
        <v>961</v>
      </c>
      <c r="G20" s="331">
        <f>AVERAGE(G10:G14)</f>
        <v>758.2</v>
      </c>
    </row>
    <row r="21" spans="1:8" s="47" customFormat="1" ht="15" customHeight="1" x14ac:dyDescent="0.25">
      <c r="A21" s="25" t="s">
        <v>3</v>
      </c>
      <c r="B21" s="171">
        <f>B16+1</f>
        <v>43773</v>
      </c>
      <c r="C21" s="296">
        <v>1017</v>
      </c>
      <c r="D21" s="360">
        <v>1021</v>
      </c>
      <c r="E21" s="296">
        <v>792</v>
      </c>
      <c r="F21" s="327">
        <v>960</v>
      </c>
      <c r="G21" s="329">
        <f>SUM(C21:F21)</f>
        <v>3790</v>
      </c>
    </row>
    <row r="22" spans="1:8" s="47" customFormat="1" ht="15" customHeight="1" x14ac:dyDescent="0.25">
      <c r="A22" s="25" t="s">
        <v>4</v>
      </c>
      <c r="B22" s="171">
        <f t="shared" ref="B22:B27" si="1">B21+1</f>
        <v>43774</v>
      </c>
      <c r="C22" s="296">
        <v>1298</v>
      </c>
      <c r="D22" s="360">
        <v>1287</v>
      </c>
      <c r="E22" s="296">
        <v>928</v>
      </c>
      <c r="F22" s="327">
        <v>934</v>
      </c>
      <c r="G22" s="329">
        <f t="shared" ref="G22:G27" si="2">SUM(C22:F22)</f>
        <v>4447</v>
      </c>
    </row>
    <row r="23" spans="1:8" s="47" customFormat="1" ht="15" customHeight="1" x14ac:dyDescent="0.25">
      <c r="A23" s="25" t="s">
        <v>5</v>
      </c>
      <c r="B23" s="171">
        <f t="shared" si="1"/>
        <v>43775</v>
      </c>
      <c r="C23" s="296">
        <v>1315</v>
      </c>
      <c r="D23" s="360">
        <v>1283</v>
      </c>
      <c r="E23" s="296">
        <v>949</v>
      </c>
      <c r="F23" s="327">
        <v>1051</v>
      </c>
      <c r="G23" s="329">
        <f t="shared" si="2"/>
        <v>4598</v>
      </c>
    </row>
    <row r="24" spans="1:8" s="47" customFormat="1" ht="15" customHeight="1" x14ac:dyDescent="0.25">
      <c r="A24" s="25" t="s">
        <v>6</v>
      </c>
      <c r="B24" s="171">
        <f t="shared" si="1"/>
        <v>43776</v>
      </c>
      <c r="C24" s="296">
        <v>1311</v>
      </c>
      <c r="D24" s="360">
        <v>1290</v>
      </c>
      <c r="E24" s="296">
        <v>1025</v>
      </c>
      <c r="F24" s="327">
        <v>994</v>
      </c>
      <c r="G24" s="329">
        <f t="shared" si="2"/>
        <v>4620</v>
      </c>
    </row>
    <row r="25" spans="1:8" s="47" customFormat="1" ht="15" customHeight="1" x14ac:dyDescent="0.25">
      <c r="A25" s="25" t="s">
        <v>0</v>
      </c>
      <c r="B25" s="171">
        <f t="shared" si="1"/>
        <v>43777</v>
      </c>
      <c r="C25" s="296">
        <v>920</v>
      </c>
      <c r="D25" s="360">
        <v>966</v>
      </c>
      <c r="E25" s="296">
        <v>874</v>
      </c>
      <c r="F25" s="327">
        <v>817</v>
      </c>
      <c r="G25" s="329">
        <f t="shared" si="2"/>
        <v>3577</v>
      </c>
    </row>
    <row r="26" spans="1:8" s="47" customFormat="1" ht="15" customHeight="1" outlineLevel="1" x14ac:dyDescent="0.25">
      <c r="A26" s="25" t="s">
        <v>1</v>
      </c>
      <c r="B26" s="171">
        <f t="shared" si="1"/>
        <v>43778</v>
      </c>
      <c r="C26" s="296">
        <v>0</v>
      </c>
      <c r="D26" s="360">
        <v>497</v>
      </c>
      <c r="E26" s="296">
        <v>0</v>
      </c>
      <c r="F26" s="327">
        <v>611</v>
      </c>
      <c r="G26" s="329">
        <f t="shared" si="2"/>
        <v>1108</v>
      </c>
      <c r="H26" s="153"/>
    </row>
    <row r="27" spans="1:8" s="47" customFormat="1" ht="15" customHeight="1" outlineLevel="1" thickBot="1" x14ac:dyDescent="0.3">
      <c r="A27" s="25" t="s">
        <v>2</v>
      </c>
      <c r="B27" s="171">
        <f t="shared" si="1"/>
        <v>43779</v>
      </c>
      <c r="C27" s="296">
        <v>0</v>
      </c>
      <c r="D27" s="360">
        <v>358</v>
      </c>
      <c r="E27" s="296">
        <v>0</v>
      </c>
      <c r="F27" s="327">
        <v>548</v>
      </c>
      <c r="G27" s="329">
        <f t="shared" si="2"/>
        <v>906</v>
      </c>
    </row>
    <row r="28" spans="1:8" s="47" customFormat="1" ht="15" customHeight="1" outlineLevel="1" thickBot="1" x14ac:dyDescent="0.3">
      <c r="A28" s="158" t="s">
        <v>21</v>
      </c>
      <c r="B28" s="695" t="s">
        <v>25</v>
      </c>
      <c r="C28" s="322">
        <f>SUM(C21:C27)</f>
        <v>5861</v>
      </c>
      <c r="D28" s="361">
        <f>SUM(D21:D27)</f>
        <v>6702</v>
      </c>
      <c r="E28" s="322">
        <f>SUM(E21:E27)</f>
        <v>4568</v>
      </c>
      <c r="F28" s="325">
        <f>SUM(F21:F27)</f>
        <v>5915</v>
      </c>
      <c r="G28" s="330">
        <f>SUM(G21:G27)</f>
        <v>23046</v>
      </c>
    </row>
    <row r="29" spans="1:8" s="47" customFormat="1" ht="15" customHeight="1" outlineLevel="1" thickBot="1" x14ac:dyDescent="0.3">
      <c r="A29" s="109" t="s">
        <v>23</v>
      </c>
      <c r="B29" s="695"/>
      <c r="C29" s="322">
        <f>AVERAGE(C21:C27)</f>
        <v>837.28571428571433</v>
      </c>
      <c r="D29" s="361">
        <f>AVERAGE(D21:D27)</f>
        <v>957.42857142857144</v>
      </c>
      <c r="E29" s="356">
        <f>AVERAGE(E21:E27)</f>
        <v>652.57142857142856</v>
      </c>
      <c r="F29" s="357">
        <f>AVERAGE(F21:F27)</f>
        <v>845</v>
      </c>
      <c r="G29" s="330">
        <f>AVERAGE(G21:G27)</f>
        <v>3292.2857142857142</v>
      </c>
    </row>
    <row r="30" spans="1:8" s="47" customFormat="1" ht="15" customHeight="1" thickBot="1" x14ac:dyDescent="0.3">
      <c r="A30" s="26" t="s">
        <v>20</v>
      </c>
      <c r="B30" s="695"/>
      <c r="C30" s="323">
        <f>SUM(C21:C25)</f>
        <v>5861</v>
      </c>
      <c r="D30" s="359">
        <f>SUM(D21:D25)</f>
        <v>5847</v>
      </c>
      <c r="E30" s="358">
        <f>SUM(E21:E25)</f>
        <v>4568</v>
      </c>
      <c r="F30" s="364">
        <f>SUM(F21:F25)</f>
        <v>4756</v>
      </c>
      <c r="G30" s="331">
        <f>SUM(G21:G25)</f>
        <v>21032</v>
      </c>
    </row>
    <row r="31" spans="1:8" s="47" customFormat="1" ht="15" customHeight="1" thickBot="1" x14ac:dyDescent="0.3">
      <c r="A31" s="26" t="s">
        <v>22</v>
      </c>
      <c r="B31" s="695"/>
      <c r="C31" s="323">
        <f>AVERAGE(C21:C25)</f>
        <v>1172.2</v>
      </c>
      <c r="D31" s="359">
        <f>AVERAGE(D21:D25)</f>
        <v>1169.4000000000001</v>
      </c>
      <c r="E31" s="323">
        <f>AVERAGE(E21:E25)</f>
        <v>913.6</v>
      </c>
      <c r="F31" s="326">
        <f>AVERAGE(F21:F25)</f>
        <v>951.2</v>
      </c>
      <c r="G31" s="331">
        <f>AVERAGE(G21:G25)</f>
        <v>4206.3999999999996</v>
      </c>
    </row>
    <row r="32" spans="1:8" s="47" customFormat="1" ht="15" customHeight="1" x14ac:dyDescent="0.25">
      <c r="A32" s="25" t="s">
        <v>3</v>
      </c>
      <c r="B32" s="174">
        <f>B27+1</f>
        <v>43780</v>
      </c>
      <c r="C32" s="296">
        <v>1005</v>
      </c>
      <c r="D32" s="360">
        <v>1058</v>
      </c>
      <c r="E32" s="296">
        <v>692</v>
      </c>
      <c r="F32" s="327">
        <v>914</v>
      </c>
      <c r="G32" s="329">
        <f>SUM(C32:F32)</f>
        <v>3669</v>
      </c>
    </row>
    <row r="33" spans="1:8" s="47" customFormat="1" ht="15" customHeight="1" x14ac:dyDescent="0.25">
      <c r="A33" s="25" t="s">
        <v>4</v>
      </c>
      <c r="B33" s="174">
        <f t="shared" ref="B33:B38" si="3">B32+1</f>
        <v>43781</v>
      </c>
      <c r="C33" s="296">
        <v>1421</v>
      </c>
      <c r="D33" s="360">
        <v>1278</v>
      </c>
      <c r="E33" s="296">
        <v>934</v>
      </c>
      <c r="F33" s="327">
        <v>902</v>
      </c>
      <c r="G33" s="329">
        <f t="shared" ref="G33:G38" si="4">SUM(C33:F33)</f>
        <v>4535</v>
      </c>
    </row>
    <row r="34" spans="1:8" s="47" customFormat="1" ht="15" customHeight="1" x14ac:dyDescent="0.25">
      <c r="A34" s="25" t="s">
        <v>5</v>
      </c>
      <c r="B34" s="174">
        <f t="shared" si="3"/>
        <v>43782</v>
      </c>
      <c r="C34" s="296">
        <v>1311</v>
      </c>
      <c r="D34" s="360">
        <v>1221</v>
      </c>
      <c r="E34" s="296">
        <v>986</v>
      </c>
      <c r="F34" s="327">
        <v>891</v>
      </c>
      <c r="G34" s="329">
        <f t="shared" si="4"/>
        <v>4409</v>
      </c>
    </row>
    <row r="35" spans="1:8" s="47" customFormat="1" ht="15" customHeight="1" x14ac:dyDescent="0.25">
      <c r="A35" s="25" t="s">
        <v>6</v>
      </c>
      <c r="B35" s="174">
        <f t="shared" si="3"/>
        <v>43783</v>
      </c>
      <c r="C35" s="321">
        <v>1345</v>
      </c>
      <c r="D35" s="360">
        <v>1222</v>
      </c>
      <c r="E35" s="321">
        <v>925</v>
      </c>
      <c r="F35" s="327">
        <v>933</v>
      </c>
      <c r="G35" s="329">
        <f t="shared" si="4"/>
        <v>4425</v>
      </c>
    </row>
    <row r="36" spans="1:8" s="47" customFormat="1" ht="15" customHeight="1" x14ac:dyDescent="0.25">
      <c r="A36" s="25" t="s">
        <v>0</v>
      </c>
      <c r="B36" s="174">
        <f t="shared" si="3"/>
        <v>43784</v>
      </c>
      <c r="C36" s="321">
        <v>992</v>
      </c>
      <c r="D36" s="360">
        <v>1042</v>
      </c>
      <c r="E36" s="321">
        <v>832</v>
      </c>
      <c r="F36" s="327">
        <v>808</v>
      </c>
      <c r="G36" s="329">
        <f t="shared" si="4"/>
        <v>3674</v>
      </c>
    </row>
    <row r="37" spans="1:8" s="47" customFormat="1" ht="15" customHeight="1" outlineLevel="1" x14ac:dyDescent="0.25">
      <c r="A37" s="25" t="s">
        <v>1</v>
      </c>
      <c r="B37" s="174">
        <f t="shared" si="3"/>
        <v>43785</v>
      </c>
      <c r="C37" s="321">
        <v>0</v>
      </c>
      <c r="D37" s="360">
        <v>404</v>
      </c>
      <c r="E37" s="321">
        <v>0</v>
      </c>
      <c r="F37" s="327">
        <v>420</v>
      </c>
      <c r="G37" s="329">
        <f t="shared" si="4"/>
        <v>824</v>
      </c>
    </row>
    <row r="38" spans="1:8" s="47" customFormat="1" ht="15" customHeight="1" outlineLevel="1" thickBot="1" x14ac:dyDescent="0.3">
      <c r="A38" s="25" t="s">
        <v>2</v>
      </c>
      <c r="B38" s="174">
        <f t="shared" si="3"/>
        <v>43786</v>
      </c>
      <c r="C38" s="321">
        <v>0</v>
      </c>
      <c r="D38" s="360">
        <v>295</v>
      </c>
      <c r="E38" s="321">
        <v>0</v>
      </c>
      <c r="F38" s="327">
        <v>353</v>
      </c>
      <c r="G38" s="329">
        <f t="shared" si="4"/>
        <v>648</v>
      </c>
      <c r="H38" s="153"/>
    </row>
    <row r="39" spans="1:8" s="47" customFormat="1" ht="15" customHeight="1" outlineLevel="1" thickBot="1" x14ac:dyDescent="0.3">
      <c r="A39" s="158" t="s">
        <v>21</v>
      </c>
      <c r="B39" s="695" t="s">
        <v>26</v>
      </c>
      <c r="C39" s="322">
        <f>SUM(C32:C38)</f>
        <v>6074</v>
      </c>
      <c r="D39" s="361">
        <f>SUM(D32:D38)</f>
        <v>6520</v>
      </c>
      <c r="E39" s="322">
        <f>SUM(E32:E38)</f>
        <v>4369</v>
      </c>
      <c r="F39" s="325">
        <f>SUM(F32:F38)</f>
        <v>5221</v>
      </c>
      <c r="G39" s="330">
        <f>SUM(G32:G38)</f>
        <v>22184</v>
      </c>
    </row>
    <row r="40" spans="1:8" s="47" customFormat="1" ht="15" customHeight="1" outlineLevel="1" thickBot="1" x14ac:dyDescent="0.3">
      <c r="A40" s="109" t="s">
        <v>23</v>
      </c>
      <c r="B40" s="695"/>
      <c r="C40" s="322">
        <f>AVERAGE(C32:C38)</f>
        <v>867.71428571428567</v>
      </c>
      <c r="D40" s="361">
        <f>AVERAGE(D32:D38)</f>
        <v>931.42857142857144</v>
      </c>
      <c r="E40" s="322">
        <f>AVERAGE(E32:E38)</f>
        <v>624.14285714285711</v>
      </c>
      <c r="F40" s="325">
        <f>AVERAGE(F32:F38)</f>
        <v>745.85714285714289</v>
      </c>
      <c r="G40" s="330">
        <f>AVERAGE(G32:G38)</f>
        <v>3169.1428571428573</v>
      </c>
    </row>
    <row r="41" spans="1:8" s="47" customFormat="1" ht="15" customHeight="1" thickBot="1" x14ac:dyDescent="0.3">
      <c r="A41" s="26" t="s">
        <v>20</v>
      </c>
      <c r="B41" s="695"/>
      <c r="C41" s="323">
        <f>SUM(C32:C36)</f>
        <v>6074</v>
      </c>
      <c r="D41" s="359">
        <f>SUM(D32:D36)</f>
        <v>5821</v>
      </c>
      <c r="E41" s="323">
        <f>SUM(E32:E36)</f>
        <v>4369</v>
      </c>
      <c r="F41" s="326">
        <f>SUM(F32:F36)</f>
        <v>4448</v>
      </c>
      <c r="G41" s="331">
        <f>SUM(G32:G36)</f>
        <v>20712</v>
      </c>
    </row>
    <row r="42" spans="1:8" s="47" customFormat="1" ht="15" customHeight="1" thickBot="1" x14ac:dyDescent="0.3">
      <c r="A42" s="26" t="s">
        <v>22</v>
      </c>
      <c r="B42" s="695"/>
      <c r="C42" s="323">
        <f>AVERAGE(C32:C36)</f>
        <v>1214.8</v>
      </c>
      <c r="D42" s="359">
        <f>AVERAGE(D32:D36)</f>
        <v>1164.2</v>
      </c>
      <c r="E42" s="323">
        <f>AVERAGE(E32:E36)</f>
        <v>873.8</v>
      </c>
      <c r="F42" s="326">
        <f>AVERAGE(F32:F36)</f>
        <v>889.6</v>
      </c>
      <c r="G42" s="331">
        <f>AVERAGE(G32:G36)</f>
        <v>4142.3999999999996</v>
      </c>
    </row>
    <row r="43" spans="1:8" s="47" customFormat="1" ht="15" customHeight="1" x14ac:dyDescent="0.25">
      <c r="A43" s="25" t="s">
        <v>3</v>
      </c>
      <c r="B43" s="176">
        <f>B38+1</f>
        <v>43787</v>
      </c>
      <c r="C43" s="321">
        <v>1197</v>
      </c>
      <c r="D43" s="360">
        <v>1301</v>
      </c>
      <c r="E43" s="321">
        <v>863</v>
      </c>
      <c r="F43" s="327">
        <v>1016</v>
      </c>
      <c r="G43" s="329">
        <f t="shared" ref="G43:G49" si="5">SUM(C43:F43)</f>
        <v>4377</v>
      </c>
      <c r="H43" s="153"/>
    </row>
    <row r="44" spans="1:8" s="47" customFormat="1" ht="15" customHeight="1" x14ac:dyDescent="0.25">
      <c r="A44" s="25" t="s">
        <v>4</v>
      </c>
      <c r="B44" s="176">
        <f t="shared" ref="B44:B49" si="6">B43+1</f>
        <v>43788</v>
      </c>
      <c r="C44" s="321">
        <v>1337</v>
      </c>
      <c r="D44" s="360">
        <v>1385</v>
      </c>
      <c r="E44" s="321">
        <v>948</v>
      </c>
      <c r="F44" s="327">
        <v>981</v>
      </c>
      <c r="G44" s="329">
        <f t="shared" si="5"/>
        <v>4651</v>
      </c>
      <c r="H44" s="153"/>
    </row>
    <row r="45" spans="1:8" s="47" customFormat="1" ht="15" customHeight="1" x14ac:dyDescent="0.25">
      <c r="A45" s="25" t="s">
        <v>5</v>
      </c>
      <c r="B45" s="176">
        <f t="shared" si="6"/>
        <v>43789</v>
      </c>
      <c r="C45" s="321">
        <v>1378</v>
      </c>
      <c r="D45" s="360">
        <v>1288</v>
      </c>
      <c r="E45" s="321">
        <v>996</v>
      </c>
      <c r="F45" s="327">
        <v>1079</v>
      </c>
      <c r="G45" s="329">
        <f t="shared" si="5"/>
        <v>4741</v>
      </c>
      <c r="H45" s="153"/>
    </row>
    <row r="46" spans="1:8" s="47" customFormat="1" ht="15" customHeight="1" x14ac:dyDescent="0.25">
      <c r="A46" s="25" t="s">
        <v>6</v>
      </c>
      <c r="B46" s="176">
        <f t="shared" si="6"/>
        <v>43790</v>
      </c>
      <c r="C46" s="321">
        <v>1312</v>
      </c>
      <c r="D46" s="360">
        <v>1359</v>
      </c>
      <c r="E46" s="296">
        <v>891</v>
      </c>
      <c r="F46" s="327">
        <v>1008</v>
      </c>
      <c r="G46" s="329">
        <f t="shared" si="5"/>
        <v>4570</v>
      </c>
      <c r="H46" s="153"/>
    </row>
    <row r="47" spans="1:8" s="47" customFormat="1" ht="15" customHeight="1" x14ac:dyDescent="0.25">
      <c r="A47" s="25" t="s">
        <v>0</v>
      </c>
      <c r="B47" s="176">
        <f t="shared" si="6"/>
        <v>43791</v>
      </c>
      <c r="C47" s="321">
        <v>994</v>
      </c>
      <c r="D47" s="360">
        <v>1067</v>
      </c>
      <c r="E47" s="296">
        <v>803</v>
      </c>
      <c r="F47" s="327">
        <v>846</v>
      </c>
      <c r="G47" s="329">
        <f t="shared" si="5"/>
        <v>3710</v>
      </c>
      <c r="H47" s="153"/>
    </row>
    <row r="48" spans="1:8" s="47" customFormat="1" ht="15" customHeight="1" outlineLevel="1" x14ac:dyDescent="0.25">
      <c r="A48" s="25" t="s">
        <v>1</v>
      </c>
      <c r="B48" s="176">
        <f t="shared" si="6"/>
        <v>43792</v>
      </c>
      <c r="C48" s="321">
        <v>0</v>
      </c>
      <c r="D48" s="360">
        <v>328</v>
      </c>
      <c r="E48" s="321">
        <v>0</v>
      </c>
      <c r="F48" s="327">
        <v>401</v>
      </c>
      <c r="G48" s="329">
        <f t="shared" si="5"/>
        <v>729</v>
      </c>
      <c r="H48" s="153"/>
    </row>
    <row r="49" spans="1:8" s="47" customFormat="1" ht="15" customHeight="1" outlineLevel="1" thickBot="1" x14ac:dyDescent="0.3">
      <c r="A49" s="25" t="s">
        <v>2</v>
      </c>
      <c r="B49" s="176">
        <f t="shared" si="6"/>
        <v>43793</v>
      </c>
      <c r="C49" s="321">
        <v>0</v>
      </c>
      <c r="D49" s="360">
        <v>289</v>
      </c>
      <c r="E49" s="321">
        <v>0</v>
      </c>
      <c r="F49" s="327">
        <v>370</v>
      </c>
      <c r="G49" s="329">
        <f t="shared" si="5"/>
        <v>659</v>
      </c>
      <c r="H49" s="153"/>
    </row>
    <row r="50" spans="1:8" s="47" customFormat="1" ht="15" customHeight="1" outlineLevel="1" thickBot="1" x14ac:dyDescent="0.3">
      <c r="A50" s="158" t="s">
        <v>21</v>
      </c>
      <c r="B50" s="695" t="s">
        <v>27</v>
      </c>
      <c r="C50" s="322">
        <f>SUM(C43:C49)</f>
        <v>6218</v>
      </c>
      <c r="D50" s="361">
        <f>SUM(D43:D49)</f>
        <v>7017</v>
      </c>
      <c r="E50" s="322">
        <f>SUM(E43:E49)</f>
        <v>4501</v>
      </c>
      <c r="F50" s="325">
        <f>SUM(F43:F49)</f>
        <v>5701</v>
      </c>
      <c r="G50" s="330">
        <f>SUM(G43:G49)</f>
        <v>23437</v>
      </c>
    </row>
    <row r="51" spans="1:8" s="47" customFormat="1" ht="15" customHeight="1" outlineLevel="1" thickBot="1" x14ac:dyDescent="0.3">
      <c r="A51" s="109" t="s">
        <v>23</v>
      </c>
      <c r="B51" s="695"/>
      <c r="C51" s="322">
        <f>AVERAGE(C43:C49)</f>
        <v>888.28571428571433</v>
      </c>
      <c r="D51" s="361">
        <f>AVERAGE(D43:D49)</f>
        <v>1002.4285714285714</v>
      </c>
      <c r="E51" s="322">
        <f>AVERAGE(E43:E49)</f>
        <v>643</v>
      </c>
      <c r="F51" s="325">
        <f>AVERAGE(F43:F49)</f>
        <v>814.42857142857144</v>
      </c>
      <c r="G51" s="330">
        <f>AVERAGE(G43:G49)</f>
        <v>3348.1428571428573</v>
      </c>
    </row>
    <row r="52" spans="1:8" s="47" customFormat="1" ht="15" customHeight="1" thickBot="1" x14ac:dyDescent="0.3">
      <c r="A52" s="26" t="s">
        <v>20</v>
      </c>
      <c r="B52" s="695"/>
      <c r="C52" s="323">
        <f>SUM(C43:C47)</f>
        <v>6218</v>
      </c>
      <c r="D52" s="359">
        <f>SUM(D43:D47)</f>
        <v>6400</v>
      </c>
      <c r="E52" s="323">
        <f>SUM(E43:E47)</f>
        <v>4501</v>
      </c>
      <c r="F52" s="326">
        <f>SUM(F43:F47)</f>
        <v>4930</v>
      </c>
      <c r="G52" s="331">
        <f>SUM(G43:G47)</f>
        <v>22049</v>
      </c>
    </row>
    <row r="53" spans="1:8" s="47" customFormat="1" ht="15" customHeight="1" thickBot="1" x14ac:dyDescent="0.3">
      <c r="A53" s="26" t="s">
        <v>22</v>
      </c>
      <c r="B53" s="695"/>
      <c r="C53" s="323">
        <f>AVERAGE(C43:C47)</f>
        <v>1243.5999999999999</v>
      </c>
      <c r="D53" s="359">
        <f>AVERAGE(D43:D47)</f>
        <v>1280</v>
      </c>
      <c r="E53" s="323">
        <f>AVERAGE(E43:E47)</f>
        <v>900.2</v>
      </c>
      <c r="F53" s="326">
        <f>AVERAGE(F43:F47)</f>
        <v>986</v>
      </c>
      <c r="G53" s="331">
        <f>AVERAGE(G43:G47)</f>
        <v>4409.8</v>
      </c>
    </row>
    <row r="54" spans="1:8" s="47" customFormat="1" ht="15" customHeight="1" x14ac:dyDescent="0.25">
      <c r="A54" s="25" t="s">
        <v>3</v>
      </c>
      <c r="B54" s="176">
        <f>B49+1</f>
        <v>43794</v>
      </c>
      <c r="C54" s="296">
        <v>1377</v>
      </c>
      <c r="D54" s="360">
        <v>1350</v>
      </c>
      <c r="E54" s="296">
        <v>970</v>
      </c>
      <c r="F54" s="327">
        <v>1081</v>
      </c>
      <c r="G54" s="329">
        <f t="shared" ref="G54:G60" si="7">SUM(C54:F54)</f>
        <v>4778</v>
      </c>
      <c r="H54" s="153"/>
    </row>
    <row r="55" spans="1:8" s="47" customFormat="1" ht="15" customHeight="1" x14ac:dyDescent="0.25">
      <c r="A55" s="149" t="s">
        <v>4</v>
      </c>
      <c r="B55" s="176">
        <f t="shared" ref="B55:B60" si="8">B54+1</f>
        <v>43795</v>
      </c>
      <c r="C55" s="296">
        <v>1364</v>
      </c>
      <c r="D55" s="360">
        <v>1365</v>
      </c>
      <c r="E55" s="296">
        <v>1046</v>
      </c>
      <c r="F55" s="327">
        <v>1106</v>
      </c>
      <c r="G55" s="329">
        <f t="shared" si="7"/>
        <v>4881</v>
      </c>
      <c r="H55" s="153"/>
    </row>
    <row r="56" spans="1:8" s="47" customFormat="1" ht="15" customHeight="1" x14ac:dyDescent="0.25">
      <c r="A56" s="149" t="s">
        <v>5</v>
      </c>
      <c r="B56" s="176">
        <f t="shared" si="8"/>
        <v>43796</v>
      </c>
      <c r="C56" s="296">
        <v>908</v>
      </c>
      <c r="D56" s="360">
        <v>979</v>
      </c>
      <c r="E56" s="296">
        <v>848</v>
      </c>
      <c r="F56" s="327">
        <v>1035</v>
      </c>
      <c r="G56" s="329">
        <f t="shared" si="7"/>
        <v>3770</v>
      </c>
      <c r="H56" s="153"/>
    </row>
    <row r="57" spans="1:8" s="47" customFormat="1" ht="13.5" x14ac:dyDescent="0.25">
      <c r="A57" s="149" t="s">
        <v>6</v>
      </c>
      <c r="B57" s="176">
        <f t="shared" si="8"/>
        <v>43797</v>
      </c>
      <c r="C57" s="321">
        <v>0</v>
      </c>
      <c r="D57" s="362">
        <v>30</v>
      </c>
      <c r="E57" s="321">
        <v>0</v>
      </c>
      <c r="F57" s="324">
        <v>422</v>
      </c>
      <c r="G57" s="329">
        <f t="shared" si="7"/>
        <v>452</v>
      </c>
      <c r="H57" s="153"/>
    </row>
    <row r="58" spans="1:8" s="47" customFormat="1" ht="13.5" x14ac:dyDescent="0.25">
      <c r="A58" s="25" t="s">
        <v>0</v>
      </c>
      <c r="B58" s="178">
        <f t="shared" si="8"/>
        <v>43798</v>
      </c>
      <c r="C58" s="321">
        <v>0</v>
      </c>
      <c r="D58" s="362">
        <v>803</v>
      </c>
      <c r="E58" s="321">
        <v>0</v>
      </c>
      <c r="F58" s="324">
        <v>809</v>
      </c>
      <c r="G58" s="329">
        <f t="shared" si="7"/>
        <v>1612</v>
      </c>
      <c r="H58" s="153"/>
    </row>
    <row r="59" spans="1:8" s="47" customFormat="1" ht="14.25" outlineLevel="1" thickBot="1" x14ac:dyDescent="0.3">
      <c r="A59" s="25" t="s">
        <v>1</v>
      </c>
      <c r="B59" s="178">
        <f t="shared" si="8"/>
        <v>43799</v>
      </c>
      <c r="C59" s="321">
        <v>0</v>
      </c>
      <c r="D59" s="362">
        <v>540</v>
      </c>
      <c r="E59" s="321">
        <v>0</v>
      </c>
      <c r="F59" s="324">
        <v>659</v>
      </c>
      <c r="G59" s="329">
        <f t="shared" si="7"/>
        <v>1199</v>
      </c>
      <c r="H59" s="153"/>
    </row>
    <row r="60" spans="1:8" s="47" customFormat="1" ht="14.25" hidden="1" outlineLevel="1" thickBot="1" x14ac:dyDescent="0.3">
      <c r="A60" s="149" t="s">
        <v>2</v>
      </c>
      <c r="B60" s="365">
        <f t="shared" si="8"/>
        <v>43800</v>
      </c>
      <c r="C60" s="321"/>
      <c r="D60" s="362"/>
      <c r="E60" s="321"/>
      <c r="F60" s="324"/>
      <c r="G60" s="329">
        <f t="shared" si="7"/>
        <v>0</v>
      </c>
    </row>
    <row r="61" spans="1:8" s="47" customFormat="1" ht="15" customHeight="1" outlineLevel="1" thickBot="1" x14ac:dyDescent="0.3">
      <c r="A61" s="158" t="s">
        <v>21</v>
      </c>
      <c r="B61" s="682" t="s">
        <v>28</v>
      </c>
      <c r="C61" s="322">
        <f>SUM(C54:C60)</f>
        <v>3649</v>
      </c>
      <c r="D61" s="361">
        <f>SUM(D54:D60)</f>
        <v>5067</v>
      </c>
      <c r="E61" s="322">
        <f>SUM(E54:E60)</f>
        <v>2864</v>
      </c>
      <c r="F61" s="325">
        <f>SUM(F54:F60)</f>
        <v>5112</v>
      </c>
      <c r="G61" s="330">
        <f>SUM(G54:G60)</f>
        <v>16692</v>
      </c>
    </row>
    <row r="62" spans="1:8" s="47" customFormat="1" ht="15" customHeight="1" outlineLevel="1" thickBot="1" x14ac:dyDescent="0.3">
      <c r="A62" s="109" t="s">
        <v>23</v>
      </c>
      <c r="B62" s="682"/>
      <c r="C62" s="322">
        <f>AVERAGE(C54:C60)</f>
        <v>608.16666666666663</v>
      </c>
      <c r="D62" s="361">
        <f>AVERAGE(D54:D60)</f>
        <v>844.5</v>
      </c>
      <c r="E62" s="322">
        <f>AVERAGE(E54:E60)</f>
        <v>477.33333333333331</v>
      </c>
      <c r="F62" s="325">
        <f>AVERAGE(F54:F60)</f>
        <v>852</v>
      </c>
      <c r="G62" s="330">
        <f>AVERAGE(G54:G60)</f>
        <v>2384.5714285714284</v>
      </c>
    </row>
    <row r="63" spans="1:8" s="47" customFormat="1" ht="15" customHeight="1" thickBot="1" x14ac:dyDescent="0.3">
      <c r="A63" s="26" t="s">
        <v>20</v>
      </c>
      <c r="B63" s="682"/>
      <c r="C63" s="323">
        <f>SUM(C54:C58)</f>
        <v>3649</v>
      </c>
      <c r="D63" s="359">
        <f>SUM(D54:D58)</f>
        <v>4527</v>
      </c>
      <c r="E63" s="323">
        <f>SUM(E54:E58)</f>
        <v>2864</v>
      </c>
      <c r="F63" s="326">
        <f>SUM(F54:F58)</f>
        <v>4453</v>
      </c>
      <c r="G63" s="331">
        <f>SUM(G54:G58)</f>
        <v>15493</v>
      </c>
    </row>
    <row r="64" spans="1:8" s="47" customFormat="1" ht="14.25" thickBot="1" x14ac:dyDescent="0.3">
      <c r="A64" s="26" t="s">
        <v>22</v>
      </c>
      <c r="B64" s="683"/>
      <c r="C64" s="295">
        <f>AVERAGE(C54:C58)</f>
        <v>729.8</v>
      </c>
      <c r="D64" s="363">
        <f>AVERAGE(D54:D58)</f>
        <v>905.4</v>
      </c>
      <c r="E64" s="295">
        <f>AVERAGE(E54:E58)</f>
        <v>572.79999999999995</v>
      </c>
      <c r="F64" s="328">
        <f>AVERAGE(F54:F58)</f>
        <v>890.6</v>
      </c>
      <c r="G64" s="332">
        <f>AVERAGE(G54:G58)</f>
        <v>3098.6</v>
      </c>
    </row>
    <row r="65" spans="1:7" s="47" customFormat="1" ht="14.25" hidden="1" thickBot="1" x14ac:dyDescent="0.3">
      <c r="A65" s="149" t="s">
        <v>3</v>
      </c>
      <c r="B65" s="175">
        <f>B60+1</f>
        <v>43801</v>
      </c>
      <c r="C65" s="12"/>
      <c r="D65" s="63"/>
      <c r="E65" s="12"/>
      <c r="F65" s="13"/>
      <c r="G65" s="16">
        <f>SUM(C65:F65)</f>
        <v>0</v>
      </c>
    </row>
    <row r="66" spans="1:7" s="47" customFormat="1" ht="14.25" hidden="1" thickBot="1" x14ac:dyDescent="0.3">
      <c r="A66" s="149" t="s">
        <v>4</v>
      </c>
      <c r="B66" s="176">
        <f t="shared" ref="B66:B71" si="9">B65+1</f>
        <v>43802</v>
      </c>
      <c r="C66" s="12"/>
      <c r="D66" s="63"/>
      <c r="E66" s="18"/>
      <c r="F66" s="19"/>
      <c r="G66" s="17">
        <f>SUM(C66:F66)</f>
        <v>0</v>
      </c>
    </row>
    <row r="67" spans="1:7" s="47" customFormat="1" ht="14.25" hidden="1" thickBot="1" x14ac:dyDescent="0.3">
      <c r="A67" s="149"/>
      <c r="B67" s="176">
        <f t="shared" si="9"/>
        <v>43803</v>
      </c>
      <c r="C67" s="12"/>
      <c r="D67" s="63"/>
      <c r="E67" s="18"/>
      <c r="F67" s="19"/>
      <c r="G67" s="17"/>
    </row>
    <row r="68" spans="1:7" s="47" customFormat="1" ht="14.25" hidden="1" thickBot="1" x14ac:dyDescent="0.3">
      <c r="A68" s="149"/>
      <c r="B68" s="176">
        <f t="shared" si="9"/>
        <v>43804</v>
      </c>
      <c r="C68" s="12"/>
      <c r="D68" s="63"/>
      <c r="E68" s="18"/>
      <c r="F68" s="19"/>
      <c r="G68" s="17"/>
    </row>
    <row r="69" spans="1:7" s="47" customFormat="1" ht="14.25" hidden="1" thickBot="1" x14ac:dyDescent="0.3">
      <c r="A69" s="25"/>
      <c r="B69" s="176">
        <f t="shared" si="9"/>
        <v>43805</v>
      </c>
      <c r="C69" s="12"/>
      <c r="D69" s="63"/>
      <c r="E69" s="18"/>
      <c r="F69" s="19"/>
      <c r="G69" s="17"/>
    </row>
    <row r="70" spans="1:7" s="47" customFormat="1" ht="14.25" hidden="1" outlineLevel="1" thickBot="1" x14ac:dyDescent="0.3">
      <c r="A70" s="25"/>
      <c r="B70" s="176">
        <f t="shared" si="9"/>
        <v>43806</v>
      </c>
      <c r="C70" s="18"/>
      <c r="D70" s="64"/>
      <c r="E70" s="18"/>
      <c r="F70" s="19"/>
      <c r="G70" s="17"/>
    </row>
    <row r="71" spans="1:7" s="47" customFormat="1" ht="14.25" hidden="1" outlineLevel="1" thickBot="1" x14ac:dyDescent="0.3">
      <c r="A71" s="25"/>
      <c r="B71" s="176">
        <f t="shared" si="9"/>
        <v>43807</v>
      </c>
      <c r="C71" s="21"/>
      <c r="D71" s="65"/>
      <c r="E71" s="21"/>
      <c r="F71" s="22"/>
      <c r="G71" s="66"/>
    </row>
    <row r="72" spans="1:7" s="47" customFormat="1" ht="14.25" hidden="1" outlineLevel="1" thickBot="1" x14ac:dyDescent="0.3">
      <c r="A72" s="158" t="s">
        <v>21</v>
      </c>
      <c r="B72" s="681" t="s">
        <v>32</v>
      </c>
      <c r="C72" s="114">
        <f>SUM(C65:C71)</f>
        <v>0</v>
      </c>
      <c r="D72" s="114">
        <f>SUM(D65:D71)</f>
        <v>0</v>
      </c>
      <c r="E72" s="114">
        <f>SUM(E65:E71)</f>
        <v>0</v>
      </c>
      <c r="F72" s="114">
        <f>SUM(F65:F71)</f>
        <v>0</v>
      </c>
      <c r="G72" s="114">
        <f>SUM(G65:G71)</f>
        <v>0</v>
      </c>
    </row>
    <row r="73" spans="1:7" s="47" customFormat="1" ht="14.25" hidden="1" outlineLevel="1" thickBot="1" x14ac:dyDescent="0.3">
      <c r="A73" s="109" t="s">
        <v>23</v>
      </c>
      <c r="B73" s="682"/>
      <c r="C73" s="110" t="e">
        <f>AVERAGE(C65:C71)</f>
        <v>#DIV/0!</v>
      </c>
      <c r="D73" s="110" t="e">
        <f>AVERAGE(D65:D71)</f>
        <v>#DIV/0!</v>
      </c>
      <c r="E73" s="110" t="e">
        <f>AVERAGE(E65:E71)</f>
        <v>#DIV/0!</v>
      </c>
      <c r="F73" s="110" t="e">
        <f>AVERAGE(F65:F71)</f>
        <v>#DIV/0!</v>
      </c>
      <c r="G73" s="110">
        <f>AVERAGE(G65:G71)</f>
        <v>0</v>
      </c>
    </row>
    <row r="74" spans="1:7" s="47" customFormat="1" ht="14.25" hidden="1" thickBot="1" x14ac:dyDescent="0.3">
      <c r="A74" s="26" t="s">
        <v>20</v>
      </c>
      <c r="B74" s="682"/>
      <c r="C74" s="27">
        <f>SUM(C65:C69)</f>
        <v>0</v>
      </c>
      <c r="D74" s="27">
        <f>SUM(D65:D69)</f>
        <v>0</v>
      </c>
      <c r="E74" s="27">
        <f>SUM(E65:E69)</f>
        <v>0</v>
      </c>
      <c r="F74" s="27">
        <f>SUM(F65:F69)</f>
        <v>0</v>
      </c>
      <c r="G74" s="27">
        <f>SUM(G65:G69)</f>
        <v>0</v>
      </c>
    </row>
    <row r="75" spans="1:7" s="47" customFormat="1" ht="14.25" hidden="1" thickBot="1" x14ac:dyDescent="0.3">
      <c r="A75" s="26" t="s">
        <v>22</v>
      </c>
      <c r="B75" s="683"/>
      <c r="C75" s="31" t="e">
        <f>AVERAGE(C65:C69)</f>
        <v>#DIV/0!</v>
      </c>
      <c r="D75" s="31" t="e">
        <f>AVERAGE(D65:D69)</f>
        <v>#DIV/0!</v>
      </c>
      <c r="E75" s="31" t="e">
        <f>AVERAGE(E65:E69)</f>
        <v>#DIV/0!</v>
      </c>
      <c r="F75" s="31" t="e">
        <f>AVERAGE(F65:F69)</f>
        <v>#DIV/0!</v>
      </c>
      <c r="G75" s="31">
        <f>AVERAGE(G65:G69)</f>
        <v>0</v>
      </c>
    </row>
    <row r="76" spans="1:7" s="47" customFormat="1" ht="15" customHeight="1" x14ac:dyDescent="0.25">
      <c r="A76" s="4"/>
      <c r="B76" s="131"/>
      <c r="C76" s="50"/>
      <c r="D76" s="50"/>
      <c r="E76" s="50"/>
      <c r="F76" s="50"/>
      <c r="G76" s="50"/>
    </row>
    <row r="77" spans="1:7" s="47" customFormat="1" ht="30" customHeight="1" x14ac:dyDescent="0.25">
      <c r="A77" s="187"/>
      <c r="B77" s="39" t="s">
        <v>10</v>
      </c>
      <c r="C77" s="39" t="s">
        <v>14</v>
      </c>
      <c r="D77" s="50"/>
      <c r="E77" s="689" t="s">
        <v>59</v>
      </c>
      <c r="F77" s="690"/>
      <c r="G77" s="691"/>
    </row>
    <row r="78" spans="1:7" ht="30" customHeight="1" x14ac:dyDescent="0.25">
      <c r="A78" s="42" t="s">
        <v>118</v>
      </c>
      <c r="B78" s="189">
        <f>SUM(,C6:D6,C61:D61, C50:D50, C39:D39, C28:D28, C17:D17, C72:D72)</f>
        <v>50171</v>
      </c>
      <c r="C78" s="37">
        <f>SUM(,E6:F6,E72:F72, E61:F61, E50:F50, E39:F39, E28:F28, E17:F17)</f>
        <v>41091</v>
      </c>
      <c r="D78" s="118"/>
      <c r="E78" s="677" t="s">
        <v>30</v>
      </c>
      <c r="F78" s="678"/>
      <c r="G78" s="106">
        <f>SUM(G19, G30, G41, G52, G63, G74)</f>
        <v>83077</v>
      </c>
    </row>
    <row r="79" spans="1:7" ht="30" customHeight="1" x14ac:dyDescent="0.25">
      <c r="A79" s="42" t="s">
        <v>30</v>
      </c>
      <c r="B79" s="189">
        <f>SUM(C6:D6,C63:D63, C52:D52, C41:D41, C30:D30, C19:D19, C74:D74)</f>
        <v>46435</v>
      </c>
      <c r="C79" s="37">
        <f>SUM(E74:F74, E63:F63, E52:F52, E41:F41, E30:F30, E19:F19)</f>
        <v>36642</v>
      </c>
      <c r="D79" s="118"/>
      <c r="E79" s="677" t="s">
        <v>118</v>
      </c>
      <c r="F79" s="678"/>
      <c r="G79" s="107">
        <f>SUM(,G6,G61, G50, G39, G28, G17, G72)</f>
        <v>91262</v>
      </c>
    </row>
    <row r="80" spans="1:7" ht="30" customHeight="1" x14ac:dyDescent="0.25">
      <c r="E80" s="677" t="s">
        <v>22</v>
      </c>
      <c r="F80" s="678"/>
      <c r="G80" s="107">
        <f>AVERAGE(G19, G30, G41, G52, G63, G74)</f>
        <v>13846.166666666666</v>
      </c>
    </row>
    <row r="81" spans="3:7" x14ac:dyDescent="0.25">
      <c r="E81" s="677" t="s">
        <v>119</v>
      </c>
      <c r="F81" s="678"/>
      <c r="G81" s="106">
        <f>AVERAGE(G6,G61, G50, G39, G28, G17, G72)</f>
        <v>13037.428571428571</v>
      </c>
    </row>
    <row r="82" spans="3:7" x14ac:dyDescent="0.25">
      <c r="C82" s="151"/>
    </row>
  </sheetData>
  <mergeCells count="21">
    <mergeCell ref="E80:F80"/>
    <mergeCell ref="E81:F81"/>
    <mergeCell ref="B17:B20"/>
    <mergeCell ref="B28:B31"/>
    <mergeCell ref="B39:B42"/>
    <mergeCell ref="B50:B53"/>
    <mergeCell ref="B61:B64"/>
    <mergeCell ref="E79:F79"/>
    <mergeCell ref="E78:F78"/>
    <mergeCell ref="B72:B75"/>
    <mergeCell ref="A3:A4"/>
    <mergeCell ref="B3:B4"/>
    <mergeCell ref="E3:E4"/>
    <mergeCell ref="F3:F4"/>
    <mergeCell ref="C3:C4"/>
    <mergeCell ref="D3:D4"/>
    <mergeCell ref="B6:B9"/>
    <mergeCell ref="G1:G4"/>
    <mergeCell ref="E1:F2"/>
    <mergeCell ref="C1:D2"/>
    <mergeCell ref="E77:G77"/>
  </mergeCells>
  <pageMargins left="0.7" right="0.7" top="0.75" bottom="0.75" header="0.3" footer="0.3"/>
  <pageSetup scale="73" orientation="portrait" r:id="rId1"/>
  <ignoredErrors>
    <ignoredError sqref="C29" emptyCellReference="1"/>
    <ignoredError sqref="C18 E18:F18" evalError="1" emptyCellReference="1"/>
    <ignoredError sqref="D39:F39 G29 C39 G31" formulaRange="1" emptyCellReference="1"/>
    <ignoredError sqref="G64 F31" formulaRange="1"/>
    <ignoredError sqref="D64:F64 D40:F40 G40 D51:F51 D62:F62 D20 G18 G51 C51 C62 C40 C64 G20 C42 D42:F42 G42 C53 D53:F53 G53" evalError="1" formulaRange="1" emptyCellReference="1"/>
    <ignoredError sqref="G62" evalError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1"/>
  <sheetViews>
    <sheetView zoomScaleNormal="100"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A60" sqref="A60:XFD60"/>
    </sheetView>
  </sheetViews>
  <sheetFormatPr defaultRowHeight="15" outlineLevelRow="1" x14ac:dyDescent="0.25"/>
  <cols>
    <col min="1" max="1" width="18.7109375" style="1" bestFit="1" customWidth="1"/>
    <col min="2" max="2" width="16.28515625" style="132" customWidth="1"/>
    <col min="3" max="3" width="16.28515625" style="396" customWidth="1"/>
    <col min="4" max="11" width="15.7109375" style="11" customWidth="1"/>
    <col min="12" max="12" width="18.710937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68"/>
      <c r="C1" s="701" t="s">
        <v>97</v>
      </c>
      <c r="D1" s="702"/>
      <c r="E1" s="702"/>
      <c r="F1" s="702"/>
      <c r="G1" s="703"/>
      <c r="H1" s="701" t="s">
        <v>94</v>
      </c>
      <c r="I1" s="703"/>
      <c r="J1" s="701" t="s">
        <v>95</v>
      </c>
      <c r="K1" s="703"/>
      <c r="L1" s="699" t="s">
        <v>19</v>
      </c>
    </row>
    <row r="2" spans="1:13" ht="15" customHeight="1" thickBot="1" x14ac:dyDescent="0.3">
      <c r="A2" s="24"/>
      <c r="B2" s="169"/>
      <c r="C2" s="704"/>
      <c r="D2" s="705"/>
      <c r="E2" s="705"/>
      <c r="F2" s="705"/>
      <c r="G2" s="706"/>
      <c r="H2" s="704"/>
      <c r="I2" s="706"/>
      <c r="J2" s="704"/>
      <c r="K2" s="706"/>
      <c r="L2" s="700"/>
    </row>
    <row r="3" spans="1:13" ht="13.5" customHeight="1" x14ac:dyDescent="0.25">
      <c r="A3" s="662" t="s">
        <v>52</v>
      </c>
      <c r="B3" s="658" t="s">
        <v>53</v>
      </c>
      <c r="C3" s="733" t="s">
        <v>104</v>
      </c>
      <c r="D3" s="635" t="s">
        <v>7</v>
      </c>
      <c r="E3" s="635" t="s">
        <v>91</v>
      </c>
      <c r="F3" s="635" t="s">
        <v>92</v>
      </c>
      <c r="G3" s="636" t="s">
        <v>93</v>
      </c>
      <c r="H3" s="662" t="s">
        <v>88</v>
      </c>
      <c r="I3" s="498" t="s">
        <v>108</v>
      </c>
      <c r="J3" s="634" t="s">
        <v>10</v>
      </c>
      <c r="K3" s="731" t="s">
        <v>102</v>
      </c>
      <c r="L3" s="642"/>
    </row>
    <row r="4" spans="1:13" ht="15" customHeight="1" thickBot="1" x14ac:dyDescent="0.3">
      <c r="A4" s="686"/>
      <c r="B4" s="727"/>
      <c r="C4" s="734"/>
      <c r="D4" s="728"/>
      <c r="E4" s="728"/>
      <c r="F4" s="728"/>
      <c r="G4" s="730"/>
      <c r="H4" s="686"/>
      <c r="I4" s="499" t="s">
        <v>101</v>
      </c>
      <c r="J4" s="729"/>
      <c r="K4" s="732"/>
      <c r="L4" s="643"/>
    </row>
    <row r="5" spans="1:13" s="500" customFormat="1" ht="15" hidden="1" customHeight="1" thickBot="1" x14ac:dyDescent="0.3">
      <c r="A5" s="508" t="s">
        <v>2</v>
      </c>
      <c r="B5" s="503">
        <v>43709</v>
      </c>
      <c r="C5" s="532"/>
      <c r="D5" s="533"/>
      <c r="E5" s="533"/>
      <c r="F5" s="533"/>
      <c r="G5" s="534"/>
      <c r="H5" s="535"/>
      <c r="I5" s="536"/>
      <c r="J5" s="537"/>
      <c r="K5" s="538"/>
      <c r="L5" s="541">
        <f>SUM(C5:K5)</f>
        <v>0</v>
      </c>
    </row>
    <row r="6" spans="1:13" s="47" customFormat="1" ht="15" hidden="1" customHeight="1" outlineLevel="1" thickBot="1" x14ac:dyDescent="0.3">
      <c r="A6" s="158" t="s">
        <v>21</v>
      </c>
      <c r="B6" s="723" t="s">
        <v>24</v>
      </c>
      <c r="C6" s="442" t="e">
        <f>SUM(#REF!)</f>
        <v>#REF!</v>
      </c>
      <c r="D6" s="443">
        <f>SUM(D5)</f>
        <v>0</v>
      </c>
      <c r="E6" s="443">
        <f t="shared" ref="E6:K6" si="0">SUM(E5)</f>
        <v>0</v>
      </c>
      <c r="F6" s="443">
        <f t="shared" si="0"/>
        <v>0</v>
      </c>
      <c r="G6" s="443">
        <f t="shared" si="0"/>
        <v>0</v>
      </c>
      <c r="H6" s="443">
        <f t="shared" si="0"/>
        <v>0</v>
      </c>
      <c r="I6" s="443">
        <f t="shared" si="0"/>
        <v>0</v>
      </c>
      <c r="J6" s="443">
        <f t="shared" si="0"/>
        <v>0</v>
      </c>
      <c r="K6" s="443">
        <f t="shared" si="0"/>
        <v>0</v>
      </c>
      <c r="L6" s="443">
        <f>SUM(L5)</f>
        <v>0</v>
      </c>
    </row>
    <row r="7" spans="1:13" s="47" customFormat="1" ht="15" hidden="1" customHeight="1" outlineLevel="1" thickBot="1" x14ac:dyDescent="0.3">
      <c r="A7" s="109" t="s">
        <v>23</v>
      </c>
      <c r="B7" s="724"/>
      <c r="C7" s="384" t="e">
        <f>AVERAGE(#REF!)</f>
        <v>#REF!</v>
      </c>
      <c r="D7" s="287" t="e">
        <f>AVERAGE(D5)</f>
        <v>#DIV/0!</v>
      </c>
      <c r="E7" s="287" t="e">
        <f t="shared" ref="E7:L7" si="1">AVERAGE(E5)</f>
        <v>#DIV/0!</v>
      </c>
      <c r="F7" s="287" t="e">
        <f t="shared" si="1"/>
        <v>#DIV/0!</v>
      </c>
      <c r="G7" s="287" t="e">
        <f t="shared" si="1"/>
        <v>#DIV/0!</v>
      </c>
      <c r="H7" s="287" t="e">
        <f t="shared" si="1"/>
        <v>#DIV/0!</v>
      </c>
      <c r="I7" s="287" t="e">
        <f t="shared" si="1"/>
        <v>#DIV/0!</v>
      </c>
      <c r="J7" s="287" t="e">
        <f t="shared" si="1"/>
        <v>#DIV/0!</v>
      </c>
      <c r="K7" s="287" t="e">
        <f t="shared" si="1"/>
        <v>#DIV/0!</v>
      </c>
      <c r="L7" s="287">
        <f t="shared" si="1"/>
        <v>0</v>
      </c>
    </row>
    <row r="8" spans="1:13" s="47" customFormat="1" ht="15" hidden="1" customHeight="1" thickBot="1" x14ac:dyDescent="0.3">
      <c r="A8" s="26" t="s">
        <v>20</v>
      </c>
      <c r="B8" s="724"/>
      <c r="C8" s="385" t="e">
        <f>SUM(#REF!)</f>
        <v>#REF!</v>
      </c>
      <c r="D8" s="288" t="e">
        <f>SUM(#REF!)</f>
        <v>#REF!</v>
      </c>
      <c r="E8" s="288" t="e">
        <f>SUM(#REF!)</f>
        <v>#REF!</v>
      </c>
      <c r="F8" s="288" t="e">
        <f>SUM(#REF!)</f>
        <v>#REF!</v>
      </c>
      <c r="G8" s="432" t="e">
        <f>SUM(#REF!)</f>
        <v>#REF!</v>
      </c>
      <c r="H8" s="292" t="e">
        <f>SUM(#REF!)</f>
        <v>#REF!</v>
      </c>
      <c r="I8" s="293" t="e">
        <f>SUM(#REF!)</f>
        <v>#REF!</v>
      </c>
      <c r="J8" s="348" t="e">
        <f>SUM(#REF!)</f>
        <v>#REF!</v>
      </c>
      <c r="K8" s="310" t="e">
        <f>SUM(#REF!)</f>
        <v>#REF!</v>
      </c>
      <c r="L8" s="30" t="e">
        <f>SUM(#REF!)</f>
        <v>#REF!</v>
      </c>
    </row>
    <row r="9" spans="1:13" s="47" customFormat="1" ht="15" hidden="1" customHeight="1" thickBot="1" x14ac:dyDescent="0.3">
      <c r="A9" s="26" t="s">
        <v>22</v>
      </c>
      <c r="B9" s="724"/>
      <c r="C9" s="451" t="e">
        <f>AVERAGE(#REF!)</f>
        <v>#REF!</v>
      </c>
      <c r="D9" s="452" t="e">
        <f>AVERAGE(#REF!)</f>
        <v>#REF!</v>
      </c>
      <c r="E9" s="452" t="e">
        <f>AVERAGE(#REF!)</f>
        <v>#REF!</v>
      </c>
      <c r="F9" s="452" t="e">
        <f>AVERAGE(#REF!)</f>
        <v>#REF!</v>
      </c>
      <c r="G9" s="453" t="e">
        <f>AVERAGE(#REF!)</f>
        <v>#REF!</v>
      </c>
      <c r="H9" s="454" t="e">
        <f>AVERAGE(#REF!)</f>
        <v>#REF!</v>
      </c>
      <c r="I9" s="455" t="e">
        <f>AVERAGE(I3)</f>
        <v>#DIV/0!</v>
      </c>
      <c r="J9" s="456" t="e">
        <f>AVERAGE(#REF!)</f>
        <v>#REF!</v>
      </c>
      <c r="K9" s="457" t="e">
        <f>AVERAGE(#REF!)</f>
        <v>#REF!</v>
      </c>
      <c r="L9" s="35" t="e">
        <f>AVERAGE(#REF!)</f>
        <v>#REF!</v>
      </c>
    </row>
    <row r="10" spans="1:13" s="46" customFormat="1" ht="14.25" hidden="1" thickBot="1" x14ac:dyDescent="0.3">
      <c r="A10" s="25" t="s">
        <v>3</v>
      </c>
      <c r="B10" s="318">
        <v>43738</v>
      </c>
      <c r="C10" s="501"/>
      <c r="D10" s="502"/>
      <c r="E10" s="502"/>
      <c r="F10" s="14"/>
      <c r="G10" s="63"/>
      <c r="H10" s="514"/>
      <c r="I10" s="515"/>
      <c r="J10" s="140"/>
      <c r="K10" s="13"/>
      <c r="L10" s="55">
        <f t="shared" ref="L10:L16" si="2">SUM(C10:K10)</f>
        <v>0</v>
      </c>
    </row>
    <row r="11" spans="1:13" s="46" customFormat="1" ht="14.25" hidden="1" thickBot="1" x14ac:dyDescent="0.3">
      <c r="A11" s="25" t="s">
        <v>4</v>
      </c>
      <c r="B11" s="276">
        <v>43739</v>
      </c>
      <c r="C11" s="383"/>
      <c r="D11" s="284"/>
      <c r="E11" s="284"/>
      <c r="F11" s="20"/>
      <c r="G11" s="64"/>
      <c r="H11" s="441"/>
      <c r="I11" s="294"/>
      <c r="J11" s="141"/>
      <c r="K11" s="19"/>
      <c r="L11" s="55">
        <f t="shared" si="2"/>
        <v>0</v>
      </c>
    </row>
    <row r="12" spans="1:13" s="46" customFormat="1" ht="14.25" hidden="1" thickBot="1" x14ac:dyDescent="0.3">
      <c r="A12" s="25" t="s">
        <v>5</v>
      </c>
      <c r="B12" s="276">
        <v>43740</v>
      </c>
      <c r="C12" s="383"/>
      <c r="D12" s="285"/>
      <c r="E12" s="284"/>
      <c r="F12" s="20"/>
      <c r="G12" s="64"/>
      <c r="H12" s="441"/>
      <c r="I12" s="294"/>
      <c r="J12" s="141"/>
      <c r="K12" s="19"/>
      <c r="L12" s="55">
        <f t="shared" si="2"/>
        <v>0</v>
      </c>
    </row>
    <row r="13" spans="1:13" s="46" customFormat="1" ht="14.25" hidden="1" thickBot="1" x14ac:dyDescent="0.3">
      <c r="A13" s="25" t="s">
        <v>6</v>
      </c>
      <c r="B13" s="276">
        <v>43769</v>
      </c>
      <c r="C13" s="383"/>
      <c r="D13" s="286"/>
      <c r="E13" s="285"/>
      <c r="F13" s="20"/>
      <c r="G13" s="64"/>
      <c r="H13" s="441"/>
      <c r="I13" s="294"/>
      <c r="J13" s="141"/>
      <c r="K13" s="19"/>
      <c r="L13" s="55">
        <f t="shared" si="2"/>
        <v>0</v>
      </c>
      <c r="M13" s="150"/>
    </row>
    <row r="14" spans="1:13" s="46" customFormat="1" ht="14.25" thickBot="1" x14ac:dyDescent="0.3">
      <c r="A14" s="25" t="s">
        <v>0</v>
      </c>
      <c r="B14" s="276">
        <v>43770</v>
      </c>
      <c r="C14" s="383"/>
      <c r="D14" s="284">
        <v>215</v>
      </c>
      <c r="E14" s="285">
        <v>83</v>
      </c>
      <c r="F14" s="20">
        <v>182</v>
      </c>
      <c r="G14" s="64">
        <v>168</v>
      </c>
      <c r="H14" s="441">
        <v>162</v>
      </c>
      <c r="I14" s="294">
        <v>165</v>
      </c>
      <c r="J14" s="141">
        <v>97</v>
      </c>
      <c r="K14" s="19">
        <v>59</v>
      </c>
      <c r="L14" s="55">
        <f t="shared" si="2"/>
        <v>1131</v>
      </c>
      <c r="M14" s="150"/>
    </row>
    <row r="15" spans="1:13" s="46" customFormat="1" ht="14.25" outlineLevel="1" thickBot="1" x14ac:dyDescent="0.3">
      <c r="A15" s="25" t="s">
        <v>1</v>
      </c>
      <c r="B15" s="276">
        <v>43771</v>
      </c>
      <c r="C15" s="383"/>
      <c r="D15" s="284">
        <v>219</v>
      </c>
      <c r="E15" s="285">
        <v>73</v>
      </c>
      <c r="F15" s="20">
        <v>188</v>
      </c>
      <c r="G15" s="64">
        <v>175</v>
      </c>
      <c r="H15" s="441"/>
      <c r="I15" s="294"/>
      <c r="J15" s="141">
        <v>589</v>
      </c>
      <c r="K15" s="19">
        <v>457</v>
      </c>
      <c r="L15" s="55">
        <f t="shared" si="2"/>
        <v>1701</v>
      </c>
      <c r="M15" s="150"/>
    </row>
    <row r="16" spans="1:13" s="46" customFormat="1" ht="15" customHeight="1" outlineLevel="1" thickBot="1" x14ac:dyDescent="0.3">
      <c r="A16" s="25" t="s">
        <v>2</v>
      </c>
      <c r="B16" s="276">
        <v>43772</v>
      </c>
      <c r="C16" s="446"/>
      <c r="D16" s="447">
        <v>220</v>
      </c>
      <c r="E16" s="448">
        <v>73</v>
      </c>
      <c r="F16" s="58">
        <v>71</v>
      </c>
      <c r="G16" s="341">
        <v>130</v>
      </c>
      <c r="H16" s="449"/>
      <c r="I16" s="450"/>
      <c r="J16" s="163">
        <v>420</v>
      </c>
      <c r="K16" s="57">
        <v>351</v>
      </c>
      <c r="L16" s="55">
        <f t="shared" si="2"/>
        <v>1265</v>
      </c>
      <c r="M16" s="150"/>
    </row>
    <row r="17" spans="1:12" s="47" customFormat="1" ht="15" customHeight="1" outlineLevel="1" thickBot="1" x14ac:dyDescent="0.3">
      <c r="A17" s="158" t="s">
        <v>21</v>
      </c>
      <c r="B17" s="723" t="s">
        <v>24</v>
      </c>
      <c r="C17" s="442">
        <f t="shared" ref="C17:L17" si="3">SUM(C10:C16)</f>
        <v>0</v>
      </c>
      <c r="D17" s="443">
        <f t="shared" si="3"/>
        <v>654</v>
      </c>
      <c r="E17" s="443">
        <f t="shared" si="3"/>
        <v>229</v>
      </c>
      <c r="F17" s="443">
        <f t="shared" si="3"/>
        <v>441</v>
      </c>
      <c r="G17" s="444">
        <f t="shared" si="3"/>
        <v>473</v>
      </c>
      <c r="H17" s="333">
        <f t="shared" si="3"/>
        <v>162</v>
      </c>
      <c r="I17" s="352">
        <f t="shared" si="3"/>
        <v>165</v>
      </c>
      <c r="J17" s="354">
        <f t="shared" si="3"/>
        <v>1106</v>
      </c>
      <c r="K17" s="343">
        <f t="shared" si="3"/>
        <v>867</v>
      </c>
      <c r="L17" s="117">
        <f t="shared" si="3"/>
        <v>4097</v>
      </c>
    </row>
    <row r="18" spans="1:12" s="47" customFormat="1" ht="15" customHeight="1" outlineLevel="1" thickBot="1" x14ac:dyDescent="0.3">
      <c r="A18" s="109" t="s">
        <v>23</v>
      </c>
      <c r="B18" s="724"/>
      <c r="C18" s="384" t="e">
        <f>AVERAGE(C10:C16)</f>
        <v>#DIV/0!</v>
      </c>
      <c r="D18" s="287">
        <f t="shared" ref="D18:K18" si="4">AVERAGE(D10:D16)</f>
        <v>218</v>
      </c>
      <c r="E18" s="287">
        <f t="shared" si="4"/>
        <v>76.333333333333329</v>
      </c>
      <c r="F18" s="287">
        <f t="shared" si="4"/>
        <v>147</v>
      </c>
      <c r="G18" s="431">
        <f t="shared" si="4"/>
        <v>157.66666666666666</v>
      </c>
      <c r="H18" s="290">
        <f t="shared" si="4"/>
        <v>162</v>
      </c>
      <c r="I18" s="291">
        <f>AVERAGE(I14:I16)</f>
        <v>165</v>
      </c>
      <c r="J18" s="347">
        <f t="shared" si="4"/>
        <v>368.66666666666669</v>
      </c>
      <c r="K18" s="309">
        <f t="shared" si="4"/>
        <v>289</v>
      </c>
      <c r="L18" s="113">
        <f>AVERAGE(L10:L16)</f>
        <v>585.28571428571433</v>
      </c>
    </row>
    <row r="19" spans="1:12" s="47" customFormat="1" ht="15" customHeight="1" thickBot="1" x14ac:dyDescent="0.3">
      <c r="A19" s="26" t="s">
        <v>20</v>
      </c>
      <c r="B19" s="724"/>
      <c r="C19" s="385">
        <f t="shared" ref="C19:L19" si="5">SUM(C10:C14)</f>
        <v>0</v>
      </c>
      <c r="D19" s="288">
        <f t="shared" si="5"/>
        <v>215</v>
      </c>
      <c r="E19" s="288">
        <f t="shared" si="5"/>
        <v>83</v>
      </c>
      <c r="F19" s="288">
        <f t="shared" si="5"/>
        <v>182</v>
      </c>
      <c r="G19" s="432">
        <f t="shared" si="5"/>
        <v>168</v>
      </c>
      <c r="H19" s="292">
        <f t="shared" si="5"/>
        <v>162</v>
      </c>
      <c r="I19" s="293">
        <f t="shared" si="5"/>
        <v>165</v>
      </c>
      <c r="J19" s="348">
        <f t="shared" si="5"/>
        <v>97</v>
      </c>
      <c r="K19" s="310">
        <f t="shared" si="5"/>
        <v>59</v>
      </c>
      <c r="L19" s="30">
        <f t="shared" si="5"/>
        <v>1131</v>
      </c>
    </row>
    <row r="20" spans="1:12" s="47" customFormat="1" ht="15" customHeight="1" thickBot="1" x14ac:dyDescent="0.3">
      <c r="A20" s="26" t="s">
        <v>22</v>
      </c>
      <c r="B20" s="724"/>
      <c r="C20" s="451" t="e">
        <f>AVERAGE(C10:C14)</f>
        <v>#DIV/0!</v>
      </c>
      <c r="D20" s="452">
        <f t="shared" ref="D20:K20" si="6">AVERAGE(D10:D14)</f>
        <v>215</v>
      </c>
      <c r="E20" s="452">
        <f t="shared" si="6"/>
        <v>83</v>
      </c>
      <c r="F20" s="452">
        <f t="shared" si="6"/>
        <v>182</v>
      </c>
      <c r="G20" s="453">
        <f t="shared" si="6"/>
        <v>168</v>
      </c>
      <c r="H20" s="454">
        <f t="shared" si="6"/>
        <v>162</v>
      </c>
      <c r="I20" s="455">
        <f>AVERAGE(I14)</f>
        <v>165</v>
      </c>
      <c r="J20" s="456">
        <f t="shared" si="6"/>
        <v>97</v>
      </c>
      <c r="K20" s="457">
        <f t="shared" si="6"/>
        <v>59</v>
      </c>
      <c r="L20" s="35">
        <f>AVERAGE(L10:L14)</f>
        <v>226.2</v>
      </c>
    </row>
    <row r="21" spans="1:12" s="47" customFormat="1" ht="15" customHeight="1" thickBot="1" x14ac:dyDescent="0.3">
      <c r="A21" s="25" t="s">
        <v>3</v>
      </c>
      <c r="B21" s="277">
        <f>B16+1</f>
        <v>43773</v>
      </c>
      <c r="C21" s="445"/>
      <c r="D21" s="289">
        <v>198</v>
      </c>
      <c r="E21" s="289">
        <v>26</v>
      </c>
      <c r="F21" s="458">
        <v>162</v>
      </c>
      <c r="G21" s="459">
        <v>114</v>
      </c>
      <c r="H21" s="439">
        <v>218</v>
      </c>
      <c r="I21" s="440">
        <v>197</v>
      </c>
      <c r="J21" s="460">
        <v>58</v>
      </c>
      <c r="K21" s="461">
        <v>61</v>
      </c>
      <c r="L21" s="16">
        <f t="shared" ref="L21:L27" si="7">SUM(C21:K21)</f>
        <v>1034</v>
      </c>
    </row>
    <row r="22" spans="1:12" s="47" customFormat="1" ht="15" customHeight="1" thickBot="1" x14ac:dyDescent="0.3">
      <c r="A22" s="25" t="s">
        <v>4</v>
      </c>
      <c r="B22" s="278">
        <f t="shared" ref="B22:B27" si="8">B21+1</f>
        <v>43774</v>
      </c>
      <c r="C22" s="383"/>
      <c r="D22" s="284">
        <v>119</v>
      </c>
      <c r="E22" s="284">
        <v>29</v>
      </c>
      <c r="F22" s="36">
        <v>93</v>
      </c>
      <c r="G22" s="308">
        <v>78</v>
      </c>
      <c r="H22" s="441">
        <v>210</v>
      </c>
      <c r="I22" s="294">
        <v>195</v>
      </c>
      <c r="J22" s="349">
        <v>78</v>
      </c>
      <c r="K22" s="366">
        <v>78</v>
      </c>
      <c r="L22" s="17">
        <f t="shared" si="7"/>
        <v>880</v>
      </c>
    </row>
    <row r="23" spans="1:12" s="47" customFormat="1" ht="15" customHeight="1" thickBot="1" x14ac:dyDescent="0.3">
      <c r="A23" s="25" t="s">
        <v>5</v>
      </c>
      <c r="B23" s="278">
        <f t="shared" si="8"/>
        <v>43775</v>
      </c>
      <c r="C23" s="383"/>
      <c r="D23" s="284">
        <v>196</v>
      </c>
      <c r="E23" s="284">
        <v>54</v>
      </c>
      <c r="F23" s="36">
        <v>168</v>
      </c>
      <c r="G23" s="308">
        <v>92</v>
      </c>
      <c r="H23" s="441">
        <v>219</v>
      </c>
      <c r="I23" s="294">
        <v>222</v>
      </c>
      <c r="J23" s="349">
        <v>68</v>
      </c>
      <c r="K23" s="366">
        <v>62</v>
      </c>
      <c r="L23" s="17">
        <f t="shared" si="7"/>
        <v>1081</v>
      </c>
    </row>
    <row r="24" spans="1:12" s="47" customFormat="1" ht="15" customHeight="1" thickBot="1" x14ac:dyDescent="0.3">
      <c r="A24" s="25" t="s">
        <v>6</v>
      </c>
      <c r="B24" s="279">
        <f t="shared" si="8"/>
        <v>43776</v>
      </c>
      <c r="C24" s="383"/>
      <c r="D24" s="284">
        <v>112</v>
      </c>
      <c r="E24" s="284">
        <v>43</v>
      </c>
      <c r="F24" s="275">
        <v>73</v>
      </c>
      <c r="G24" s="64">
        <v>94</v>
      </c>
      <c r="H24" s="441">
        <v>201</v>
      </c>
      <c r="I24" s="294">
        <v>187</v>
      </c>
      <c r="J24" s="136">
        <v>57</v>
      </c>
      <c r="K24" s="19">
        <v>40</v>
      </c>
      <c r="L24" s="17">
        <f t="shared" si="7"/>
        <v>807</v>
      </c>
    </row>
    <row r="25" spans="1:12" s="47" customFormat="1" ht="15" customHeight="1" thickBot="1" x14ac:dyDescent="0.3">
      <c r="A25" s="25" t="s">
        <v>0</v>
      </c>
      <c r="B25" s="279">
        <f t="shared" si="8"/>
        <v>43777</v>
      </c>
      <c r="C25" s="383"/>
      <c r="D25" s="284">
        <v>275</v>
      </c>
      <c r="E25" s="284">
        <v>50</v>
      </c>
      <c r="F25" s="275">
        <v>246</v>
      </c>
      <c r="G25" s="64">
        <v>85</v>
      </c>
      <c r="H25" s="441">
        <v>174</v>
      </c>
      <c r="I25" s="294">
        <v>170</v>
      </c>
      <c r="J25" s="136">
        <v>65</v>
      </c>
      <c r="K25" s="19">
        <v>40</v>
      </c>
      <c r="L25" s="17">
        <f t="shared" si="7"/>
        <v>1105</v>
      </c>
    </row>
    <row r="26" spans="1:12" s="47" customFormat="1" ht="15" customHeight="1" outlineLevel="1" thickBot="1" x14ac:dyDescent="0.3">
      <c r="A26" s="25" t="s">
        <v>1</v>
      </c>
      <c r="B26" s="276">
        <f t="shared" si="8"/>
        <v>43778</v>
      </c>
      <c r="C26" s="383"/>
      <c r="D26" s="286">
        <v>258</v>
      </c>
      <c r="E26" s="284">
        <v>44</v>
      </c>
      <c r="F26" s="275">
        <v>384</v>
      </c>
      <c r="G26" s="64">
        <v>208</v>
      </c>
      <c r="H26" s="441"/>
      <c r="I26" s="294"/>
      <c r="J26" s="136">
        <v>469</v>
      </c>
      <c r="K26" s="19">
        <v>349</v>
      </c>
      <c r="L26" s="17">
        <f t="shared" si="7"/>
        <v>1712</v>
      </c>
    </row>
    <row r="27" spans="1:12" s="47" customFormat="1" ht="15" customHeight="1" outlineLevel="1" thickBot="1" x14ac:dyDescent="0.3">
      <c r="A27" s="25" t="s">
        <v>2</v>
      </c>
      <c r="B27" s="278">
        <f t="shared" si="8"/>
        <v>43779</v>
      </c>
      <c r="C27" s="446"/>
      <c r="D27" s="447">
        <v>213</v>
      </c>
      <c r="E27" s="447">
        <v>58</v>
      </c>
      <c r="F27" s="462">
        <v>204</v>
      </c>
      <c r="G27" s="341">
        <v>157</v>
      </c>
      <c r="H27" s="449"/>
      <c r="I27" s="450"/>
      <c r="J27" s="274">
        <v>488</v>
      </c>
      <c r="K27" s="57">
        <v>373</v>
      </c>
      <c r="L27" s="17">
        <f t="shared" si="7"/>
        <v>1493</v>
      </c>
    </row>
    <row r="28" spans="1:12" s="47" customFormat="1" ht="15" customHeight="1" outlineLevel="1" thickBot="1" x14ac:dyDescent="0.3">
      <c r="A28" s="158" t="s">
        <v>21</v>
      </c>
      <c r="B28" s="723" t="s">
        <v>25</v>
      </c>
      <c r="C28" s="442">
        <f t="shared" ref="C28:L28" si="9">SUM(C21:C27)</f>
        <v>0</v>
      </c>
      <c r="D28" s="443">
        <f t="shared" si="9"/>
        <v>1371</v>
      </c>
      <c r="E28" s="443">
        <f t="shared" si="9"/>
        <v>304</v>
      </c>
      <c r="F28" s="443">
        <f t="shared" si="9"/>
        <v>1330</v>
      </c>
      <c r="G28" s="444">
        <f t="shared" si="9"/>
        <v>828</v>
      </c>
      <c r="H28" s="333">
        <f t="shared" si="9"/>
        <v>1022</v>
      </c>
      <c r="I28" s="352">
        <f t="shared" si="9"/>
        <v>971</v>
      </c>
      <c r="J28" s="354">
        <f t="shared" si="9"/>
        <v>1283</v>
      </c>
      <c r="K28" s="343">
        <f t="shared" si="9"/>
        <v>1003</v>
      </c>
      <c r="L28" s="117">
        <f t="shared" si="9"/>
        <v>8112</v>
      </c>
    </row>
    <row r="29" spans="1:12" s="47" customFormat="1" ht="15" customHeight="1" outlineLevel="1" thickBot="1" x14ac:dyDescent="0.3">
      <c r="A29" s="109" t="s">
        <v>23</v>
      </c>
      <c r="B29" s="724"/>
      <c r="C29" s="384" t="e">
        <f>AVERAGE(C21:C27)</f>
        <v>#DIV/0!</v>
      </c>
      <c r="D29" s="287">
        <f>AVERAGE(D21:D27)</f>
        <v>195.85714285714286</v>
      </c>
      <c r="E29" s="287">
        <f t="shared" ref="E29:J29" si="10">AVERAGE(E21:E27)</f>
        <v>43.428571428571431</v>
      </c>
      <c r="F29" s="287">
        <f>AVERAGE(F21:F27)</f>
        <v>190</v>
      </c>
      <c r="G29" s="431">
        <f>AVERAGE(G21:G27)</f>
        <v>118.28571428571429</v>
      </c>
      <c r="H29" s="290">
        <f t="shared" si="10"/>
        <v>204.4</v>
      </c>
      <c r="I29" s="291">
        <f>AVERAGE(I21:I27)</f>
        <v>194.2</v>
      </c>
      <c r="J29" s="347">
        <f t="shared" si="10"/>
        <v>183.28571428571428</v>
      </c>
      <c r="K29" s="309">
        <f>AVERAGE(K21:K27)</f>
        <v>143.28571428571428</v>
      </c>
      <c r="L29" s="113">
        <f>AVERAGE(L21:L27)</f>
        <v>1158.8571428571429</v>
      </c>
    </row>
    <row r="30" spans="1:12" s="47" customFormat="1" ht="15" customHeight="1" thickBot="1" x14ac:dyDescent="0.3">
      <c r="A30" s="26" t="s">
        <v>20</v>
      </c>
      <c r="B30" s="724"/>
      <c r="C30" s="385">
        <f>SUM(C21:C25)</f>
        <v>0</v>
      </c>
      <c r="D30" s="288">
        <f t="shared" ref="D30:J30" si="11">SUM(D21:D25)</f>
        <v>900</v>
      </c>
      <c r="E30" s="288">
        <f t="shared" si="11"/>
        <v>202</v>
      </c>
      <c r="F30" s="288">
        <f t="shared" si="11"/>
        <v>742</v>
      </c>
      <c r="G30" s="432">
        <f t="shared" si="11"/>
        <v>463</v>
      </c>
      <c r="H30" s="292">
        <f t="shared" si="11"/>
        <v>1022</v>
      </c>
      <c r="I30" s="293">
        <f>SUM(I21:I25)</f>
        <v>971</v>
      </c>
      <c r="J30" s="348">
        <f t="shared" si="11"/>
        <v>326</v>
      </c>
      <c r="K30" s="310">
        <f>SUM(K21:K25)</f>
        <v>281</v>
      </c>
      <c r="L30" s="30">
        <f>SUM(L21:L25)</f>
        <v>4907</v>
      </c>
    </row>
    <row r="31" spans="1:12" s="47" customFormat="1" ht="15" customHeight="1" thickBot="1" x14ac:dyDescent="0.3">
      <c r="A31" s="26" t="s">
        <v>22</v>
      </c>
      <c r="B31" s="735"/>
      <c r="C31" s="451" t="e">
        <f>AVERAGE(C21:C25)</f>
        <v>#DIV/0!</v>
      </c>
      <c r="D31" s="452">
        <f t="shared" ref="D31:J31" si="12">AVERAGE(D21:D25)</f>
        <v>180</v>
      </c>
      <c r="E31" s="452">
        <f t="shared" si="12"/>
        <v>40.4</v>
      </c>
      <c r="F31" s="452">
        <f t="shared" si="12"/>
        <v>148.4</v>
      </c>
      <c r="G31" s="453">
        <f t="shared" si="12"/>
        <v>92.6</v>
      </c>
      <c r="H31" s="454">
        <f t="shared" si="12"/>
        <v>204.4</v>
      </c>
      <c r="I31" s="455">
        <f>AVERAGE(I21:I25)</f>
        <v>194.2</v>
      </c>
      <c r="J31" s="456">
        <f t="shared" si="12"/>
        <v>65.2</v>
      </c>
      <c r="K31" s="457">
        <f>AVERAGE(K21:K25)</f>
        <v>56.2</v>
      </c>
      <c r="L31" s="346">
        <f>AVERAGE(L21:L25)</f>
        <v>981.4</v>
      </c>
    </row>
    <row r="32" spans="1:12" s="47" customFormat="1" ht="15" customHeight="1" thickBot="1" x14ac:dyDescent="0.3">
      <c r="A32" s="25" t="s">
        <v>3</v>
      </c>
      <c r="B32" s="280">
        <f>B27+1</f>
        <v>43780</v>
      </c>
      <c r="C32" s="463"/>
      <c r="D32" s="289">
        <v>167</v>
      </c>
      <c r="E32" s="289">
        <v>49</v>
      </c>
      <c r="F32" s="458">
        <v>101</v>
      </c>
      <c r="G32" s="459">
        <v>146</v>
      </c>
      <c r="H32" s="439">
        <v>187</v>
      </c>
      <c r="I32" s="440">
        <v>192</v>
      </c>
      <c r="J32" s="460">
        <v>105</v>
      </c>
      <c r="K32" s="461">
        <v>107</v>
      </c>
      <c r="L32" s="16">
        <f t="shared" ref="L32:L38" si="13">SUM(C32:K32)</f>
        <v>1054</v>
      </c>
    </row>
    <row r="33" spans="1:13" s="47" customFormat="1" ht="15" customHeight="1" thickBot="1" x14ac:dyDescent="0.3">
      <c r="A33" s="25" t="s">
        <v>4</v>
      </c>
      <c r="B33" s="271">
        <f t="shared" ref="B33:B38" si="14">B32+1</f>
        <v>43781</v>
      </c>
      <c r="C33" s="386"/>
      <c r="D33" s="284">
        <v>35</v>
      </c>
      <c r="E33" s="284">
        <v>8</v>
      </c>
      <c r="F33" s="36">
        <v>22</v>
      </c>
      <c r="G33" s="308">
        <v>23</v>
      </c>
      <c r="H33" s="441">
        <v>202</v>
      </c>
      <c r="I33" s="294">
        <v>186</v>
      </c>
      <c r="J33" s="349">
        <v>35</v>
      </c>
      <c r="K33" s="366">
        <v>20</v>
      </c>
      <c r="L33" s="17">
        <f t="shared" si="13"/>
        <v>531</v>
      </c>
    </row>
    <row r="34" spans="1:13" s="47" customFormat="1" ht="15" customHeight="1" thickBot="1" x14ac:dyDescent="0.3">
      <c r="A34" s="25" t="s">
        <v>5</v>
      </c>
      <c r="B34" s="271">
        <f t="shared" si="14"/>
        <v>43782</v>
      </c>
      <c r="C34" s="386"/>
      <c r="D34" s="284">
        <v>71</v>
      </c>
      <c r="E34" s="284">
        <v>7</v>
      </c>
      <c r="F34" s="36">
        <v>107</v>
      </c>
      <c r="G34" s="308">
        <v>42</v>
      </c>
      <c r="H34" s="441">
        <v>222</v>
      </c>
      <c r="I34" s="294">
        <v>203</v>
      </c>
      <c r="J34" s="349">
        <v>25</v>
      </c>
      <c r="K34" s="366">
        <v>20</v>
      </c>
      <c r="L34" s="17">
        <f t="shared" si="13"/>
        <v>697</v>
      </c>
    </row>
    <row r="35" spans="1:13" s="47" customFormat="1" ht="15" customHeight="1" thickBot="1" x14ac:dyDescent="0.3">
      <c r="A35" s="25" t="s">
        <v>6</v>
      </c>
      <c r="B35" s="271">
        <f t="shared" si="14"/>
        <v>43783</v>
      </c>
      <c r="C35" s="386"/>
      <c r="D35" s="284">
        <v>68</v>
      </c>
      <c r="E35" s="284">
        <v>38</v>
      </c>
      <c r="F35" s="20">
        <v>70</v>
      </c>
      <c r="G35" s="64">
        <v>92</v>
      </c>
      <c r="H35" s="441">
        <v>213</v>
      </c>
      <c r="I35" s="294">
        <v>214</v>
      </c>
      <c r="J35" s="136">
        <v>50</v>
      </c>
      <c r="K35" s="19">
        <v>43</v>
      </c>
      <c r="L35" s="17">
        <f t="shared" si="13"/>
        <v>788</v>
      </c>
    </row>
    <row r="36" spans="1:13" s="47" customFormat="1" ht="15" customHeight="1" thickBot="1" x14ac:dyDescent="0.3">
      <c r="A36" s="25" t="s">
        <v>0</v>
      </c>
      <c r="B36" s="271">
        <f t="shared" si="14"/>
        <v>43784</v>
      </c>
      <c r="C36" s="386"/>
      <c r="D36" s="284">
        <v>160</v>
      </c>
      <c r="E36" s="284">
        <v>53</v>
      </c>
      <c r="F36" s="20">
        <v>171</v>
      </c>
      <c r="G36" s="64">
        <v>86</v>
      </c>
      <c r="H36" s="441">
        <v>191</v>
      </c>
      <c r="I36" s="294">
        <v>197</v>
      </c>
      <c r="J36" s="136">
        <v>86</v>
      </c>
      <c r="K36" s="19">
        <v>55</v>
      </c>
      <c r="L36" s="17">
        <f t="shared" si="13"/>
        <v>999</v>
      </c>
    </row>
    <row r="37" spans="1:13" s="47" customFormat="1" ht="15" customHeight="1" outlineLevel="1" thickBot="1" x14ac:dyDescent="0.3">
      <c r="A37" s="25" t="s">
        <v>1</v>
      </c>
      <c r="B37" s="271">
        <f t="shared" si="14"/>
        <v>43785</v>
      </c>
      <c r="C37" s="386"/>
      <c r="D37" s="284">
        <v>182</v>
      </c>
      <c r="E37" s="284">
        <v>41</v>
      </c>
      <c r="F37" s="20">
        <v>214</v>
      </c>
      <c r="G37" s="64">
        <v>123</v>
      </c>
      <c r="H37" s="441"/>
      <c r="I37" s="294"/>
      <c r="J37" s="136">
        <v>452</v>
      </c>
      <c r="K37" s="19">
        <v>378</v>
      </c>
      <c r="L37" s="17">
        <f t="shared" si="13"/>
        <v>1390</v>
      </c>
    </row>
    <row r="38" spans="1:13" s="47" customFormat="1" ht="15" customHeight="1" outlineLevel="1" thickBot="1" x14ac:dyDescent="0.3">
      <c r="A38" s="25" t="s">
        <v>2</v>
      </c>
      <c r="B38" s="271">
        <f t="shared" si="14"/>
        <v>43786</v>
      </c>
      <c r="C38" s="464"/>
      <c r="D38" s="447">
        <v>187</v>
      </c>
      <c r="E38" s="447">
        <v>48</v>
      </c>
      <c r="F38" s="58">
        <v>155</v>
      </c>
      <c r="G38" s="341">
        <v>89</v>
      </c>
      <c r="H38" s="449"/>
      <c r="I38" s="450"/>
      <c r="J38" s="274">
        <v>380</v>
      </c>
      <c r="K38" s="57">
        <v>302</v>
      </c>
      <c r="L38" s="66">
        <f t="shared" si="13"/>
        <v>1161</v>
      </c>
    </row>
    <row r="39" spans="1:13" s="47" customFormat="1" ht="15" customHeight="1" outlineLevel="1" thickBot="1" x14ac:dyDescent="0.3">
      <c r="A39" s="158" t="s">
        <v>21</v>
      </c>
      <c r="B39" s="723" t="s">
        <v>26</v>
      </c>
      <c r="C39" s="442">
        <f t="shared" ref="C39:L39" si="15">SUM(C32:C38)</f>
        <v>0</v>
      </c>
      <c r="D39" s="443">
        <f>SUM(D32:D38)</f>
        <v>870</v>
      </c>
      <c r="E39" s="443">
        <f t="shared" si="15"/>
        <v>244</v>
      </c>
      <c r="F39" s="443">
        <f>SUM(F32:F38)</f>
        <v>840</v>
      </c>
      <c r="G39" s="443">
        <f t="shared" si="15"/>
        <v>601</v>
      </c>
      <c r="H39" s="333">
        <f t="shared" si="15"/>
        <v>1015</v>
      </c>
      <c r="I39" s="352">
        <f t="shared" si="15"/>
        <v>992</v>
      </c>
      <c r="J39" s="354">
        <f t="shared" si="15"/>
        <v>1133</v>
      </c>
      <c r="K39" s="343">
        <f t="shared" si="15"/>
        <v>925</v>
      </c>
      <c r="L39" s="117">
        <f t="shared" si="15"/>
        <v>6620</v>
      </c>
    </row>
    <row r="40" spans="1:13" s="47" customFormat="1" ht="15" customHeight="1" outlineLevel="1" thickBot="1" x14ac:dyDescent="0.3">
      <c r="A40" s="109" t="s">
        <v>23</v>
      </c>
      <c r="B40" s="724"/>
      <c r="C40" s="384" t="e">
        <f t="shared" ref="C40:L40" si="16">AVERAGE(C32:C38)</f>
        <v>#DIV/0!</v>
      </c>
      <c r="D40" s="287">
        <f t="shared" si="16"/>
        <v>124.28571428571429</v>
      </c>
      <c r="E40" s="287">
        <f t="shared" si="16"/>
        <v>34.857142857142854</v>
      </c>
      <c r="F40" s="287">
        <f>AVERAGE(F32:F38)</f>
        <v>120</v>
      </c>
      <c r="G40" s="431">
        <f t="shared" si="16"/>
        <v>85.857142857142861</v>
      </c>
      <c r="H40" s="290">
        <f t="shared" si="16"/>
        <v>203</v>
      </c>
      <c r="I40" s="291">
        <f t="shared" si="16"/>
        <v>198.4</v>
      </c>
      <c r="J40" s="347">
        <f t="shared" si="16"/>
        <v>161.85714285714286</v>
      </c>
      <c r="K40" s="309">
        <f t="shared" si="16"/>
        <v>132.14285714285714</v>
      </c>
      <c r="L40" s="113">
        <f t="shared" si="16"/>
        <v>945.71428571428567</v>
      </c>
    </row>
    <row r="41" spans="1:13" s="47" customFormat="1" ht="15" customHeight="1" thickBot="1" x14ac:dyDescent="0.3">
      <c r="A41" s="26" t="s">
        <v>20</v>
      </c>
      <c r="B41" s="724"/>
      <c r="C41" s="385">
        <f t="shared" ref="C41:L41" si="17">SUM(C32:C36)</f>
        <v>0</v>
      </c>
      <c r="D41" s="288">
        <f t="shared" si="17"/>
        <v>501</v>
      </c>
      <c r="E41" s="288">
        <f>SUM(E32:E36)</f>
        <v>155</v>
      </c>
      <c r="F41" s="288">
        <f>SUM(F32:F36)</f>
        <v>471</v>
      </c>
      <c r="G41" s="432">
        <f>SUM(G32:G36)</f>
        <v>389</v>
      </c>
      <c r="H41" s="292">
        <f t="shared" si="17"/>
        <v>1015</v>
      </c>
      <c r="I41" s="293">
        <f t="shared" si="17"/>
        <v>992</v>
      </c>
      <c r="J41" s="348">
        <f t="shared" si="17"/>
        <v>301</v>
      </c>
      <c r="K41" s="310">
        <f t="shared" si="17"/>
        <v>245</v>
      </c>
      <c r="L41" s="30">
        <f t="shared" si="17"/>
        <v>4069</v>
      </c>
    </row>
    <row r="42" spans="1:13" s="47" customFormat="1" ht="15" customHeight="1" thickBot="1" x14ac:dyDescent="0.3">
      <c r="A42" s="26" t="s">
        <v>22</v>
      </c>
      <c r="B42" s="735"/>
      <c r="C42" s="451" t="e">
        <f t="shared" ref="C42:L42" si="18">AVERAGE(C32:C36)</f>
        <v>#DIV/0!</v>
      </c>
      <c r="D42" s="452">
        <f t="shared" si="18"/>
        <v>100.2</v>
      </c>
      <c r="E42" s="452">
        <f t="shared" si="18"/>
        <v>31</v>
      </c>
      <c r="F42" s="452">
        <f t="shared" si="18"/>
        <v>94.2</v>
      </c>
      <c r="G42" s="453">
        <f t="shared" si="18"/>
        <v>77.8</v>
      </c>
      <c r="H42" s="454">
        <f t="shared" si="18"/>
        <v>203</v>
      </c>
      <c r="I42" s="455">
        <f t="shared" si="18"/>
        <v>198.4</v>
      </c>
      <c r="J42" s="456">
        <f t="shared" si="18"/>
        <v>60.2</v>
      </c>
      <c r="K42" s="457">
        <f t="shared" si="18"/>
        <v>49</v>
      </c>
      <c r="L42" s="35">
        <f t="shared" si="18"/>
        <v>813.8</v>
      </c>
    </row>
    <row r="43" spans="1:13" s="47" customFormat="1" ht="15" customHeight="1" thickBot="1" x14ac:dyDescent="0.3">
      <c r="A43" s="25" t="s">
        <v>3</v>
      </c>
      <c r="B43" s="281">
        <f>B38+1</f>
        <v>43787</v>
      </c>
      <c r="C43" s="465"/>
      <c r="D43" s="289">
        <v>83</v>
      </c>
      <c r="E43" s="289">
        <v>21</v>
      </c>
      <c r="F43" s="289">
        <v>72</v>
      </c>
      <c r="G43" s="339">
        <v>31</v>
      </c>
      <c r="H43" s="439">
        <v>194</v>
      </c>
      <c r="I43" s="440">
        <v>171</v>
      </c>
      <c r="J43" s="466">
        <v>41</v>
      </c>
      <c r="K43" s="440">
        <v>30</v>
      </c>
      <c r="L43" s="16">
        <f>SUM(C43:K43)</f>
        <v>643</v>
      </c>
    </row>
    <row r="44" spans="1:13" s="47" customFormat="1" ht="15" customHeight="1" thickBot="1" x14ac:dyDescent="0.3">
      <c r="A44" s="25" t="s">
        <v>4</v>
      </c>
      <c r="B44" s="282">
        <f t="shared" ref="B44:B49" si="19">B43+1</f>
        <v>43788</v>
      </c>
      <c r="C44" s="387"/>
      <c r="D44" s="284">
        <v>123</v>
      </c>
      <c r="E44" s="284">
        <v>31</v>
      </c>
      <c r="F44" s="284">
        <v>120</v>
      </c>
      <c r="G44" s="340">
        <v>114</v>
      </c>
      <c r="H44" s="441">
        <v>220</v>
      </c>
      <c r="I44" s="294">
        <v>221</v>
      </c>
      <c r="J44" s="350">
        <v>32</v>
      </c>
      <c r="K44" s="294">
        <v>32</v>
      </c>
      <c r="L44" s="17">
        <f t="shared" ref="L44:L49" si="20">SUM(C44:K44)</f>
        <v>893</v>
      </c>
    </row>
    <row r="45" spans="1:13" s="47" customFormat="1" ht="15" customHeight="1" thickBot="1" x14ac:dyDescent="0.3">
      <c r="A45" s="25" t="s">
        <v>5</v>
      </c>
      <c r="B45" s="282">
        <f t="shared" si="19"/>
        <v>43789</v>
      </c>
      <c r="C45" s="387"/>
      <c r="D45" s="284">
        <v>95</v>
      </c>
      <c r="E45" s="284">
        <v>28</v>
      </c>
      <c r="F45" s="284">
        <v>80</v>
      </c>
      <c r="G45" s="340">
        <v>60</v>
      </c>
      <c r="H45" s="441">
        <v>198</v>
      </c>
      <c r="I45" s="294">
        <v>192</v>
      </c>
      <c r="J45" s="350">
        <v>46</v>
      </c>
      <c r="K45" s="294">
        <v>31</v>
      </c>
      <c r="L45" s="17">
        <f t="shared" si="20"/>
        <v>730</v>
      </c>
    </row>
    <row r="46" spans="1:13" s="47" customFormat="1" ht="15" customHeight="1" thickBot="1" x14ac:dyDescent="0.3">
      <c r="A46" s="25" t="s">
        <v>6</v>
      </c>
      <c r="B46" s="282">
        <f t="shared" si="19"/>
        <v>43790</v>
      </c>
      <c r="C46" s="387"/>
      <c r="D46" s="284">
        <v>110</v>
      </c>
      <c r="E46" s="284">
        <v>49</v>
      </c>
      <c r="F46" s="286">
        <v>98</v>
      </c>
      <c r="G46" s="340">
        <v>108</v>
      </c>
      <c r="H46" s="441">
        <v>204</v>
      </c>
      <c r="I46" s="294">
        <v>197</v>
      </c>
      <c r="J46" s="350">
        <v>45</v>
      </c>
      <c r="K46" s="294">
        <v>35</v>
      </c>
      <c r="L46" s="17">
        <f t="shared" si="20"/>
        <v>846</v>
      </c>
    </row>
    <row r="47" spans="1:13" s="47" customFormat="1" ht="15" customHeight="1" thickBot="1" x14ac:dyDescent="0.3">
      <c r="A47" s="25" t="s">
        <v>0</v>
      </c>
      <c r="B47" s="282">
        <f t="shared" si="19"/>
        <v>43791</v>
      </c>
      <c r="C47" s="387"/>
      <c r="D47" s="284">
        <v>244</v>
      </c>
      <c r="E47" s="284">
        <v>56</v>
      </c>
      <c r="F47" s="284">
        <v>240</v>
      </c>
      <c r="G47" s="340">
        <v>178</v>
      </c>
      <c r="H47" s="441">
        <v>414</v>
      </c>
      <c r="I47" s="294">
        <v>428</v>
      </c>
      <c r="J47" s="350">
        <v>126</v>
      </c>
      <c r="K47" s="294">
        <v>98</v>
      </c>
      <c r="L47" s="17">
        <f t="shared" si="20"/>
        <v>1784</v>
      </c>
    </row>
    <row r="48" spans="1:13" s="47" customFormat="1" ht="15" customHeight="1" outlineLevel="1" thickBot="1" x14ac:dyDescent="0.3">
      <c r="A48" s="25" t="s">
        <v>1</v>
      </c>
      <c r="B48" s="282">
        <f t="shared" si="19"/>
        <v>43792</v>
      </c>
      <c r="C48" s="387"/>
      <c r="D48" s="286">
        <v>295</v>
      </c>
      <c r="E48" s="284">
        <v>107</v>
      </c>
      <c r="F48" s="284">
        <v>206</v>
      </c>
      <c r="G48" s="340">
        <v>191</v>
      </c>
      <c r="H48" s="441"/>
      <c r="I48" s="294"/>
      <c r="J48" s="350">
        <v>472</v>
      </c>
      <c r="K48" s="294">
        <v>389</v>
      </c>
      <c r="L48" s="17">
        <f t="shared" si="20"/>
        <v>1660</v>
      </c>
      <c r="M48" s="122"/>
    </row>
    <row r="49" spans="1:13" s="47" customFormat="1" ht="15" customHeight="1" outlineLevel="1" thickBot="1" x14ac:dyDescent="0.3">
      <c r="A49" s="25" t="s">
        <v>2</v>
      </c>
      <c r="B49" s="282">
        <f t="shared" si="19"/>
        <v>43793</v>
      </c>
      <c r="C49" s="467"/>
      <c r="D49" s="468">
        <v>54</v>
      </c>
      <c r="E49" s="447">
        <v>11</v>
      </c>
      <c r="F49" s="447">
        <v>98</v>
      </c>
      <c r="G49" s="353">
        <v>21</v>
      </c>
      <c r="H49" s="449"/>
      <c r="I49" s="450"/>
      <c r="J49" s="469">
        <v>200</v>
      </c>
      <c r="K49" s="450">
        <v>172</v>
      </c>
      <c r="L49" s="66">
        <f t="shared" si="20"/>
        <v>556</v>
      </c>
      <c r="M49" s="122"/>
    </row>
    <row r="50" spans="1:13" s="47" customFormat="1" ht="15" customHeight="1" outlineLevel="1" thickBot="1" x14ac:dyDescent="0.3">
      <c r="A50" s="158" t="s">
        <v>21</v>
      </c>
      <c r="B50" s="723" t="s">
        <v>27</v>
      </c>
      <c r="C50" s="442">
        <f>SUM(C43:C49)</f>
        <v>0</v>
      </c>
      <c r="D50" s="443">
        <f t="shared" ref="D50:L50" si="21">SUM(D43:D49)</f>
        <v>1004</v>
      </c>
      <c r="E50" s="443">
        <f t="shared" si="21"/>
        <v>303</v>
      </c>
      <c r="F50" s="443">
        <f t="shared" si="21"/>
        <v>914</v>
      </c>
      <c r="G50" s="444">
        <f t="shared" si="21"/>
        <v>703</v>
      </c>
      <c r="H50" s="333">
        <f t="shared" si="21"/>
        <v>1230</v>
      </c>
      <c r="I50" s="352">
        <f t="shared" si="21"/>
        <v>1209</v>
      </c>
      <c r="J50" s="354">
        <f t="shared" si="21"/>
        <v>962</v>
      </c>
      <c r="K50" s="343">
        <f t="shared" si="21"/>
        <v>787</v>
      </c>
      <c r="L50" s="117">
        <f t="shared" si="21"/>
        <v>7112</v>
      </c>
    </row>
    <row r="51" spans="1:13" s="47" customFormat="1" ht="15" customHeight="1" outlineLevel="1" thickBot="1" x14ac:dyDescent="0.3">
      <c r="A51" s="109" t="s">
        <v>23</v>
      </c>
      <c r="B51" s="724"/>
      <c r="C51" s="384" t="e">
        <f>AVERAGE(C43:C49)</f>
        <v>#DIV/0!</v>
      </c>
      <c r="D51" s="287">
        <f t="shared" ref="D51:L51" si="22">AVERAGE(D43:D49)</f>
        <v>143.42857142857142</v>
      </c>
      <c r="E51" s="287">
        <f t="shared" si="22"/>
        <v>43.285714285714285</v>
      </c>
      <c r="F51" s="287">
        <f t="shared" si="22"/>
        <v>130.57142857142858</v>
      </c>
      <c r="G51" s="431">
        <f t="shared" si="22"/>
        <v>100.42857142857143</v>
      </c>
      <c r="H51" s="290">
        <f t="shared" si="22"/>
        <v>246</v>
      </c>
      <c r="I51" s="291">
        <f t="shared" si="22"/>
        <v>241.8</v>
      </c>
      <c r="J51" s="347">
        <f t="shared" si="22"/>
        <v>137.42857142857142</v>
      </c>
      <c r="K51" s="309">
        <f t="shared" si="22"/>
        <v>112.42857142857143</v>
      </c>
      <c r="L51" s="113">
        <f t="shared" si="22"/>
        <v>1016</v>
      </c>
    </row>
    <row r="52" spans="1:13" s="47" customFormat="1" ht="15" customHeight="1" thickBot="1" x14ac:dyDescent="0.3">
      <c r="A52" s="26" t="s">
        <v>20</v>
      </c>
      <c r="B52" s="724"/>
      <c r="C52" s="385">
        <f t="shared" ref="C52:L52" si="23">SUM(C43:C47)</f>
        <v>0</v>
      </c>
      <c r="D52" s="288">
        <f t="shared" si="23"/>
        <v>655</v>
      </c>
      <c r="E52" s="288">
        <f t="shared" si="23"/>
        <v>185</v>
      </c>
      <c r="F52" s="288">
        <f t="shared" si="23"/>
        <v>610</v>
      </c>
      <c r="G52" s="432">
        <f t="shared" si="23"/>
        <v>491</v>
      </c>
      <c r="H52" s="292">
        <f>SUM(H43:H47)</f>
        <v>1230</v>
      </c>
      <c r="I52" s="293">
        <f t="shared" si="23"/>
        <v>1209</v>
      </c>
      <c r="J52" s="348">
        <f t="shared" si="23"/>
        <v>290</v>
      </c>
      <c r="K52" s="310">
        <f t="shared" si="23"/>
        <v>226</v>
      </c>
      <c r="L52" s="30">
        <f t="shared" si="23"/>
        <v>4896</v>
      </c>
    </row>
    <row r="53" spans="1:13" s="47" customFormat="1" ht="15" customHeight="1" thickBot="1" x14ac:dyDescent="0.3">
      <c r="A53" s="26" t="s">
        <v>22</v>
      </c>
      <c r="B53" s="735"/>
      <c r="C53" s="451" t="e">
        <f t="shared" ref="C53:L53" si="24">AVERAGE(C43:C47)</f>
        <v>#DIV/0!</v>
      </c>
      <c r="D53" s="452">
        <f t="shared" si="24"/>
        <v>131</v>
      </c>
      <c r="E53" s="452">
        <f t="shared" si="24"/>
        <v>37</v>
      </c>
      <c r="F53" s="452">
        <f t="shared" si="24"/>
        <v>122</v>
      </c>
      <c r="G53" s="453">
        <f t="shared" si="24"/>
        <v>98.2</v>
      </c>
      <c r="H53" s="454">
        <f t="shared" si="24"/>
        <v>246</v>
      </c>
      <c r="I53" s="455">
        <f t="shared" si="24"/>
        <v>241.8</v>
      </c>
      <c r="J53" s="456">
        <f t="shared" si="24"/>
        <v>58</v>
      </c>
      <c r="K53" s="457">
        <f t="shared" si="24"/>
        <v>45.2</v>
      </c>
      <c r="L53" s="35">
        <f t="shared" si="24"/>
        <v>979.2</v>
      </c>
    </row>
    <row r="54" spans="1:13" s="47" customFormat="1" ht="15" customHeight="1" thickBot="1" x14ac:dyDescent="0.3">
      <c r="A54" s="25" t="s">
        <v>3</v>
      </c>
      <c r="B54" s="281">
        <f>B49+1</f>
        <v>43794</v>
      </c>
      <c r="C54" s="465"/>
      <c r="D54" s="289">
        <v>354</v>
      </c>
      <c r="E54" s="289">
        <v>231</v>
      </c>
      <c r="F54" s="470">
        <v>229</v>
      </c>
      <c r="G54" s="471">
        <v>129</v>
      </c>
      <c r="H54" s="439">
        <v>209</v>
      </c>
      <c r="I54" s="440">
        <v>207</v>
      </c>
      <c r="J54" s="466">
        <v>59</v>
      </c>
      <c r="K54" s="440">
        <v>52</v>
      </c>
      <c r="L54" s="59">
        <f t="shared" ref="L54:L60" si="25">SUM(C54:K54)</f>
        <v>1470</v>
      </c>
      <c r="M54" s="153"/>
    </row>
    <row r="55" spans="1:13" s="47" customFormat="1" ht="15" customHeight="1" thickBot="1" x14ac:dyDescent="0.3">
      <c r="A55" s="149" t="s">
        <v>4</v>
      </c>
      <c r="B55" s="282">
        <f t="shared" ref="B55:B60" si="26">B54+1</f>
        <v>43795</v>
      </c>
      <c r="C55" s="387"/>
      <c r="D55" s="284">
        <v>296</v>
      </c>
      <c r="E55" s="284">
        <v>63</v>
      </c>
      <c r="F55" s="284">
        <v>352</v>
      </c>
      <c r="G55" s="340">
        <v>167</v>
      </c>
      <c r="H55" s="441">
        <v>205</v>
      </c>
      <c r="I55" s="294">
        <v>208</v>
      </c>
      <c r="J55" s="350">
        <v>63</v>
      </c>
      <c r="K55" s="294">
        <v>38</v>
      </c>
      <c r="L55" s="59">
        <f t="shared" si="25"/>
        <v>1392</v>
      </c>
      <c r="M55" s="153"/>
    </row>
    <row r="56" spans="1:13" s="47" customFormat="1" ht="14.25" customHeight="1" thickBot="1" x14ac:dyDescent="0.3">
      <c r="A56" s="149" t="s">
        <v>5</v>
      </c>
      <c r="B56" s="282">
        <f t="shared" si="26"/>
        <v>43796</v>
      </c>
      <c r="C56" s="387"/>
      <c r="D56" s="284">
        <v>182</v>
      </c>
      <c r="E56" s="284">
        <v>49</v>
      </c>
      <c r="F56" s="284">
        <v>164</v>
      </c>
      <c r="G56" s="340">
        <v>107</v>
      </c>
      <c r="H56" s="441">
        <v>182</v>
      </c>
      <c r="I56" s="294">
        <v>170</v>
      </c>
      <c r="J56" s="350">
        <v>58</v>
      </c>
      <c r="K56" s="294">
        <v>50</v>
      </c>
      <c r="L56" s="59">
        <f t="shared" si="25"/>
        <v>962</v>
      </c>
      <c r="M56" s="153"/>
    </row>
    <row r="57" spans="1:13" s="47" customFormat="1" ht="14.25" thickBot="1" x14ac:dyDescent="0.3">
      <c r="A57" s="149" t="s">
        <v>6</v>
      </c>
      <c r="B57" s="282">
        <f t="shared" si="26"/>
        <v>43797</v>
      </c>
      <c r="C57" s="387"/>
      <c r="D57" s="284"/>
      <c r="E57" s="284"/>
      <c r="F57" s="284"/>
      <c r="G57" s="340"/>
      <c r="H57" s="441"/>
      <c r="I57" s="294"/>
      <c r="J57" s="350"/>
      <c r="K57" s="294"/>
      <c r="L57" s="59">
        <f t="shared" si="25"/>
        <v>0</v>
      </c>
      <c r="M57" s="153"/>
    </row>
    <row r="58" spans="1:13" s="47" customFormat="1" ht="14.25" thickBot="1" x14ac:dyDescent="0.3">
      <c r="A58" s="25" t="s">
        <v>0</v>
      </c>
      <c r="B58" s="283">
        <f t="shared" si="26"/>
        <v>43798</v>
      </c>
      <c r="C58" s="388"/>
      <c r="D58" s="36">
        <v>328</v>
      </c>
      <c r="E58" s="284">
        <v>77</v>
      </c>
      <c r="F58" s="284">
        <v>437</v>
      </c>
      <c r="G58" s="340">
        <v>137</v>
      </c>
      <c r="H58" s="441">
        <v>74</v>
      </c>
      <c r="I58" s="294">
        <v>64</v>
      </c>
      <c r="J58" s="350">
        <v>126</v>
      </c>
      <c r="K58" s="294">
        <v>95</v>
      </c>
      <c r="L58" s="59">
        <f t="shared" si="25"/>
        <v>1338</v>
      </c>
      <c r="M58" s="153"/>
    </row>
    <row r="59" spans="1:13" s="47" customFormat="1" ht="14.25" outlineLevel="1" thickBot="1" x14ac:dyDescent="0.3">
      <c r="A59" s="25" t="s">
        <v>1</v>
      </c>
      <c r="B59" s="283">
        <f t="shared" si="26"/>
        <v>43799</v>
      </c>
      <c r="C59" s="388"/>
      <c r="D59" s="36">
        <v>732</v>
      </c>
      <c r="E59" s="284">
        <v>144</v>
      </c>
      <c r="F59" s="284">
        <v>471</v>
      </c>
      <c r="G59" s="340">
        <v>200</v>
      </c>
      <c r="H59" s="441"/>
      <c r="I59" s="294"/>
      <c r="J59" s="350">
        <v>422</v>
      </c>
      <c r="K59" s="294">
        <v>323</v>
      </c>
      <c r="L59" s="59">
        <f t="shared" si="25"/>
        <v>2292</v>
      </c>
      <c r="M59" s="153"/>
    </row>
    <row r="60" spans="1:13" s="47" customFormat="1" ht="14.25" hidden="1" outlineLevel="1" thickBot="1" x14ac:dyDescent="0.3">
      <c r="A60" s="149" t="s">
        <v>2</v>
      </c>
      <c r="B60" s="283">
        <f t="shared" si="26"/>
        <v>43800</v>
      </c>
      <c r="C60" s="472"/>
      <c r="D60" s="473"/>
      <c r="E60" s="447"/>
      <c r="F60" s="447"/>
      <c r="G60" s="353"/>
      <c r="H60" s="449"/>
      <c r="I60" s="450"/>
      <c r="J60" s="469">
        <v>128</v>
      </c>
      <c r="K60" s="450">
        <v>131</v>
      </c>
      <c r="L60" s="59">
        <f t="shared" si="25"/>
        <v>259</v>
      </c>
    </row>
    <row r="61" spans="1:13" s="47" customFormat="1" ht="15" customHeight="1" outlineLevel="1" thickBot="1" x14ac:dyDescent="0.3">
      <c r="A61" s="158" t="s">
        <v>21</v>
      </c>
      <c r="B61" s="723" t="s">
        <v>28</v>
      </c>
      <c r="C61" s="442">
        <f>SUM(C54:C60)</f>
        <v>0</v>
      </c>
      <c r="D61" s="443">
        <f t="shared" ref="D61:K61" si="27">SUM(D54:D60)</f>
        <v>1892</v>
      </c>
      <c r="E61" s="443">
        <f t="shared" si="27"/>
        <v>564</v>
      </c>
      <c r="F61" s="443">
        <f t="shared" si="27"/>
        <v>1653</v>
      </c>
      <c r="G61" s="444">
        <f t="shared" si="27"/>
        <v>740</v>
      </c>
      <c r="H61" s="333">
        <f t="shared" si="27"/>
        <v>670</v>
      </c>
      <c r="I61" s="352">
        <f t="shared" si="27"/>
        <v>649</v>
      </c>
      <c r="J61" s="354">
        <f t="shared" si="27"/>
        <v>856</v>
      </c>
      <c r="K61" s="343">
        <f t="shared" si="27"/>
        <v>689</v>
      </c>
      <c r="L61" s="117">
        <f>SUM(L54:L60)</f>
        <v>7713</v>
      </c>
    </row>
    <row r="62" spans="1:13" s="47" customFormat="1" ht="15" customHeight="1" outlineLevel="1" thickBot="1" x14ac:dyDescent="0.3">
      <c r="A62" s="109" t="s">
        <v>23</v>
      </c>
      <c r="B62" s="724"/>
      <c r="C62" s="384" t="e">
        <f>AVERAGE(C54:C60)</f>
        <v>#DIV/0!</v>
      </c>
      <c r="D62" s="287">
        <f t="shared" ref="D62:K62" si="28">AVERAGE(D54:D60)</f>
        <v>378.4</v>
      </c>
      <c r="E62" s="287">
        <f t="shared" si="28"/>
        <v>112.8</v>
      </c>
      <c r="F62" s="287">
        <f t="shared" si="28"/>
        <v>330.6</v>
      </c>
      <c r="G62" s="431">
        <f t="shared" si="28"/>
        <v>148</v>
      </c>
      <c r="H62" s="290">
        <f t="shared" si="28"/>
        <v>167.5</v>
      </c>
      <c r="I62" s="291">
        <f t="shared" si="28"/>
        <v>162.25</v>
      </c>
      <c r="J62" s="347">
        <f t="shared" si="28"/>
        <v>142.66666666666666</v>
      </c>
      <c r="K62" s="309">
        <f t="shared" si="28"/>
        <v>114.83333333333333</v>
      </c>
      <c r="L62" s="113">
        <f>AVERAGE(L54:L60)</f>
        <v>1101.8571428571429</v>
      </c>
    </row>
    <row r="63" spans="1:13" s="47" customFormat="1" ht="15" customHeight="1" thickBot="1" x14ac:dyDescent="0.3">
      <c r="A63" s="26" t="s">
        <v>20</v>
      </c>
      <c r="B63" s="724"/>
      <c r="C63" s="385">
        <f>SUM(C54:C58)</f>
        <v>0</v>
      </c>
      <c r="D63" s="288">
        <f t="shared" ref="D63:K63" si="29">SUM(D54:D58)</f>
        <v>1160</v>
      </c>
      <c r="E63" s="288">
        <f t="shared" si="29"/>
        <v>420</v>
      </c>
      <c r="F63" s="288">
        <f t="shared" si="29"/>
        <v>1182</v>
      </c>
      <c r="G63" s="432">
        <f t="shared" si="29"/>
        <v>540</v>
      </c>
      <c r="H63" s="292">
        <f t="shared" si="29"/>
        <v>670</v>
      </c>
      <c r="I63" s="293">
        <f t="shared" si="29"/>
        <v>649</v>
      </c>
      <c r="J63" s="348">
        <f t="shared" si="29"/>
        <v>306</v>
      </c>
      <c r="K63" s="310">
        <f t="shared" si="29"/>
        <v>235</v>
      </c>
      <c r="L63" s="30">
        <f>SUM(L54:L58)</f>
        <v>5162</v>
      </c>
    </row>
    <row r="64" spans="1:13" s="47" customFormat="1" ht="14.25" thickBot="1" x14ac:dyDescent="0.3">
      <c r="A64" s="26" t="s">
        <v>22</v>
      </c>
      <c r="B64" s="735"/>
      <c r="C64" s="389" t="e">
        <f>AVERAGE(C54:C58)</f>
        <v>#DIV/0!</v>
      </c>
      <c r="D64" s="33">
        <f t="shared" ref="D64:L64" si="30">AVERAGE(D54:D58)</f>
        <v>290</v>
      </c>
      <c r="E64" s="33">
        <f t="shared" si="30"/>
        <v>105</v>
      </c>
      <c r="F64" s="33">
        <f t="shared" si="30"/>
        <v>295.5</v>
      </c>
      <c r="G64" s="433">
        <f t="shared" si="30"/>
        <v>135</v>
      </c>
      <c r="H64" s="31">
        <f t="shared" si="30"/>
        <v>167.5</v>
      </c>
      <c r="I64" s="32">
        <f t="shared" si="30"/>
        <v>162.25</v>
      </c>
      <c r="J64" s="342">
        <f t="shared" si="30"/>
        <v>76.5</v>
      </c>
      <c r="K64" s="34">
        <f t="shared" si="30"/>
        <v>58.75</v>
      </c>
      <c r="L64" s="35">
        <f t="shared" si="30"/>
        <v>1032.4000000000001</v>
      </c>
    </row>
    <row r="65" spans="1:14" s="47" customFormat="1" ht="14.25" hidden="1" thickBot="1" x14ac:dyDescent="0.3">
      <c r="A65" s="149" t="s">
        <v>3</v>
      </c>
      <c r="B65" s="281">
        <f>B60+1</f>
        <v>43801</v>
      </c>
      <c r="C65" s="390"/>
      <c r="D65" s="12"/>
      <c r="E65" s="14"/>
      <c r="F65" s="14"/>
      <c r="G65" s="14"/>
      <c r="H65" s="14"/>
      <c r="I65" s="63"/>
      <c r="J65" s="121"/>
      <c r="K65" s="20"/>
      <c r="L65" s="186">
        <f>SUM(D65:J65)</f>
        <v>0</v>
      </c>
    </row>
    <row r="66" spans="1:14" s="47" customFormat="1" ht="14.25" hidden="1" thickBot="1" x14ac:dyDescent="0.3">
      <c r="A66" s="149" t="s">
        <v>4</v>
      </c>
      <c r="B66" s="282">
        <f t="shared" ref="B66:B71" si="31">B65+1</f>
        <v>43802</v>
      </c>
      <c r="C66" s="391"/>
      <c r="D66" s="18"/>
      <c r="E66" s="20"/>
      <c r="F66" s="20"/>
      <c r="G66" s="20"/>
      <c r="H66" s="20"/>
      <c r="I66" s="64"/>
      <c r="J66" s="64"/>
      <c r="K66" s="20"/>
      <c r="L66" s="186">
        <f>SUM(D66:J66)</f>
        <v>0</v>
      </c>
    </row>
    <row r="67" spans="1:14" s="47" customFormat="1" ht="13.5" hidden="1" x14ac:dyDescent="0.25">
      <c r="A67" s="149"/>
      <c r="B67" s="282">
        <f t="shared" si="31"/>
        <v>43803</v>
      </c>
      <c r="C67" s="391"/>
      <c r="D67" s="18"/>
      <c r="E67" s="20"/>
      <c r="F67" s="20"/>
      <c r="G67" s="20"/>
      <c r="H67" s="20"/>
      <c r="I67" s="64"/>
      <c r="J67" s="64"/>
      <c r="K67" s="20"/>
      <c r="L67" s="55"/>
    </row>
    <row r="68" spans="1:14" s="47" customFormat="1" ht="13.5" hidden="1" x14ac:dyDescent="0.25">
      <c r="A68" s="149"/>
      <c r="B68" s="282">
        <f t="shared" si="31"/>
        <v>43804</v>
      </c>
      <c r="C68" s="391"/>
      <c r="D68" s="18"/>
      <c r="E68" s="20"/>
      <c r="F68" s="20"/>
      <c r="G68" s="20"/>
      <c r="H68" s="20"/>
      <c r="I68" s="64"/>
      <c r="J68" s="64"/>
      <c r="K68" s="20"/>
      <c r="L68" s="55"/>
    </row>
    <row r="69" spans="1:14" s="47" customFormat="1" ht="13.5" hidden="1" x14ac:dyDescent="0.25">
      <c r="A69" s="25"/>
      <c r="B69" s="282">
        <f t="shared" si="31"/>
        <v>43805</v>
      </c>
      <c r="C69" s="391"/>
      <c r="D69" s="18"/>
      <c r="E69" s="20"/>
      <c r="F69" s="20"/>
      <c r="G69" s="20"/>
      <c r="H69" s="20"/>
      <c r="I69" s="64"/>
      <c r="J69" s="64"/>
      <c r="K69" s="20"/>
      <c r="L69" s="55"/>
    </row>
    <row r="70" spans="1:14" s="47" customFormat="1" ht="13.5" hidden="1" outlineLevel="1" x14ac:dyDescent="0.25">
      <c r="A70" s="25"/>
      <c r="B70" s="282">
        <f t="shared" si="31"/>
        <v>43806</v>
      </c>
      <c r="C70" s="391"/>
      <c r="D70" s="18"/>
      <c r="E70" s="20"/>
      <c r="F70" s="20"/>
      <c r="G70" s="20"/>
      <c r="H70" s="20"/>
      <c r="I70" s="64"/>
      <c r="J70" s="64"/>
      <c r="K70" s="20"/>
      <c r="L70" s="55"/>
    </row>
    <row r="71" spans="1:14" s="47" customFormat="1" ht="14.25" hidden="1" outlineLevel="1" thickBot="1" x14ac:dyDescent="0.3">
      <c r="A71" s="25"/>
      <c r="B71" s="282">
        <f t="shared" si="31"/>
        <v>43807</v>
      </c>
      <c r="C71" s="392"/>
      <c r="D71" s="56"/>
      <c r="E71" s="58"/>
      <c r="F71" s="58"/>
      <c r="G71" s="58"/>
      <c r="H71" s="58"/>
      <c r="I71" s="341"/>
      <c r="J71" s="341"/>
      <c r="K71" s="20"/>
      <c r="L71" s="137"/>
    </row>
    <row r="72" spans="1:14" s="47" customFormat="1" ht="14.25" hidden="1" outlineLevel="1" thickBot="1" x14ac:dyDescent="0.3">
      <c r="A72" s="158" t="s">
        <v>21</v>
      </c>
      <c r="B72" s="681" t="s">
        <v>32</v>
      </c>
      <c r="C72" s="393"/>
      <c r="D72" s="333">
        <f>SUM(D65:D71)</f>
        <v>0</v>
      </c>
      <c r="E72" s="333">
        <f t="shared" ref="E72:L72" si="32">SUM(E65:E71)</f>
        <v>0</v>
      </c>
      <c r="F72" s="333">
        <f t="shared" si="32"/>
        <v>0</v>
      </c>
      <c r="G72" s="333"/>
      <c r="H72" s="333">
        <f t="shared" si="32"/>
        <v>0</v>
      </c>
      <c r="I72" s="333">
        <f>SUM(I65:I71)</f>
        <v>0</v>
      </c>
      <c r="J72" s="343">
        <f t="shared" si="32"/>
        <v>0</v>
      </c>
      <c r="K72" s="343">
        <f>SUM(K65:K71)</f>
        <v>0</v>
      </c>
      <c r="L72" s="164">
        <f t="shared" si="32"/>
        <v>0</v>
      </c>
    </row>
    <row r="73" spans="1:14" s="47" customFormat="1" ht="14.25" hidden="1" outlineLevel="1" thickBot="1" x14ac:dyDescent="0.3">
      <c r="A73" s="109" t="s">
        <v>23</v>
      </c>
      <c r="B73" s="682"/>
      <c r="C73" s="393"/>
      <c r="D73" s="110" t="e">
        <f>AVERAGE(D65:D71)</f>
        <v>#DIV/0!</v>
      </c>
      <c r="E73" s="110" t="e">
        <f t="shared" ref="E73:L73" si="33">AVERAGE(E65:E71)</f>
        <v>#DIV/0!</v>
      </c>
      <c r="F73" s="110" t="e">
        <f t="shared" si="33"/>
        <v>#DIV/0!</v>
      </c>
      <c r="G73" s="110"/>
      <c r="H73" s="110" t="e">
        <f t="shared" si="33"/>
        <v>#DIV/0!</v>
      </c>
      <c r="I73" s="110" t="e">
        <f>AVERAGE(I65:I71)</f>
        <v>#DIV/0!</v>
      </c>
      <c r="J73" s="344" t="e">
        <f t="shared" si="33"/>
        <v>#DIV/0!</v>
      </c>
      <c r="K73" s="344" t="e">
        <f>AVERAGE(K65:K71)</f>
        <v>#DIV/0!</v>
      </c>
      <c r="L73" s="165">
        <f t="shared" si="33"/>
        <v>0</v>
      </c>
    </row>
    <row r="74" spans="1:14" s="47" customFormat="1" ht="14.25" hidden="1" thickBot="1" x14ac:dyDescent="0.3">
      <c r="A74" s="26" t="s">
        <v>20</v>
      </c>
      <c r="B74" s="682"/>
      <c r="C74" s="393"/>
      <c r="D74" s="27">
        <f>SUM(D65:D69)</f>
        <v>0</v>
      </c>
      <c r="E74" s="27">
        <f t="shared" ref="E74:L74" si="34">SUM(E65:E69)</f>
        <v>0</v>
      </c>
      <c r="F74" s="27">
        <f t="shared" si="34"/>
        <v>0</v>
      </c>
      <c r="G74" s="27"/>
      <c r="H74" s="27">
        <f t="shared" si="34"/>
        <v>0</v>
      </c>
      <c r="I74" s="27">
        <f>SUM(I65:I69)</f>
        <v>0</v>
      </c>
      <c r="J74" s="345">
        <f t="shared" si="34"/>
        <v>0</v>
      </c>
      <c r="K74" s="345">
        <f>SUM(K65:K69)</f>
        <v>0</v>
      </c>
      <c r="L74" s="166">
        <f t="shared" si="34"/>
        <v>0</v>
      </c>
    </row>
    <row r="75" spans="1:14" s="47" customFormat="1" ht="14.25" hidden="1" thickBot="1" x14ac:dyDescent="0.3">
      <c r="A75" s="26" t="s">
        <v>22</v>
      </c>
      <c r="B75" s="683"/>
      <c r="C75" s="394"/>
      <c r="D75" s="31" t="e">
        <f>AVERAGE(D65:D69)</f>
        <v>#DIV/0!</v>
      </c>
      <c r="E75" s="31" t="e">
        <f t="shared" ref="E75:L75" si="35">AVERAGE(E65:E69)</f>
        <v>#DIV/0!</v>
      </c>
      <c r="F75" s="31" t="e">
        <f t="shared" si="35"/>
        <v>#DIV/0!</v>
      </c>
      <c r="G75" s="31"/>
      <c r="H75" s="31" t="e">
        <f t="shared" si="35"/>
        <v>#DIV/0!</v>
      </c>
      <c r="I75" s="31" t="e">
        <f>AVERAGE(I65:I69)</f>
        <v>#DIV/0!</v>
      </c>
      <c r="J75" s="34" t="e">
        <f t="shared" si="35"/>
        <v>#DIV/0!</v>
      </c>
      <c r="K75" s="34" t="e">
        <f>AVERAGE(K65:K69)</f>
        <v>#DIV/0!</v>
      </c>
      <c r="L75" s="167">
        <f t="shared" si="35"/>
        <v>0</v>
      </c>
    </row>
    <row r="76" spans="1:14" s="47" customFormat="1" ht="15" customHeight="1" thickBot="1" x14ac:dyDescent="0.3">
      <c r="A76" s="4"/>
      <c r="B76" s="131"/>
      <c r="C76" s="395"/>
      <c r="D76" s="50"/>
      <c r="E76" s="50"/>
      <c r="F76" s="50"/>
      <c r="G76" s="50"/>
      <c r="H76" s="50"/>
      <c r="I76" s="50"/>
      <c r="J76" s="50"/>
      <c r="K76" s="50"/>
      <c r="L76" s="50"/>
    </row>
    <row r="77" spans="1:14" s="47" customFormat="1" ht="39" thickBot="1" x14ac:dyDescent="0.3">
      <c r="A77" s="402"/>
      <c r="B77" s="397"/>
      <c r="C77" s="403" t="s">
        <v>104</v>
      </c>
      <c r="D77" s="404" t="s">
        <v>7</v>
      </c>
      <c r="E77" s="404" t="s">
        <v>91</v>
      </c>
      <c r="F77" s="404" t="s">
        <v>92</v>
      </c>
      <c r="G77" s="404" t="s">
        <v>93</v>
      </c>
      <c r="H77" s="404" t="s">
        <v>98</v>
      </c>
      <c r="I77" s="404" t="s">
        <v>114</v>
      </c>
      <c r="J77" s="404" t="s">
        <v>10</v>
      </c>
      <c r="K77" s="405" t="s">
        <v>103</v>
      </c>
      <c r="L77" s="725" t="s">
        <v>57</v>
      </c>
      <c r="M77" s="726"/>
    </row>
    <row r="78" spans="1:14" ht="14.25" thickBot="1" x14ac:dyDescent="0.3">
      <c r="A78" s="407" t="s">
        <v>118</v>
      </c>
      <c r="B78" s="417">
        <f>SUM(L6+L61+L50+L39+L28+L17)</f>
        <v>33654</v>
      </c>
      <c r="C78" s="408">
        <f>C17+C28+C39+C50+C61</f>
        <v>0</v>
      </c>
      <c r="D78" s="409">
        <f>SUM(D6,D17+D28+D39+D50+D61)</f>
        <v>5791</v>
      </c>
      <c r="E78" s="409">
        <f>SUM(E6,E17+E28+E39+E50+E61)</f>
        <v>1644</v>
      </c>
      <c r="F78" s="409">
        <f>SUM(F6, F17+F28+F39+F50+F61)</f>
        <v>5178</v>
      </c>
      <c r="G78" s="409">
        <f>SUM(G6,G17+G28+G39+G50+G61)</f>
        <v>3345</v>
      </c>
      <c r="H78" s="409">
        <f>SUM(H6,H17+H28+H39+H50+H61)</f>
        <v>4099</v>
      </c>
      <c r="I78" s="409">
        <f>SUM(I61,I50,I28,I39,I17,I6)</f>
        <v>3986</v>
      </c>
      <c r="J78" s="409">
        <f>SUM(J6,J17+J28+J39+J50+J61)</f>
        <v>5340</v>
      </c>
      <c r="K78" s="410">
        <f>SUM(K61,K50,K39,K28,K17,K6)</f>
        <v>4271</v>
      </c>
      <c r="L78" s="399" t="s">
        <v>30</v>
      </c>
      <c r="M78" s="415">
        <f>SUM(C79:K79)</f>
        <v>20165</v>
      </c>
    </row>
    <row r="79" spans="1:14" ht="14.25" thickBot="1" x14ac:dyDescent="0.3">
      <c r="A79" s="406" t="s">
        <v>30</v>
      </c>
      <c r="B79" s="39">
        <f>L63+L52+L41+L30+L19</f>
        <v>20165</v>
      </c>
      <c r="C79" s="398">
        <f>C63+C52+C41+C30+C19</f>
        <v>0</v>
      </c>
      <c r="D79" s="189">
        <f>SUM(D19+D30+D41+D52+D63)</f>
        <v>3431</v>
      </c>
      <c r="E79" s="189">
        <f>SUM(E19+E30+E41+E52+E63)</f>
        <v>1045</v>
      </c>
      <c r="F79" s="189">
        <f>SUM(F19+F30+F41+F52+F63)</f>
        <v>3187</v>
      </c>
      <c r="G79" s="189">
        <f>SUM(G19+G30+G41+G52+G63)</f>
        <v>2051</v>
      </c>
      <c r="H79" s="189">
        <f>SUM(H19+H30+H41+H52+H63)</f>
        <v>4099</v>
      </c>
      <c r="I79" s="189">
        <f>SUM(I63,I52,I41,I30,I19)</f>
        <v>3986</v>
      </c>
      <c r="J79" s="189">
        <f>SUM(J19+J30+J41+J52+J63)</f>
        <v>1320</v>
      </c>
      <c r="K79" s="235">
        <f>SUM(K63,K52,K41,K30,K19)</f>
        <v>1046</v>
      </c>
      <c r="L79" s="400" t="s">
        <v>118</v>
      </c>
      <c r="M79" s="416">
        <f>SUM(C78:K78)</f>
        <v>33654</v>
      </c>
      <c r="N79" s="118">
        <f>SUM(L61,L50,L39,L28,L17,L6)</f>
        <v>33654</v>
      </c>
    </row>
    <row r="80" spans="1:14" x14ac:dyDescent="0.25">
      <c r="K80" s="401"/>
      <c r="L80" s="411" t="s">
        <v>22</v>
      </c>
      <c r="M80" s="412">
        <f>AVERAGE(L19, L30, L41, L52, L63, L74)</f>
        <v>3360.8333333333335</v>
      </c>
    </row>
    <row r="81" spans="12:13" ht="15.75" thickBot="1" x14ac:dyDescent="0.3">
      <c r="L81" s="413" t="s">
        <v>119</v>
      </c>
      <c r="M81" s="414">
        <f>AVERAGE(L61, L50, L39, L28, L17, L72, L6)</f>
        <v>4807.7142857142853</v>
      </c>
    </row>
  </sheetData>
  <mergeCells count="22">
    <mergeCell ref="B72:B75"/>
    <mergeCell ref="B17:B20"/>
    <mergeCell ref="B28:B31"/>
    <mergeCell ref="B39:B42"/>
    <mergeCell ref="B50:B53"/>
    <mergeCell ref="B61:B64"/>
    <mergeCell ref="B6:B9"/>
    <mergeCell ref="L77:M77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</mergeCells>
  <pageMargins left="0.7" right="0.7" top="0.75" bottom="0.75" header="0.3" footer="0.3"/>
  <pageSetup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81"/>
  <sheetViews>
    <sheetView zoomScale="90" zoomScaleNormal="90" workbookViewId="0">
      <pane xSplit="2" ySplit="4" topLeftCell="C50" activePane="bottomRight" state="frozen"/>
      <selection pane="topRight" activeCell="C1" sqref="C1"/>
      <selection pane="bottomLeft" activeCell="A5" sqref="A5"/>
      <selection pane="bottomRight" activeCell="A13" sqref="A10:XFD13"/>
    </sheetView>
  </sheetViews>
  <sheetFormatPr defaultRowHeight="15" outlineLevelRow="1" x14ac:dyDescent="0.25"/>
  <cols>
    <col min="1" max="1" width="18.7109375" style="1" bestFit="1" customWidth="1"/>
    <col min="2" max="2" width="9.5703125" style="132" bestFit="1" customWidth="1"/>
    <col min="3" max="3" width="15.7109375" style="11" customWidth="1"/>
    <col min="4" max="4" width="10.7109375" style="11" customWidth="1"/>
    <col min="5" max="5" width="18.5703125" style="11" bestFit="1" customWidth="1"/>
    <col min="6" max="6" width="15.42578125" style="11" bestFit="1" customWidth="1"/>
    <col min="7" max="16384" width="9.140625" style="11"/>
  </cols>
  <sheetData>
    <row r="1" spans="1:15" ht="15" customHeight="1" x14ac:dyDescent="0.25">
      <c r="A1" s="23"/>
      <c r="B1" s="428"/>
      <c r="C1" s="707" t="s">
        <v>9</v>
      </c>
    </row>
    <row r="2" spans="1:15" ht="15" customHeight="1" thickBot="1" x14ac:dyDescent="0.3">
      <c r="A2" s="24"/>
      <c r="B2" s="427"/>
      <c r="C2" s="736"/>
    </row>
    <row r="3" spans="1:15" ht="15" customHeight="1" x14ac:dyDescent="0.25">
      <c r="A3" s="719" t="s">
        <v>52</v>
      </c>
      <c r="B3" s="658" t="s">
        <v>53</v>
      </c>
      <c r="C3" s="737" t="s">
        <v>33</v>
      </c>
    </row>
    <row r="4" spans="1:15" ht="14.25" thickBot="1" x14ac:dyDescent="0.3">
      <c r="A4" s="686"/>
      <c r="B4" s="659"/>
      <c r="C4" s="656"/>
    </row>
    <row r="5" spans="1:15" ht="14.25" hidden="1" thickBot="1" x14ac:dyDescent="0.3">
      <c r="A5" s="508" t="s">
        <v>2</v>
      </c>
      <c r="B5" s="510">
        <v>43709</v>
      </c>
      <c r="C5" s="531"/>
    </row>
    <row r="6" spans="1:15" s="47" customFormat="1" ht="15" hidden="1" customHeight="1" outlineLevel="1" thickBot="1" x14ac:dyDescent="0.3">
      <c r="A6" s="158" t="s">
        <v>21</v>
      </c>
      <c r="B6" s="679" t="s">
        <v>24</v>
      </c>
      <c r="C6" s="530">
        <f>SUM(C5)</f>
        <v>0</v>
      </c>
      <c r="O6" s="46"/>
    </row>
    <row r="7" spans="1:15" s="47" customFormat="1" ht="15" hidden="1" customHeight="1" outlineLevel="1" thickBot="1" x14ac:dyDescent="0.3">
      <c r="A7" s="109" t="s">
        <v>23</v>
      </c>
      <c r="B7" s="679"/>
      <c r="C7" s="424" t="e">
        <f>AVERAGE(C5)</f>
        <v>#DIV/0!</v>
      </c>
      <c r="F7" s="46"/>
      <c r="O7" s="46"/>
    </row>
    <row r="8" spans="1:15" s="47" customFormat="1" ht="15" hidden="1" customHeight="1" thickBot="1" x14ac:dyDescent="0.3">
      <c r="A8" s="26" t="s">
        <v>20</v>
      </c>
      <c r="B8" s="679"/>
      <c r="C8" s="213" t="e">
        <f>SUM(#REF!)</f>
        <v>#REF!</v>
      </c>
      <c r="F8" s="46"/>
      <c r="G8" s="46"/>
      <c r="O8" s="46"/>
    </row>
    <row r="9" spans="1:15" s="47" customFormat="1" ht="15" hidden="1" customHeight="1" thickBot="1" x14ac:dyDescent="0.3">
      <c r="A9" s="26" t="s">
        <v>22</v>
      </c>
      <c r="B9" s="679"/>
      <c r="C9" s="214" t="e">
        <f>AVERAGE(#REF!)</f>
        <v>#REF!</v>
      </c>
      <c r="F9" s="46"/>
      <c r="G9" s="46"/>
    </row>
    <row r="10" spans="1:15" s="46" customFormat="1" ht="13.5" hidden="1" x14ac:dyDescent="0.25">
      <c r="A10" s="25" t="s">
        <v>3</v>
      </c>
      <c r="B10" s="438">
        <v>43766</v>
      </c>
      <c r="C10" s="20"/>
    </row>
    <row r="11" spans="1:15" s="46" customFormat="1" ht="13.5" hidden="1" x14ac:dyDescent="0.25">
      <c r="A11" s="25" t="s">
        <v>4</v>
      </c>
      <c r="B11" s="278">
        <v>43767</v>
      </c>
      <c r="C11" s="20"/>
    </row>
    <row r="12" spans="1:15" s="46" customFormat="1" ht="13.5" hidden="1" x14ac:dyDescent="0.25">
      <c r="A12" s="25" t="s">
        <v>5</v>
      </c>
      <c r="B12" s="278">
        <v>43768</v>
      </c>
      <c r="C12" s="20"/>
    </row>
    <row r="13" spans="1:15" s="46" customFormat="1" ht="13.5" hidden="1" x14ac:dyDescent="0.25">
      <c r="A13" s="25" t="s">
        <v>6</v>
      </c>
      <c r="B13" s="278">
        <v>43769</v>
      </c>
      <c r="C13" s="20"/>
    </row>
    <row r="14" spans="1:15" s="46" customFormat="1" ht="13.5" x14ac:dyDescent="0.25">
      <c r="A14" s="25" t="s">
        <v>0</v>
      </c>
      <c r="B14" s="278">
        <v>43770</v>
      </c>
      <c r="C14" s="20">
        <v>802</v>
      </c>
    </row>
    <row r="15" spans="1:15" s="46" customFormat="1" ht="13.5" outlineLevel="1" x14ac:dyDescent="0.25">
      <c r="A15" s="25" t="s">
        <v>1</v>
      </c>
      <c r="B15" s="278">
        <v>43771</v>
      </c>
      <c r="C15" s="305">
        <v>998</v>
      </c>
    </row>
    <row r="16" spans="1:15" s="46" customFormat="1" ht="15" customHeight="1" outlineLevel="1" thickBot="1" x14ac:dyDescent="0.3">
      <c r="A16" s="25" t="s">
        <v>2</v>
      </c>
      <c r="B16" s="278">
        <v>43772</v>
      </c>
      <c r="C16" s="305">
        <v>806</v>
      </c>
    </row>
    <row r="17" spans="1:15" s="47" customFormat="1" ht="15" customHeight="1" outlineLevel="1" thickBot="1" x14ac:dyDescent="0.3">
      <c r="A17" s="158" t="s">
        <v>21</v>
      </c>
      <c r="B17" s="679" t="s">
        <v>24</v>
      </c>
      <c r="C17" s="530">
        <f>SUM(C10:C16)</f>
        <v>2606</v>
      </c>
      <c r="O17" s="46"/>
    </row>
    <row r="18" spans="1:15" s="47" customFormat="1" ht="15" customHeight="1" outlineLevel="1" thickBot="1" x14ac:dyDescent="0.3">
      <c r="A18" s="109" t="s">
        <v>23</v>
      </c>
      <c r="B18" s="679"/>
      <c r="C18" s="424">
        <f>AVERAGE(C10:C16)</f>
        <v>868.66666666666663</v>
      </c>
      <c r="F18" s="46"/>
      <c r="O18" s="46"/>
    </row>
    <row r="19" spans="1:15" s="47" customFormat="1" ht="15" customHeight="1" thickBot="1" x14ac:dyDescent="0.3">
      <c r="A19" s="26" t="s">
        <v>20</v>
      </c>
      <c r="B19" s="679"/>
      <c r="C19" s="213">
        <f>SUM(C10:C14)</f>
        <v>802</v>
      </c>
      <c r="F19" s="46"/>
      <c r="G19" s="46"/>
      <c r="O19" s="46"/>
    </row>
    <row r="20" spans="1:15" s="47" customFormat="1" ht="15" customHeight="1" thickBot="1" x14ac:dyDescent="0.3">
      <c r="A20" s="26" t="s">
        <v>22</v>
      </c>
      <c r="B20" s="679"/>
      <c r="C20" s="214">
        <f>AVERAGE(C10:C14)</f>
        <v>802</v>
      </c>
      <c r="F20" s="46"/>
      <c r="G20" s="46"/>
    </row>
    <row r="21" spans="1:15" s="47" customFormat="1" ht="15" customHeight="1" x14ac:dyDescent="0.25">
      <c r="A21" s="25" t="s">
        <v>3</v>
      </c>
      <c r="B21" s="278">
        <f>B16+1</f>
        <v>43773</v>
      </c>
      <c r="C21" s="425">
        <v>846</v>
      </c>
      <c r="F21" s="46"/>
    </row>
    <row r="22" spans="1:15" s="47" customFormat="1" ht="15" customHeight="1" x14ac:dyDescent="0.25">
      <c r="A22" s="25" t="s">
        <v>4</v>
      </c>
      <c r="B22" s="278">
        <f t="shared" ref="B22:B27" si="0">B21+1</f>
        <v>43774</v>
      </c>
      <c r="C22" s="425">
        <v>574</v>
      </c>
      <c r="F22" s="46"/>
    </row>
    <row r="23" spans="1:15" s="47" customFormat="1" ht="15" customHeight="1" x14ac:dyDescent="0.25">
      <c r="A23" s="25" t="s">
        <v>5</v>
      </c>
      <c r="B23" s="278">
        <f t="shared" si="0"/>
        <v>43775</v>
      </c>
      <c r="C23" s="425">
        <v>814</v>
      </c>
      <c r="F23" s="46"/>
    </row>
    <row r="24" spans="1:15" s="47" customFormat="1" ht="15" customHeight="1" x14ac:dyDescent="0.25">
      <c r="A24" s="25" t="s">
        <v>6</v>
      </c>
      <c r="B24" s="278">
        <f t="shared" si="0"/>
        <v>43776</v>
      </c>
      <c r="C24" s="425">
        <v>706</v>
      </c>
      <c r="F24" s="46"/>
    </row>
    <row r="25" spans="1:15" s="47" customFormat="1" ht="15" customHeight="1" x14ac:dyDescent="0.25">
      <c r="A25" s="25" t="s">
        <v>0</v>
      </c>
      <c r="B25" s="278">
        <f t="shared" si="0"/>
        <v>43777</v>
      </c>
      <c r="C25" s="425">
        <v>582</v>
      </c>
      <c r="F25" s="46"/>
    </row>
    <row r="26" spans="1:15" s="47" customFormat="1" ht="15" customHeight="1" outlineLevel="1" x14ac:dyDescent="0.25">
      <c r="A26" s="25" t="s">
        <v>1</v>
      </c>
      <c r="B26" s="278">
        <f t="shared" si="0"/>
        <v>43778</v>
      </c>
      <c r="C26" s="215">
        <v>818</v>
      </c>
      <c r="D26" s="153"/>
      <c r="F26" s="46"/>
    </row>
    <row r="27" spans="1:15" s="47" customFormat="1" ht="15" customHeight="1" outlineLevel="1" thickBot="1" x14ac:dyDescent="0.3">
      <c r="A27" s="25" t="s">
        <v>2</v>
      </c>
      <c r="B27" s="278">
        <f t="shared" si="0"/>
        <v>43779</v>
      </c>
      <c r="C27" s="422">
        <v>538</v>
      </c>
      <c r="F27" s="46"/>
    </row>
    <row r="28" spans="1:15" s="47" customFormat="1" ht="15" customHeight="1" outlineLevel="1" thickBot="1" x14ac:dyDescent="0.3">
      <c r="A28" s="158" t="s">
        <v>21</v>
      </c>
      <c r="B28" s="679" t="s">
        <v>25</v>
      </c>
      <c r="C28" s="423">
        <f>SUM(C21:C27)</f>
        <v>4878</v>
      </c>
      <c r="F28" s="46"/>
    </row>
    <row r="29" spans="1:15" s="47" customFormat="1" ht="15" customHeight="1" outlineLevel="1" thickBot="1" x14ac:dyDescent="0.3">
      <c r="A29" s="109" t="s">
        <v>23</v>
      </c>
      <c r="B29" s="679"/>
      <c r="C29" s="424">
        <f>AVERAGE(C21:C27)</f>
        <v>696.85714285714289</v>
      </c>
      <c r="F29" s="46"/>
    </row>
    <row r="30" spans="1:15" s="47" customFormat="1" ht="15" customHeight="1" thickBot="1" x14ac:dyDescent="0.3">
      <c r="A30" s="26" t="s">
        <v>20</v>
      </c>
      <c r="B30" s="679"/>
      <c r="C30" s="213">
        <f>SUM(C21:C25)</f>
        <v>3522</v>
      </c>
      <c r="F30" s="46"/>
    </row>
    <row r="31" spans="1:15" s="47" customFormat="1" ht="15" customHeight="1" thickBot="1" x14ac:dyDescent="0.3">
      <c r="A31" s="26" t="s">
        <v>22</v>
      </c>
      <c r="B31" s="679"/>
      <c r="C31" s="214">
        <f>AVERAGE(C21:C25)</f>
        <v>704.4</v>
      </c>
      <c r="F31" s="46"/>
    </row>
    <row r="32" spans="1:15" s="47" customFormat="1" ht="15" customHeight="1" x14ac:dyDescent="0.25">
      <c r="A32" s="25" t="s">
        <v>3</v>
      </c>
      <c r="B32" s="271">
        <f>B27+1</f>
        <v>43780</v>
      </c>
      <c r="C32" s="425">
        <v>553</v>
      </c>
    </row>
    <row r="33" spans="1:6" s="47" customFormat="1" ht="15" customHeight="1" x14ac:dyDescent="0.25">
      <c r="A33" s="25" t="s">
        <v>4</v>
      </c>
      <c r="B33" s="271">
        <f t="shared" ref="B33:B38" si="1">B32+1</f>
        <v>43781</v>
      </c>
      <c r="C33" s="425">
        <v>559</v>
      </c>
    </row>
    <row r="34" spans="1:6" s="47" customFormat="1" ht="15" customHeight="1" x14ac:dyDescent="0.25">
      <c r="A34" s="25" t="s">
        <v>5</v>
      </c>
      <c r="B34" s="271">
        <f t="shared" si="1"/>
        <v>43782</v>
      </c>
      <c r="C34" s="425">
        <v>544</v>
      </c>
    </row>
    <row r="35" spans="1:6" s="47" customFormat="1" ht="15" customHeight="1" x14ac:dyDescent="0.25">
      <c r="A35" s="25" t="s">
        <v>6</v>
      </c>
      <c r="B35" s="271">
        <f t="shared" si="1"/>
        <v>43783</v>
      </c>
      <c r="C35" s="425">
        <v>883</v>
      </c>
    </row>
    <row r="36" spans="1:6" s="47" customFormat="1" ht="15" customHeight="1" x14ac:dyDescent="0.25">
      <c r="A36" s="25" t="s">
        <v>0</v>
      </c>
      <c r="B36" s="271">
        <f t="shared" si="1"/>
        <v>43784</v>
      </c>
      <c r="C36" s="425">
        <v>643</v>
      </c>
    </row>
    <row r="37" spans="1:6" s="47" customFormat="1" ht="15" customHeight="1" outlineLevel="1" x14ac:dyDescent="0.25">
      <c r="A37" s="25" t="s">
        <v>1</v>
      </c>
      <c r="B37" s="271">
        <f t="shared" si="1"/>
        <v>43785</v>
      </c>
      <c r="C37" s="215">
        <v>540</v>
      </c>
    </row>
    <row r="38" spans="1:6" s="47" customFormat="1" ht="15" customHeight="1" outlineLevel="1" thickBot="1" x14ac:dyDescent="0.3">
      <c r="A38" s="25" t="s">
        <v>2</v>
      </c>
      <c r="B38" s="271">
        <f t="shared" si="1"/>
        <v>43786</v>
      </c>
      <c r="C38" s="422">
        <v>348</v>
      </c>
    </row>
    <row r="39" spans="1:6" s="47" customFormat="1" ht="15" customHeight="1" outlineLevel="1" thickBot="1" x14ac:dyDescent="0.3">
      <c r="A39" s="158" t="s">
        <v>21</v>
      </c>
      <c r="B39" s="679" t="s">
        <v>26</v>
      </c>
      <c r="C39" s="423">
        <f>SUM(C32:C38)</f>
        <v>4070</v>
      </c>
      <c r="F39" s="46"/>
    </row>
    <row r="40" spans="1:6" s="47" customFormat="1" ht="15" customHeight="1" outlineLevel="1" thickBot="1" x14ac:dyDescent="0.3">
      <c r="A40" s="109" t="s">
        <v>23</v>
      </c>
      <c r="B40" s="679"/>
      <c r="C40" s="424">
        <f>AVERAGE(C32:C38)</f>
        <v>581.42857142857144</v>
      </c>
      <c r="F40" s="46"/>
    </row>
    <row r="41" spans="1:6" s="47" customFormat="1" ht="15" customHeight="1" thickBot="1" x14ac:dyDescent="0.3">
      <c r="A41" s="26" t="s">
        <v>20</v>
      </c>
      <c r="B41" s="679"/>
      <c r="C41" s="213">
        <f>SUM(C32:C36)</f>
        <v>3182</v>
      </c>
    </row>
    <row r="42" spans="1:6" s="47" customFormat="1" ht="15" customHeight="1" thickBot="1" x14ac:dyDescent="0.3">
      <c r="A42" s="26" t="s">
        <v>22</v>
      </c>
      <c r="B42" s="679"/>
      <c r="C42" s="214">
        <f>AVERAGE(C32:C36)</f>
        <v>636.4</v>
      </c>
    </row>
    <row r="43" spans="1:6" s="47" customFormat="1" ht="15" customHeight="1" x14ac:dyDescent="0.25">
      <c r="A43" s="25" t="s">
        <v>3</v>
      </c>
      <c r="B43" s="282">
        <f>B38+1</f>
        <v>43787</v>
      </c>
      <c r="C43" s="425">
        <v>894</v>
      </c>
    </row>
    <row r="44" spans="1:6" s="47" customFormat="1" ht="15" customHeight="1" x14ac:dyDescent="0.25">
      <c r="A44" s="25" t="s">
        <v>4</v>
      </c>
      <c r="B44" s="282">
        <f t="shared" ref="B44:B49" si="2">B43+1</f>
        <v>43788</v>
      </c>
      <c r="C44" s="425">
        <v>632</v>
      </c>
    </row>
    <row r="45" spans="1:6" s="47" customFormat="1" ht="15" customHeight="1" x14ac:dyDescent="0.25">
      <c r="A45" s="25" t="s">
        <v>5</v>
      </c>
      <c r="B45" s="282">
        <f t="shared" si="2"/>
        <v>43789</v>
      </c>
      <c r="C45" s="425">
        <v>659</v>
      </c>
    </row>
    <row r="46" spans="1:6" s="47" customFormat="1" ht="15" customHeight="1" x14ac:dyDescent="0.25">
      <c r="A46" s="25" t="s">
        <v>6</v>
      </c>
      <c r="B46" s="282">
        <f t="shared" si="2"/>
        <v>43790</v>
      </c>
      <c r="C46" s="425">
        <v>623</v>
      </c>
    </row>
    <row r="47" spans="1:6" s="47" customFormat="1" ht="15" customHeight="1" x14ac:dyDescent="0.25">
      <c r="A47" s="25" t="s">
        <v>0</v>
      </c>
      <c r="B47" s="282">
        <f t="shared" si="2"/>
        <v>43791</v>
      </c>
      <c r="C47" s="425">
        <v>575</v>
      </c>
    </row>
    <row r="48" spans="1:6" s="47" customFormat="1" ht="15" customHeight="1" outlineLevel="1" x14ac:dyDescent="0.25">
      <c r="A48" s="25" t="s">
        <v>1</v>
      </c>
      <c r="B48" s="282">
        <f t="shared" si="2"/>
        <v>43792</v>
      </c>
      <c r="C48" s="215">
        <v>571</v>
      </c>
      <c r="D48" s="153"/>
    </row>
    <row r="49" spans="1:4" s="47" customFormat="1" ht="15" customHeight="1" outlineLevel="1" thickBot="1" x14ac:dyDescent="0.3">
      <c r="A49" s="25" t="s">
        <v>2</v>
      </c>
      <c r="B49" s="282">
        <f t="shared" si="2"/>
        <v>43793</v>
      </c>
      <c r="C49" s="422">
        <v>236</v>
      </c>
      <c r="D49" s="153"/>
    </row>
    <row r="50" spans="1:4" s="47" customFormat="1" ht="15" customHeight="1" outlineLevel="1" thickBot="1" x14ac:dyDescent="0.3">
      <c r="A50" s="158" t="s">
        <v>21</v>
      </c>
      <c r="B50" s="679" t="s">
        <v>27</v>
      </c>
      <c r="C50" s="423">
        <f>SUM(C43:C49)</f>
        <v>4190</v>
      </c>
      <c r="D50" s="153"/>
    </row>
    <row r="51" spans="1:4" s="47" customFormat="1" ht="15" customHeight="1" outlineLevel="1" thickBot="1" x14ac:dyDescent="0.3">
      <c r="A51" s="109" t="s">
        <v>23</v>
      </c>
      <c r="B51" s="679"/>
      <c r="C51" s="424">
        <f>AVERAGE(C43:C49)</f>
        <v>598.57142857142856</v>
      </c>
      <c r="D51" s="153"/>
    </row>
    <row r="52" spans="1:4" s="47" customFormat="1" ht="15" customHeight="1" thickBot="1" x14ac:dyDescent="0.3">
      <c r="A52" s="26" t="s">
        <v>20</v>
      </c>
      <c r="B52" s="679"/>
      <c r="C52" s="213">
        <f>SUM(C43:C47)</f>
        <v>3383</v>
      </c>
      <c r="D52" s="153"/>
    </row>
    <row r="53" spans="1:4" s="47" customFormat="1" ht="15" customHeight="1" thickBot="1" x14ac:dyDescent="0.3">
      <c r="A53" s="26" t="s">
        <v>22</v>
      </c>
      <c r="B53" s="679"/>
      <c r="C53" s="214">
        <f>AVERAGE(C43:C47)</f>
        <v>676.6</v>
      </c>
      <c r="D53" s="153"/>
    </row>
    <row r="54" spans="1:4" s="47" customFormat="1" ht="15" customHeight="1" x14ac:dyDescent="0.25">
      <c r="A54" s="25" t="s">
        <v>3</v>
      </c>
      <c r="B54" s="282">
        <f>B49+1</f>
        <v>43794</v>
      </c>
      <c r="C54" s="426">
        <v>878</v>
      </c>
      <c r="D54" s="153"/>
    </row>
    <row r="55" spans="1:4" s="47" customFormat="1" ht="15" customHeight="1" x14ac:dyDescent="0.25">
      <c r="A55" s="149" t="s">
        <v>4</v>
      </c>
      <c r="B55" s="282">
        <f t="shared" ref="B55:B60" si="3">B54+1</f>
        <v>43795</v>
      </c>
      <c r="C55" s="425">
        <v>829</v>
      </c>
      <c r="D55" s="153"/>
    </row>
    <row r="56" spans="1:4" s="47" customFormat="1" ht="13.5" x14ac:dyDescent="0.25">
      <c r="A56" s="149" t="s">
        <v>5</v>
      </c>
      <c r="B56" s="282">
        <f t="shared" si="3"/>
        <v>43796</v>
      </c>
      <c r="C56" s="215">
        <v>745</v>
      </c>
      <c r="D56" s="153"/>
    </row>
    <row r="57" spans="1:4" s="47" customFormat="1" ht="13.5" x14ac:dyDescent="0.25">
      <c r="A57" s="149" t="s">
        <v>6</v>
      </c>
      <c r="B57" s="282">
        <f t="shared" si="3"/>
        <v>43797</v>
      </c>
      <c r="C57" s="425">
        <v>0</v>
      </c>
      <c r="D57" s="153"/>
    </row>
    <row r="58" spans="1:4" s="47" customFormat="1" ht="13.5" x14ac:dyDescent="0.25">
      <c r="A58" s="25" t="s">
        <v>0</v>
      </c>
      <c r="B58" s="283">
        <f t="shared" si="3"/>
        <v>43798</v>
      </c>
      <c r="C58" s="425">
        <v>701</v>
      </c>
      <c r="D58" s="153"/>
    </row>
    <row r="59" spans="1:4" s="47" customFormat="1" ht="14.25" outlineLevel="1" thickBot="1" x14ac:dyDescent="0.3">
      <c r="A59" s="25" t="s">
        <v>1</v>
      </c>
      <c r="B59" s="283">
        <f t="shared" si="3"/>
        <v>43799</v>
      </c>
      <c r="C59" s="215">
        <v>591</v>
      </c>
      <c r="D59" s="153"/>
    </row>
    <row r="60" spans="1:4" s="47" customFormat="1" ht="14.25" hidden="1" outlineLevel="1" thickBot="1" x14ac:dyDescent="0.3">
      <c r="A60" s="149" t="s">
        <v>2</v>
      </c>
      <c r="B60" s="283">
        <f t="shared" si="3"/>
        <v>43800</v>
      </c>
      <c r="C60" s="422"/>
    </row>
    <row r="61" spans="1:4" s="47" customFormat="1" ht="15" customHeight="1" outlineLevel="1" thickBot="1" x14ac:dyDescent="0.3">
      <c r="A61" s="158" t="s">
        <v>21</v>
      </c>
      <c r="B61" s="679" t="s">
        <v>28</v>
      </c>
      <c r="C61" s="423">
        <f>SUM(C54:C60)</f>
        <v>3744</v>
      </c>
    </row>
    <row r="62" spans="1:4" s="47" customFormat="1" ht="15" customHeight="1" outlineLevel="1" thickBot="1" x14ac:dyDescent="0.3">
      <c r="A62" s="109" t="s">
        <v>23</v>
      </c>
      <c r="B62" s="679"/>
      <c r="C62" s="424">
        <f>AVERAGE(C54:C60)</f>
        <v>624</v>
      </c>
    </row>
    <row r="63" spans="1:4" s="47" customFormat="1" ht="15" customHeight="1" thickBot="1" x14ac:dyDescent="0.3">
      <c r="A63" s="26" t="s">
        <v>20</v>
      </c>
      <c r="B63" s="679"/>
      <c r="C63" s="213">
        <f>SUM(C54:C58)</f>
        <v>3153</v>
      </c>
    </row>
    <row r="64" spans="1:4" s="47" customFormat="1" ht="14.25" thickBot="1" x14ac:dyDescent="0.3">
      <c r="A64" s="26" t="s">
        <v>22</v>
      </c>
      <c r="B64" s="680"/>
      <c r="C64" s="214">
        <f>AVERAGE(C54:C58)</f>
        <v>630.6</v>
      </c>
    </row>
    <row r="65" spans="1:6" s="47" customFormat="1" ht="13.5" hidden="1" x14ac:dyDescent="0.25">
      <c r="A65" s="149" t="s">
        <v>3</v>
      </c>
      <c r="B65" s="437">
        <f>B60+1</f>
        <v>43801</v>
      </c>
      <c r="C65" s="206"/>
      <c r="D65" s="17"/>
    </row>
    <row r="66" spans="1:6" s="47" customFormat="1" ht="13.5" hidden="1" x14ac:dyDescent="0.25">
      <c r="A66" s="149" t="s">
        <v>4</v>
      </c>
      <c r="B66" s="176">
        <f t="shared" ref="B66:B71" si="4">B65+1</f>
        <v>43802</v>
      </c>
      <c r="C66" s="206"/>
      <c r="D66" s="17"/>
    </row>
    <row r="67" spans="1:6" s="47" customFormat="1" ht="13.5" hidden="1" x14ac:dyDescent="0.25">
      <c r="A67" s="149" t="s">
        <v>5</v>
      </c>
      <c r="B67" s="176">
        <f t="shared" si="4"/>
        <v>43803</v>
      </c>
      <c r="C67" s="207"/>
      <c r="D67" s="17"/>
    </row>
    <row r="68" spans="1:6" s="47" customFormat="1" ht="13.5" hidden="1" x14ac:dyDescent="0.25">
      <c r="A68" s="149" t="s">
        <v>6</v>
      </c>
      <c r="B68" s="176">
        <f t="shared" si="4"/>
        <v>43804</v>
      </c>
      <c r="C68" s="207"/>
      <c r="D68" s="17"/>
    </row>
    <row r="69" spans="1:6" s="47" customFormat="1" ht="13.5" hidden="1" x14ac:dyDescent="0.25">
      <c r="A69" s="149" t="s">
        <v>0</v>
      </c>
      <c r="B69" s="176">
        <f t="shared" si="4"/>
        <v>43805</v>
      </c>
      <c r="C69" s="207"/>
      <c r="D69" s="17"/>
    </row>
    <row r="70" spans="1:6" s="47" customFormat="1" ht="13.5" hidden="1" outlineLevel="1" x14ac:dyDescent="0.25">
      <c r="A70" s="149" t="s">
        <v>1</v>
      </c>
      <c r="B70" s="176">
        <f t="shared" si="4"/>
        <v>43806</v>
      </c>
      <c r="C70" s="216"/>
      <c r="D70" s="17"/>
    </row>
    <row r="71" spans="1:6" s="47" customFormat="1" ht="13.5" hidden="1" outlineLevel="1" x14ac:dyDescent="0.25">
      <c r="A71" s="149" t="s">
        <v>2</v>
      </c>
      <c r="B71" s="176">
        <f t="shared" si="4"/>
        <v>43807</v>
      </c>
      <c r="C71" s="217"/>
      <c r="D71" s="17"/>
    </row>
    <row r="72" spans="1:6" s="47" customFormat="1" ht="14.25" hidden="1" outlineLevel="1" thickBot="1" x14ac:dyDescent="0.3">
      <c r="A72" s="158" t="s">
        <v>21</v>
      </c>
      <c r="B72" s="682" t="s">
        <v>32</v>
      </c>
      <c r="C72" s="209">
        <f>SUM(C65:C71)</f>
        <v>0</v>
      </c>
      <c r="D72" s="114">
        <f>SUM(C72)</f>
        <v>0</v>
      </c>
    </row>
    <row r="73" spans="1:6" s="47" customFormat="1" ht="14.25" hidden="1" outlineLevel="1" thickBot="1" x14ac:dyDescent="0.3">
      <c r="A73" s="109" t="s">
        <v>23</v>
      </c>
      <c r="B73" s="682"/>
      <c r="C73" s="210" t="e">
        <f>AVERAGE(C65:C71)</f>
        <v>#DIV/0!</v>
      </c>
      <c r="D73" s="110" t="e">
        <f>SUM(C73)</f>
        <v>#DIV/0!</v>
      </c>
    </row>
    <row r="74" spans="1:6" s="47" customFormat="1" ht="14.25" hidden="1" thickBot="1" x14ac:dyDescent="0.3">
      <c r="A74" s="26" t="s">
        <v>20</v>
      </c>
      <c r="B74" s="682"/>
      <c r="C74" s="211">
        <f>SUM(C65:C69)</f>
        <v>0</v>
      </c>
      <c r="D74" s="27">
        <f>SUM(C74)</f>
        <v>0</v>
      </c>
    </row>
    <row r="75" spans="1:6" s="47" customFormat="1" ht="14.25" hidden="1" thickBot="1" x14ac:dyDescent="0.3">
      <c r="A75" s="26" t="s">
        <v>22</v>
      </c>
      <c r="B75" s="683"/>
      <c r="C75" s="212" t="e">
        <f>AVERAGE(C65:C69)</f>
        <v>#DIV/0!</v>
      </c>
      <c r="D75" s="31" t="e">
        <f>SUM(C75)</f>
        <v>#DIV/0!</v>
      </c>
    </row>
    <row r="76" spans="1:6" s="47" customFormat="1" ht="15" customHeight="1" x14ac:dyDescent="0.25">
      <c r="A76" s="4"/>
      <c r="B76" s="131"/>
      <c r="C76" s="50"/>
      <c r="D76" s="50"/>
    </row>
    <row r="77" spans="1:6" s="47" customFormat="1" ht="42" customHeight="1" x14ac:dyDescent="0.25">
      <c r="A77" s="187"/>
      <c r="B77" s="188" t="s">
        <v>9</v>
      </c>
      <c r="D77" s="689" t="s">
        <v>56</v>
      </c>
      <c r="E77" s="690"/>
      <c r="F77" s="691"/>
    </row>
    <row r="78" spans="1:6" ht="30" customHeight="1" x14ac:dyDescent="0.25">
      <c r="A78" s="42" t="s">
        <v>118</v>
      </c>
      <c r="B78" s="189">
        <f>SUM(C61:C61, C50:C50, C39:C39, C28:C28, C17:C17, C72:C72, C6:C6 )</f>
        <v>19488</v>
      </c>
      <c r="D78" s="677" t="s">
        <v>30</v>
      </c>
      <c r="E78" s="678"/>
      <c r="F78" s="106">
        <f>SUM(C19, C30, C41, C52, C63, C74)</f>
        <v>14042</v>
      </c>
    </row>
    <row r="79" spans="1:6" ht="30" customHeight="1" x14ac:dyDescent="0.25">
      <c r="A79" s="42" t="s">
        <v>30</v>
      </c>
      <c r="B79" s="189">
        <f>SUM(C63:C63, C52:C52, C41:C41, C30:C30, C19:C19, C74:C74)</f>
        <v>14042</v>
      </c>
      <c r="D79" s="677" t="s">
        <v>118</v>
      </c>
      <c r="E79" s="678"/>
      <c r="F79" s="107">
        <f>SUM(C61, C50, C39, C28, C17, C72, C6)</f>
        <v>19488</v>
      </c>
    </row>
    <row r="80" spans="1:6" ht="30" customHeight="1" x14ac:dyDescent="0.25">
      <c r="D80" s="677" t="s">
        <v>22</v>
      </c>
      <c r="E80" s="678"/>
      <c r="F80" s="107">
        <f>AVERAGE(C19, C30, C41, C52, C63, C74)</f>
        <v>2340.3333333333335</v>
      </c>
    </row>
    <row r="81" spans="4:6" ht="30" customHeight="1" x14ac:dyDescent="0.25">
      <c r="D81" s="677" t="s">
        <v>119</v>
      </c>
      <c r="E81" s="678"/>
      <c r="F81" s="106">
        <f>AVERAGE(C61, C50, C39, C28, C17, C72, C6)</f>
        <v>2784</v>
      </c>
    </row>
  </sheetData>
  <mergeCells count="16">
    <mergeCell ref="D80:E80"/>
    <mergeCell ref="D81:E81"/>
    <mergeCell ref="B61:B64"/>
    <mergeCell ref="B50:B53"/>
    <mergeCell ref="B39:B42"/>
    <mergeCell ref="D79:E79"/>
    <mergeCell ref="D78:E78"/>
    <mergeCell ref="C1:C2"/>
    <mergeCell ref="A3:A4"/>
    <mergeCell ref="B3:B4"/>
    <mergeCell ref="B72:B75"/>
    <mergeCell ref="D77:F77"/>
    <mergeCell ref="B28:B31"/>
    <mergeCell ref="B17:B20"/>
    <mergeCell ref="C3:C4"/>
    <mergeCell ref="B6:B9"/>
  </mergeCells>
  <pageMargins left="0.7" right="0.7" top="0.75" bottom="0.75" header="0.3" footer="0.3"/>
  <pageSetup scale="59" orientation="portrait" r:id="rId1"/>
  <ignoredErrors>
    <ignoredError sqref="C4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BF92F7-3ACF-46F3-9982-959DD703DD46}"/>
</file>

<file path=customXml/itemProps2.xml><?xml version="1.0" encoding="utf-8"?>
<ds:datastoreItem xmlns:ds="http://schemas.openxmlformats.org/officeDocument/2006/customXml" ds:itemID="{2E1AC84B-484D-49A4-A8C7-54EB4F489941}"/>
</file>

<file path=customXml/itemProps3.xml><?xml version="1.0" encoding="utf-8"?>
<ds:datastoreItem xmlns:ds="http://schemas.openxmlformats.org/officeDocument/2006/customXml" ds:itemID="{C1F10D18-5488-4B81-A468-C6171BD745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Sheet2</vt:lpstr>
      <vt:lpstr>Monthly Totals</vt:lpstr>
      <vt:lpstr>NYC Ferry</vt:lpstr>
      <vt:lpstr>NY Waterway-(Port Imperial FC)</vt:lpstr>
      <vt:lpstr>NY Waterway-(Billy Bey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Waterway-(Billy Bey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Bergin, York</cp:lastModifiedBy>
  <cp:lastPrinted>2017-04-19T14:04:01Z</cp:lastPrinted>
  <dcterms:created xsi:type="dcterms:W3CDTF">2011-07-28T13:02:07Z</dcterms:created>
  <dcterms:modified xsi:type="dcterms:W3CDTF">2019-12-20T13:57:07Z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