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OPEN DATA\Datasets\1. Datasets&amp; BusinessDoc_Manual\Ferry\3. Ferry Ridership\Private Ferry Ridership Counts\2020 PF Ridership\"/>
    </mc:Choice>
  </mc:AlternateContent>
  <bookViews>
    <workbookView xWindow="0" yWindow="0" windowWidth="28800" windowHeight="12135" tabRatio="734"/>
  </bookViews>
  <sheets>
    <sheet name="Weekday Totals" sheetId="6" r:id="rId1"/>
    <sheet name="Sheet2" sheetId="12" state="hidden" r:id="rId2"/>
    <sheet name="Monthly Totals" sheetId="14" r:id="rId3"/>
    <sheet name="NYC Ferry" sheetId="10" r:id="rId4"/>
    <sheet name="NY Waterway-(Port Imperial FC)" sheetId="3" r:id="rId5"/>
    <sheet name="SeaStreak" sheetId="4" r:id="rId6"/>
    <sheet name="New York Water Taxi" sheetId="2" r:id="rId7"/>
    <sheet name="Liberty Landing Ferry" sheetId="5" r:id="rId8"/>
    <sheet name="Water Tours" sheetId="11" state="hidden" r:id="rId9"/>
    <sheet name="Baseball" sheetId="8" state="hidden" r:id="rId10"/>
    <sheet name="Sheet1" sheetId="9" state="hidden" r:id="rId11"/>
  </sheets>
  <definedNames>
    <definedName name="_xlnm.Print_Area" localSheetId="9">Baseball!$A$1:$G$76</definedName>
    <definedName name="_xlnm.Print_Area" localSheetId="2">'Monthly Totals'!$A$1:$B$77</definedName>
    <definedName name="_xlnm.Print_Area" localSheetId="4">'NY Waterway-(Port Imperial FC)'!$A$1:$L$81</definedName>
    <definedName name="_xlnm.Print_Area" localSheetId="0">'Weekday Totals'!$A$1:$Q$77</definedName>
  </definedNames>
  <calcPr calcId="152511"/>
</workbook>
</file>

<file path=xl/calcChain.xml><?xml version="1.0" encoding="utf-8"?>
<calcChain xmlns="http://schemas.openxmlformats.org/spreadsheetml/2006/main">
  <c r="N52" i="6" l="1"/>
  <c r="N50" i="6"/>
  <c r="K52" i="6"/>
  <c r="K50" i="6"/>
  <c r="H52" i="6"/>
  <c r="H50" i="6"/>
  <c r="E52" i="6"/>
  <c r="E50" i="6"/>
  <c r="B52" i="6"/>
  <c r="B50" i="6"/>
  <c r="E67" i="10"/>
  <c r="R63" i="10"/>
  <c r="Q63" i="10"/>
  <c r="P63" i="10"/>
  <c r="O63" i="10"/>
  <c r="N63" i="10"/>
  <c r="M63" i="10"/>
  <c r="L63" i="10"/>
  <c r="K63" i="10"/>
  <c r="J63" i="10"/>
  <c r="I63" i="10"/>
  <c r="H63" i="10"/>
  <c r="F63" i="10"/>
  <c r="D63" i="10"/>
  <c r="C63" i="10"/>
  <c r="S63" i="10"/>
  <c r="T63" i="10"/>
  <c r="W63" i="10"/>
  <c r="W62" i="10"/>
  <c r="T62" i="10"/>
  <c r="S62" i="10"/>
  <c r="O62" i="10"/>
  <c r="G62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AI56" i="10"/>
  <c r="AJ56" i="10"/>
  <c r="AK56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A57" i="10"/>
  <c r="AB57" i="10"/>
  <c r="AC57" i="10"/>
  <c r="AD57" i="10"/>
  <c r="AE57" i="10"/>
  <c r="AF57" i="10"/>
  <c r="AG57" i="10"/>
  <c r="AH57" i="10"/>
  <c r="AI57" i="10"/>
  <c r="AJ57" i="10"/>
  <c r="AK57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AG58" i="10"/>
  <c r="AH58" i="10"/>
  <c r="AI58" i="10"/>
  <c r="AJ58" i="10"/>
  <c r="AK58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AF59" i="10"/>
  <c r="AG59" i="10"/>
  <c r="AH59" i="10"/>
  <c r="AI59" i="10"/>
  <c r="AJ59" i="10"/>
  <c r="AK59" i="10"/>
  <c r="C58" i="10"/>
  <c r="C56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AI45" i="10"/>
  <c r="AJ45" i="10"/>
  <c r="AK45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F46" i="10"/>
  <c r="AG46" i="10"/>
  <c r="AH46" i="10"/>
  <c r="AI46" i="10"/>
  <c r="AJ46" i="10"/>
  <c r="AK46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F47" i="10"/>
  <c r="AG47" i="10"/>
  <c r="AH47" i="10"/>
  <c r="AI47" i="10"/>
  <c r="AJ47" i="10"/>
  <c r="AK47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C47" i="10"/>
  <c r="C45" i="10"/>
  <c r="D34" i="10"/>
  <c r="E34" i="10"/>
  <c r="F34" i="10"/>
  <c r="G34" i="10"/>
  <c r="H34" i="10"/>
  <c r="I34" i="10"/>
  <c r="J34" i="10"/>
  <c r="K34" i="10"/>
  <c r="K62" i="10" s="1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AJ37" i="10"/>
  <c r="AK37" i="10"/>
  <c r="C36" i="10"/>
  <c r="C34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D12" i="10"/>
  <c r="E62" i="10" s="1"/>
  <c r="E12" i="10"/>
  <c r="I62" i="10" s="1"/>
  <c r="F12" i="10"/>
  <c r="J62" i="10" s="1"/>
  <c r="G12" i="10"/>
  <c r="H12" i="10"/>
  <c r="H62" i="10" s="1"/>
  <c r="I12" i="10"/>
  <c r="D62" i="10" s="1"/>
  <c r="J12" i="10"/>
  <c r="K12" i="10"/>
  <c r="L12" i="10"/>
  <c r="L62" i="10" s="1"/>
  <c r="M12" i="10"/>
  <c r="N12" i="10"/>
  <c r="O12" i="10"/>
  <c r="M62" i="10" s="1"/>
  <c r="P12" i="10"/>
  <c r="N62" i="10" s="1"/>
  <c r="Q12" i="10"/>
  <c r="R12" i="10"/>
  <c r="S12" i="10"/>
  <c r="T12" i="10"/>
  <c r="U12" i="10"/>
  <c r="P62" i="10" s="1"/>
  <c r="V12" i="10"/>
  <c r="W12" i="10"/>
  <c r="F62" i="10" s="1"/>
  <c r="X12" i="10"/>
  <c r="Q62" i="10" s="1"/>
  <c r="Y12" i="10"/>
  <c r="R62" i="10" s="1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C23" i="10"/>
  <c r="C24" i="10"/>
  <c r="C25" i="10"/>
  <c r="C26" i="10"/>
  <c r="C35" i="10"/>
  <c r="C37" i="10"/>
  <c r="C46" i="10"/>
  <c r="C48" i="10"/>
  <c r="V63" i="10" l="1"/>
  <c r="V62" i="10"/>
  <c r="U63" i="10"/>
  <c r="U62" i="10"/>
  <c r="AL22" i="10"/>
  <c r="G68" i="4"/>
  <c r="L61" i="2"/>
  <c r="L50" i="2"/>
  <c r="L39" i="2"/>
  <c r="L28" i="2"/>
  <c r="L17" i="2"/>
  <c r="L63" i="2"/>
  <c r="I61" i="2"/>
  <c r="H61" i="2"/>
  <c r="I50" i="2"/>
  <c r="H50" i="2"/>
  <c r="L10" i="2"/>
  <c r="L46" i="2"/>
  <c r="L45" i="2"/>
  <c r="L44" i="2"/>
  <c r="L43" i="2"/>
  <c r="L47" i="2"/>
  <c r="L54" i="2"/>
  <c r="L55" i="2"/>
  <c r="G46" i="4"/>
  <c r="G50" i="4" s="1"/>
  <c r="G44" i="4"/>
  <c r="G43" i="4"/>
  <c r="G63" i="4"/>
  <c r="G61" i="4"/>
  <c r="AL19" i="10"/>
  <c r="AL18" i="10"/>
  <c r="AL17" i="10"/>
  <c r="AL16" i="10"/>
  <c r="U56" i="3"/>
  <c r="U55" i="3"/>
  <c r="U54" i="3"/>
  <c r="U58" i="3"/>
  <c r="U65" i="3"/>
  <c r="U66" i="3"/>
  <c r="U52" i="3"/>
  <c r="U50" i="3"/>
  <c r="U41" i="3"/>
  <c r="U39" i="3"/>
  <c r="U30" i="3"/>
  <c r="U28" i="3"/>
  <c r="U27" i="3"/>
  <c r="U26" i="3"/>
  <c r="U25" i="3"/>
  <c r="U24" i="3"/>
  <c r="U23" i="3"/>
  <c r="U22" i="3"/>
  <c r="U21" i="3"/>
  <c r="U43" i="3"/>
  <c r="I28" i="3"/>
  <c r="I39" i="3"/>
  <c r="I50" i="3"/>
  <c r="I61" i="3"/>
  <c r="M72" i="3"/>
  <c r="G74" i="3"/>
  <c r="I74" i="3"/>
  <c r="I72" i="3"/>
  <c r="G72" i="3"/>
  <c r="AL20" i="10" l="1"/>
  <c r="AL25" i="10" s="1"/>
  <c r="AL21" i="10"/>
  <c r="U63" i="3"/>
  <c r="U72" i="3"/>
  <c r="U61" i="3"/>
  <c r="C68" i="4"/>
  <c r="C67" i="4"/>
  <c r="B68" i="4"/>
  <c r="B67" i="4"/>
  <c r="AL26" i="10" l="1"/>
  <c r="AL24" i="10"/>
  <c r="AL23" i="10"/>
  <c r="D64" i="4"/>
  <c r="AL38" i="10" l="1"/>
  <c r="AL33" i="10"/>
  <c r="T72" i="3"/>
  <c r="U67" i="3"/>
  <c r="U68" i="3"/>
  <c r="U69" i="3"/>
  <c r="U70" i="3"/>
  <c r="U71" i="3"/>
  <c r="U57" i="3"/>
  <c r="U59" i="3"/>
  <c r="U60" i="3"/>
  <c r="U44" i="3"/>
  <c r="U45" i="3"/>
  <c r="U46" i="3"/>
  <c r="U47" i="3"/>
  <c r="U48" i="3"/>
  <c r="U49" i="3"/>
  <c r="U33" i="3"/>
  <c r="U34" i="3"/>
  <c r="U35" i="3"/>
  <c r="U36" i="3"/>
  <c r="U37" i="3"/>
  <c r="U38" i="3"/>
  <c r="U32" i="3"/>
  <c r="U11" i="3"/>
  <c r="U12" i="3"/>
  <c r="U13" i="3"/>
  <c r="U10" i="3"/>
  <c r="C8" i="3"/>
  <c r="AL39" i="10" l="1"/>
  <c r="U29" i="3"/>
  <c r="U51" i="3"/>
  <c r="E4" i="6"/>
  <c r="U17" i="3"/>
  <c r="U64" i="3"/>
  <c r="U62" i="3"/>
  <c r="K4" i="6"/>
  <c r="U53" i="3"/>
  <c r="U42" i="3"/>
  <c r="U40" i="3"/>
  <c r="H4" i="6"/>
  <c r="N4" i="6"/>
  <c r="U31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D61" i="3"/>
  <c r="E61" i="3"/>
  <c r="F61" i="3"/>
  <c r="G61" i="3"/>
  <c r="H61" i="3"/>
  <c r="J61" i="3"/>
  <c r="K61" i="3"/>
  <c r="L61" i="3"/>
  <c r="M61" i="3"/>
  <c r="N61" i="3"/>
  <c r="O61" i="3"/>
  <c r="P61" i="3"/>
  <c r="Q61" i="3"/>
  <c r="R61" i="3"/>
  <c r="S61" i="3"/>
  <c r="T61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D52" i="3"/>
  <c r="E52" i="3"/>
  <c r="F52" i="3"/>
  <c r="G52" i="3"/>
  <c r="H52" i="3"/>
  <c r="I52" i="3"/>
  <c r="J52" i="3"/>
  <c r="K52" i="3"/>
  <c r="L52" i="3"/>
  <c r="M52" i="3"/>
  <c r="K22" i="6" s="1"/>
  <c r="N52" i="3"/>
  <c r="O52" i="3"/>
  <c r="P52" i="3"/>
  <c r="Q52" i="3"/>
  <c r="R52" i="3"/>
  <c r="S52" i="3"/>
  <c r="T52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D50" i="3"/>
  <c r="E50" i="3"/>
  <c r="F50" i="3"/>
  <c r="G50" i="3"/>
  <c r="H50" i="3"/>
  <c r="J50" i="3"/>
  <c r="K50" i="3"/>
  <c r="L50" i="3"/>
  <c r="M50" i="3"/>
  <c r="N50" i="3"/>
  <c r="O50" i="3"/>
  <c r="P50" i="3"/>
  <c r="Q50" i="3"/>
  <c r="R50" i="3"/>
  <c r="S50" i="3"/>
  <c r="T50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D39" i="3"/>
  <c r="E39" i="3"/>
  <c r="F39" i="3"/>
  <c r="G39" i="3"/>
  <c r="H39" i="3"/>
  <c r="J39" i="3"/>
  <c r="K39" i="3"/>
  <c r="L39" i="3"/>
  <c r="M39" i="3"/>
  <c r="N39" i="3"/>
  <c r="O39" i="3"/>
  <c r="P39" i="3"/>
  <c r="Q39" i="3"/>
  <c r="R39" i="3"/>
  <c r="S39" i="3"/>
  <c r="T39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D30" i="3"/>
  <c r="E30" i="3"/>
  <c r="F30" i="3"/>
  <c r="G30" i="3"/>
  <c r="H30" i="3"/>
  <c r="I30" i="3"/>
  <c r="J30" i="3"/>
  <c r="K30" i="3"/>
  <c r="L30" i="3"/>
  <c r="M30" i="3"/>
  <c r="E22" i="6" s="1"/>
  <c r="N30" i="3"/>
  <c r="O30" i="3"/>
  <c r="P30" i="3"/>
  <c r="Q30" i="3"/>
  <c r="R30" i="3"/>
  <c r="S30" i="3"/>
  <c r="T30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D28" i="3"/>
  <c r="E28" i="3"/>
  <c r="F28" i="3"/>
  <c r="G28" i="3"/>
  <c r="H28" i="3"/>
  <c r="J28" i="3"/>
  <c r="K28" i="3"/>
  <c r="L28" i="3"/>
  <c r="M28" i="3"/>
  <c r="N28" i="3"/>
  <c r="O28" i="3"/>
  <c r="P28" i="3"/>
  <c r="Q28" i="3"/>
  <c r="R28" i="3"/>
  <c r="S28" i="3"/>
  <c r="T28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U75" i="3"/>
  <c r="T75" i="3"/>
  <c r="S75" i="3"/>
  <c r="R75" i="3"/>
  <c r="Q75" i="3"/>
  <c r="P75" i="3"/>
  <c r="O75" i="3"/>
  <c r="N75" i="3"/>
  <c r="M75" i="3"/>
  <c r="U74" i="3"/>
  <c r="T74" i="3"/>
  <c r="S74" i="3"/>
  <c r="R74" i="3"/>
  <c r="Q74" i="3"/>
  <c r="P74" i="3"/>
  <c r="O74" i="3"/>
  <c r="N74" i="3"/>
  <c r="M74" i="3"/>
  <c r="U73" i="3"/>
  <c r="T73" i="3"/>
  <c r="S73" i="3"/>
  <c r="R73" i="3"/>
  <c r="Q73" i="3"/>
  <c r="P73" i="3"/>
  <c r="O73" i="3"/>
  <c r="N73" i="3"/>
  <c r="M73" i="3"/>
  <c r="S72" i="3"/>
  <c r="R72" i="3"/>
  <c r="Q72" i="3"/>
  <c r="P72" i="3"/>
  <c r="O72" i="3"/>
  <c r="N72" i="3"/>
  <c r="G78" i="3" l="1"/>
  <c r="B24" i="14" s="1"/>
  <c r="AL42" i="10"/>
  <c r="AL43" i="10"/>
  <c r="AL44" i="10"/>
  <c r="H22" i="6"/>
  <c r="N22" i="6"/>
  <c r="B22" i="6"/>
  <c r="G79" i="3"/>
  <c r="U18" i="3"/>
  <c r="L81" i="3" s="1"/>
  <c r="U19" i="3"/>
  <c r="B4" i="6" s="1"/>
  <c r="U20" i="3"/>
  <c r="L80" i="3" s="1"/>
  <c r="G50" i="2"/>
  <c r="G51" i="2"/>
  <c r="G52" i="2"/>
  <c r="G53" i="2"/>
  <c r="H53" i="2"/>
  <c r="AL40" i="10" l="1"/>
  <c r="AL49" i="10"/>
  <c r="AL41" i="10"/>
  <c r="L78" i="3"/>
  <c r="L79" i="3"/>
  <c r="B4" i="14" s="1"/>
  <c r="AL48" i="10" l="1"/>
  <c r="AL46" i="10"/>
  <c r="AL47" i="10"/>
  <c r="AL45" i="10"/>
  <c r="AL50" i="10"/>
  <c r="K61" i="2"/>
  <c r="L49" i="2" l="1"/>
  <c r="K50" i="2"/>
  <c r="J50" i="2"/>
  <c r="F50" i="2"/>
  <c r="E50" i="2"/>
  <c r="C50" i="2"/>
  <c r="G39" i="2"/>
  <c r="E39" i="2"/>
  <c r="F39" i="2"/>
  <c r="L37" i="2"/>
  <c r="L38" i="2"/>
  <c r="F17" i="2" l="1"/>
  <c r="E28" i="2"/>
  <c r="C12" i="10" l="1"/>
  <c r="C62" i="10" s="1"/>
  <c r="AL32" i="10"/>
  <c r="AL31" i="10"/>
  <c r="AL30" i="10"/>
  <c r="AL29" i="10"/>
  <c r="AL28" i="10"/>
  <c r="AL27" i="10"/>
  <c r="AL11" i="10"/>
  <c r="AL10" i="10"/>
  <c r="AL9" i="10"/>
  <c r="AL8" i="10"/>
  <c r="AL7" i="10"/>
  <c r="AL6" i="10"/>
  <c r="AL5" i="10"/>
  <c r="B14" i="14"/>
  <c r="AL35" i="10" l="1"/>
  <c r="AL36" i="10"/>
  <c r="AL37" i="10"/>
  <c r="AL34" i="10"/>
  <c r="AL12" i="10"/>
  <c r="AL15" i="10"/>
  <c r="AL13" i="10"/>
  <c r="AL14" i="10"/>
  <c r="C7" i="5" l="1"/>
  <c r="C6" i="5"/>
  <c r="E7" i="2"/>
  <c r="F7" i="2"/>
  <c r="G7" i="2"/>
  <c r="H7" i="2"/>
  <c r="I7" i="2"/>
  <c r="J7" i="2"/>
  <c r="K7" i="2"/>
  <c r="E6" i="2"/>
  <c r="F6" i="2"/>
  <c r="G6" i="2"/>
  <c r="H6" i="2"/>
  <c r="I6" i="2"/>
  <c r="J6" i="2"/>
  <c r="K6" i="2"/>
  <c r="D7" i="2"/>
  <c r="D6" i="2"/>
  <c r="L7" i="2"/>
  <c r="D7" i="4"/>
  <c r="E7" i="4"/>
  <c r="F7" i="4"/>
  <c r="C7" i="4"/>
  <c r="D6" i="4"/>
  <c r="E6" i="4"/>
  <c r="F6" i="4"/>
  <c r="C6" i="4"/>
  <c r="C7" i="3"/>
  <c r="C6" i="3"/>
  <c r="B40" i="14"/>
  <c r="C9" i="5"/>
  <c r="C8" i="5"/>
  <c r="L9" i="2"/>
  <c r="K9" i="2"/>
  <c r="J9" i="2"/>
  <c r="I9" i="2"/>
  <c r="H9" i="2"/>
  <c r="G9" i="2"/>
  <c r="F9" i="2"/>
  <c r="E9" i="2"/>
  <c r="D9" i="2"/>
  <c r="C9" i="2"/>
  <c r="L8" i="2"/>
  <c r="K8" i="2"/>
  <c r="J8" i="2"/>
  <c r="I8" i="2"/>
  <c r="H8" i="2"/>
  <c r="G8" i="2"/>
  <c r="F8" i="2"/>
  <c r="E8" i="2"/>
  <c r="D8" i="2"/>
  <c r="C8" i="2"/>
  <c r="C7" i="2"/>
  <c r="C6" i="2"/>
  <c r="G9" i="4"/>
  <c r="F9" i="4"/>
  <c r="E9" i="4"/>
  <c r="D9" i="4"/>
  <c r="C9" i="4"/>
  <c r="G8" i="4"/>
  <c r="F8" i="4"/>
  <c r="E8" i="4"/>
  <c r="D8" i="4"/>
  <c r="C8" i="4"/>
  <c r="C9" i="3"/>
  <c r="L6" i="2" l="1"/>
  <c r="F40" i="2" l="1"/>
  <c r="G7" i="4" l="1"/>
  <c r="G6" i="4"/>
  <c r="N64" i="6"/>
  <c r="N58" i="6"/>
  <c r="N44" i="6"/>
  <c r="N62" i="6"/>
  <c r="N70" i="6"/>
  <c r="N68" i="6"/>
  <c r="N66" i="6"/>
  <c r="N56" i="6"/>
  <c r="N54" i="6"/>
  <c r="N60" i="6"/>
  <c r="K64" i="6"/>
  <c r="K58" i="6"/>
  <c r="K62" i="6"/>
  <c r="K70" i="6"/>
  <c r="K68" i="6"/>
  <c r="K66" i="6"/>
  <c r="K54" i="6"/>
  <c r="H64" i="6"/>
  <c r="H58" i="6"/>
  <c r="H62" i="6"/>
  <c r="H70" i="6"/>
  <c r="H68" i="6"/>
  <c r="H66" i="6"/>
  <c r="H54" i="6"/>
  <c r="E64" i="6"/>
  <c r="E58" i="6"/>
  <c r="E62" i="6"/>
  <c r="E70" i="6"/>
  <c r="E68" i="6"/>
  <c r="E66" i="6"/>
  <c r="E54" i="6"/>
  <c r="B54" i="14" l="1"/>
  <c r="B70" i="14"/>
  <c r="B62" i="14"/>
  <c r="B56" i="14"/>
  <c r="N72" i="6"/>
  <c r="B72" i="14"/>
  <c r="B60" i="14"/>
  <c r="B58" i="14"/>
  <c r="B46" i="14"/>
  <c r="B64" i="14"/>
  <c r="B66" i="14"/>
  <c r="B74" i="14"/>
  <c r="B68" i="14"/>
  <c r="B48" i="14"/>
  <c r="B62" i="6"/>
  <c r="E72" i="6"/>
  <c r="K72" i="6"/>
  <c r="B66" i="6"/>
  <c r="B70" i="6"/>
  <c r="B68" i="6"/>
  <c r="B58" i="6"/>
  <c r="B54" i="6"/>
  <c r="B64" i="6"/>
  <c r="B72" i="6"/>
  <c r="H72" i="6"/>
  <c r="D64" i="2"/>
  <c r="E64" i="2"/>
  <c r="F64" i="2"/>
  <c r="G64" i="2"/>
  <c r="H64" i="2"/>
  <c r="I64" i="2"/>
  <c r="J64" i="2"/>
  <c r="K64" i="2"/>
  <c r="K63" i="2"/>
  <c r="N46" i="6" s="1"/>
  <c r="J63" i="2"/>
  <c r="I63" i="2"/>
  <c r="N48" i="6" s="1"/>
  <c r="H63" i="2"/>
  <c r="G63" i="2"/>
  <c r="N32" i="6" s="1"/>
  <c r="F63" i="2"/>
  <c r="N30" i="6" s="1"/>
  <c r="E63" i="2"/>
  <c r="D63" i="2"/>
  <c r="N28" i="6" s="1"/>
  <c r="D62" i="2"/>
  <c r="E62" i="2"/>
  <c r="F62" i="2"/>
  <c r="G62" i="2"/>
  <c r="H62" i="2"/>
  <c r="I62" i="2"/>
  <c r="J62" i="2"/>
  <c r="K62" i="2"/>
  <c r="J61" i="2"/>
  <c r="G61" i="2"/>
  <c r="F61" i="2"/>
  <c r="E61" i="2"/>
  <c r="D61" i="2"/>
  <c r="H52" i="2"/>
  <c r="I51" i="2" l="1"/>
  <c r="H51" i="2"/>
  <c r="I52" i="2"/>
  <c r="K48" i="6" s="1"/>
  <c r="I53" i="2"/>
  <c r="K53" i="2"/>
  <c r="J53" i="2"/>
  <c r="K52" i="2"/>
  <c r="J52" i="2"/>
  <c r="J51" i="2"/>
  <c r="K51" i="2"/>
  <c r="F41" i="2"/>
  <c r="E41" i="2"/>
  <c r="D39" i="2"/>
  <c r="D53" i="2"/>
  <c r="D52" i="2"/>
  <c r="D51" i="2"/>
  <c r="D50" i="2"/>
  <c r="E53" i="2"/>
  <c r="E52" i="2"/>
  <c r="E51" i="2"/>
  <c r="F53" i="2"/>
  <c r="F52" i="2"/>
  <c r="F51" i="2"/>
  <c r="G41" i="2"/>
  <c r="G40" i="2"/>
  <c r="J17" i="2" l="1"/>
  <c r="C63" i="5"/>
  <c r="C61" i="5"/>
  <c r="AL53" i="10"/>
  <c r="AL52" i="10"/>
  <c r="AL51" i="10"/>
  <c r="C50" i="5"/>
  <c r="C39" i="5"/>
  <c r="C28" i="5"/>
  <c r="C17" i="5"/>
  <c r="C72" i="5"/>
  <c r="C19" i="5"/>
  <c r="C30" i="5"/>
  <c r="E10" i="6" s="1"/>
  <c r="C41" i="5"/>
  <c r="H10" i="6" s="1"/>
  <c r="C52" i="5"/>
  <c r="K10" i="6" s="1"/>
  <c r="C74" i="5"/>
  <c r="D74" i="5" s="1"/>
  <c r="C62" i="5"/>
  <c r="C64" i="5"/>
  <c r="D72" i="5"/>
  <c r="C73" i="5"/>
  <c r="D73" i="5" s="1"/>
  <c r="C75" i="5"/>
  <c r="D75" i="5" s="1"/>
  <c r="AL54" i="10"/>
  <c r="K60" i="6"/>
  <c r="H60" i="6"/>
  <c r="E60" i="6"/>
  <c r="C14" i="10"/>
  <c r="B60" i="6"/>
  <c r="K17" i="2"/>
  <c r="L60" i="2"/>
  <c r="L59" i="2"/>
  <c r="L58" i="2"/>
  <c r="L57" i="2"/>
  <c r="L56" i="2"/>
  <c r="L48" i="2"/>
  <c r="L36" i="2"/>
  <c r="L35" i="2"/>
  <c r="L34" i="2"/>
  <c r="L33" i="2"/>
  <c r="L32" i="2"/>
  <c r="L27" i="2"/>
  <c r="L26" i="2"/>
  <c r="L25" i="2"/>
  <c r="L24" i="2"/>
  <c r="L23" i="2"/>
  <c r="L22" i="2"/>
  <c r="L21" i="2"/>
  <c r="L16" i="2"/>
  <c r="L15" i="2"/>
  <c r="L14" i="2"/>
  <c r="L13" i="2"/>
  <c r="L12" i="2"/>
  <c r="K19" i="2"/>
  <c r="B46" i="6" s="1"/>
  <c r="J19" i="2"/>
  <c r="I19" i="2"/>
  <c r="B48" i="6" s="1"/>
  <c r="H19" i="2"/>
  <c r="I17" i="2"/>
  <c r="H17" i="2"/>
  <c r="F19" i="4"/>
  <c r="E19" i="4"/>
  <c r="D19" i="4"/>
  <c r="C19" i="4"/>
  <c r="G10" i="4"/>
  <c r="G11" i="4"/>
  <c r="G12" i="4"/>
  <c r="G13" i="4"/>
  <c r="G14" i="4"/>
  <c r="G15" i="4"/>
  <c r="G16" i="4"/>
  <c r="F17" i="4"/>
  <c r="E17" i="4"/>
  <c r="D17" i="4"/>
  <c r="C17" i="4"/>
  <c r="C19" i="3"/>
  <c r="D79" i="3" s="1"/>
  <c r="C17" i="3"/>
  <c r="D78" i="3" s="1"/>
  <c r="B56" i="6"/>
  <c r="B44" i="6"/>
  <c r="C61" i="2"/>
  <c r="C62" i="2"/>
  <c r="C63" i="2"/>
  <c r="C64" i="2"/>
  <c r="C51" i="2"/>
  <c r="C52" i="2"/>
  <c r="K26" i="6" s="1"/>
  <c r="C53" i="2"/>
  <c r="C39" i="2"/>
  <c r="C40" i="2"/>
  <c r="C41" i="2"/>
  <c r="H26" i="6" s="1"/>
  <c r="C42" i="2"/>
  <c r="C28" i="2"/>
  <c r="C29" i="2"/>
  <c r="C30" i="2"/>
  <c r="E26" i="6" s="1"/>
  <c r="C31" i="2"/>
  <c r="C17" i="2"/>
  <c r="C18" i="2"/>
  <c r="C19" i="2"/>
  <c r="C20" i="2"/>
  <c r="E20" i="4"/>
  <c r="F20" i="4"/>
  <c r="G21" i="4"/>
  <c r="J39" i="2"/>
  <c r="K72" i="2"/>
  <c r="K73" i="2"/>
  <c r="K74" i="2"/>
  <c r="K75" i="2"/>
  <c r="I72" i="2"/>
  <c r="I73" i="2"/>
  <c r="I74" i="2"/>
  <c r="I75" i="2"/>
  <c r="K46" i="6"/>
  <c r="K39" i="2"/>
  <c r="K40" i="2"/>
  <c r="K41" i="2"/>
  <c r="H46" i="6" s="1"/>
  <c r="K42" i="2"/>
  <c r="I39" i="2"/>
  <c r="I40" i="2"/>
  <c r="I41" i="2"/>
  <c r="H48" i="6" s="1"/>
  <c r="I42" i="2"/>
  <c r="K28" i="2"/>
  <c r="K29" i="2"/>
  <c r="K30" i="2"/>
  <c r="E46" i="6" s="1"/>
  <c r="K31" i="2"/>
  <c r="I28" i="2"/>
  <c r="I29" i="2"/>
  <c r="I30" i="2"/>
  <c r="E48" i="6" s="1"/>
  <c r="I31" i="2"/>
  <c r="K20" i="2"/>
  <c r="K18" i="2"/>
  <c r="I20" i="2"/>
  <c r="I18" i="2"/>
  <c r="J28" i="2"/>
  <c r="J29" i="2"/>
  <c r="C61" i="4"/>
  <c r="D61" i="4"/>
  <c r="E61" i="4"/>
  <c r="F61" i="4"/>
  <c r="G60" i="4"/>
  <c r="G59" i="4"/>
  <c r="G58" i="4"/>
  <c r="G57" i="4"/>
  <c r="G56" i="4"/>
  <c r="G55" i="4"/>
  <c r="G54" i="4"/>
  <c r="C50" i="4"/>
  <c r="D50" i="4"/>
  <c r="E50" i="4"/>
  <c r="F50" i="4"/>
  <c r="G49" i="4"/>
  <c r="G48" i="4"/>
  <c r="G47" i="4"/>
  <c r="G45" i="4"/>
  <c r="G32" i="4"/>
  <c r="C30" i="4"/>
  <c r="D30" i="4"/>
  <c r="E30" i="4"/>
  <c r="F30" i="4"/>
  <c r="C28" i="4"/>
  <c r="D28" i="4"/>
  <c r="E28" i="4"/>
  <c r="F28" i="4"/>
  <c r="G27" i="4"/>
  <c r="G26" i="4"/>
  <c r="G25" i="4"/>
  <c r="G24" i="4"/>
  <c r="G23" i="4"/>
  <c r="G22" i="4"/>
  <c r="F63" i="4"/>
  <c r="E63" i="4"/>
  <c r="D63" i="4"/>
  <c r="C63" i="4"/>
  <c r="F52" i="4"/>
  <c r="E52" i="4"/>
  <c r="D52" i="4"/>
  <c r="C52" i="4"/>
  <c r="E41" i="4"/>
  <c r="G38" i="4"/>
  <c r="G37" i="4"/>
  <c r="G36" i="4"/>
  <c r="G35" i="4"/>
  <c r="G34" i="4"/>
  <c r="G33" i="4"/>
  <c r="C31" i="3"/>
  <c r="C30" i="3"/>
  <c r="C63" i="3"/>
  <c r="N20" i="6"/>
  <c r="C61" i="3"/>
  <c r="B42" i="14"/>
  <c r="N42" i="6"/>
  <c r="N40" i="6"/>
  <c r="N34" i="6"/>
  <c r="N36" i="6"/>
  <c r="N38" i="6"/>
  <c r="B38" i="14"/>
  <c r="C53" i="3"/>
  <c r="C52" i="3"/>
  <c r="K56" i="6"/>
  <c r="K44" i="6"/>
  <c r="K42" i="6"/>
  <c r="K40" i="6"/>
  <c r="K38" i="6"/>
  <c r="K36" i="6"/>
  <c r="K34" i="6"/>
  <c r="H44" i="6"/>
  <c r="H42" i="6"/>
  <c r="H40" i="6"/>
  <c r="H38" i="6"/>
  <c r="H36" i="6"/>
  <c r="H34" i="6"/>
  <c r="H39" i="2"/>
  <c r="H41" i="2"/>
  <c r="F41" i="4"/>
  <c r="D41" i="4"/>
  <c r="C41" i="4"/>
  <c r="H20" i="6"/>
  <c r="C41" i="3"/>
  <c r="C40" i="3"/>
  <c r="C39" i="3"/>
  <c r="E39" i="4"/>
  <c r="C18" i="4"/>
  <c r="D18" i="4"/>
  <c r="E18" i="4"/>
  <c r="F18" i="4"/>
  <c r="C20" i="4"/>
  <c r="D20" i="4"/>
  <c r="D29" i="4"/>
  <c r="E29" i="4"/>
  <c r="C29" i="4"/>
  <c r="C42" i="4"/>
  <c r="D42" i="4"/>
  <c r="F42" i="4"/>
  <c r="E40" i="4"/>
  <c r="F40" i="4"/>
  <c r="C40" i="4"/>
  <c r="D40" i="4"/>
  <c r="D51" i="4"/>
  <c r="C51" i="4"/>
  <c r="C53" i="4"/>
  <c r="F53" i="4"/>
  <c r="C62" i="4"/>
  <c r="D62" i="4"/>
  <c r="E64" i="4"/>
  <c r="F62" i="4"/>
  <c r="F64" i="4"/>
  <c r="E53" i="4"/>
  <c r="D53" i="4"/>
  <c r="F51" i="4"/>
  <c r="F39" i="4"/>
  <c r="F31" i="4"/>
  <c r="E51" i="4"/>
  <c r="E31" i="4"/>
  <c r="C64" i="4"/>
  <c r="E62" i="4"/>
  <c r="E42" i="4"/>
  <c r="D39" i="4"/>
  <c r="D31" i="4"/>
  <c r="F29" i="4"/>
  <c r="C39" i="4"/>
  <c r="C31" i="4"/>
  <c r="F19" i="2"/>
  <c r="B30" i="6" s="1"/>
  <c r="E19" i="2"/>
  <c r="D19" i="2"/>
  <c r="B28" i="6" s="1"/>
  <c r="E17" i="2"/>
  <c r="D17" i="2"/>
  <c r="E56" i="6"/>
  <c r="E44" i="6"/>
  <c r="E42" i="6"/>
  <c r="E40" i="6"/>
  <c r="E38" i="6"/>
  <c r="E36" i="6"/>
  <c r="J30" i="2"/>
  <c r="J31" i="2"/>
  <c r="H31" i="2"/>
  <c r="H30" i="2"/>
  <c r="G31" i="2"/>
  <c r="G30" i="2"/>
  <c r="E32" i="6" s="1"/>
  <c r="F31" i="2"/>
  <c r="F30" i="2"/>
  <c r="E30" i="6" s="1"/>
  <c r="E30" i="2"/>
  <c r="E31" i="2"/>
  <c r="D31" i="2"/>
  <c r="D30" i="2"/>
  <c r="E28" i="6" s="1"/>
  <c r="D29" i="2"/>
  <c r="D28" i="2"/>
  <c r="J20" i="2"/>
  <c r="H20" i="2"/>
  <c r="F20" i="2"/>
  <c r="E20" i="2"/>
  <c r="D20" i="2"/>
  <c r="C15" i="10"/>
  <c r="K32" i="6"/>
  <c r="H32" i="6"/>
  <c r="G42" i="2"/>
  <c r="F18" i="2"/>
  <c r="G29" i="2"/>
  <c r="G28" i="2"/>
  <c r="J18" i="2"/>
  <c r="J40" i="2"/>
  <c r="J41" i="2"/>
  <c r="J42" i="2"/>
  <c r="J72" i="2"/>
  <c r="J73" i="2"/>
  <c r="J74" i="2"/>
  <c r="J75" i="2"/>
  <c r="H56" i="6"/>
  <c r="B21" i="2"/>
  <c r="B22" i="2" s="1"/>
  <c r="B23" i="2" s="1"/>
  <c r="B24" i="2" s="1"/>
  <c r="B25" i="2" s="1"/>
  <c r="B26" i="2" s="1"/>
  <c r="B27" i="2" s="1"/>
  <c r="B32" i="2" s="1"/>
  <c r="B33" i="2" s="1"/>
  <c r="B34" i="2" s="1"/>
  <c r="B35" i="2" s="1"/>
  <c r="B36" i="2" s="1"/>
  <c r="B37" i="2" s="1"/>
  <c r="H72" i="3"/>
  <c r="E78" i="3" s="1"/>
  <c r="H73" i="3"/>
  <c r="H74" i="3"/>
  <c r="E79" i="3" s="1"/>
  <c r="H75" i="3"/>
  <c r="E72" i="3"/>
  <c r="E73" i="3"/>
  <c r="E74" i="3"/>
  <c r="E75" i="3"/>
  <c r="H18" i="2"/>
  <c r="D18" i="2"/>
  <c r="C18" i="5"/>
  <c r="F81" i="5" s="1"/>
  <c r="E11" i="11"/>
  <c r="E10" i="11"/>
  <c r="E9" i="11"/>
  <c r="E8" i="11"/>
  <c r="E7" i="11"/>
  <c r="E6" i="11"/>
  <c r="E5" i="11"/>
  <c r="E14" i="11"/>
  <c r="B8" i="11"/>
  <c r="B9" i="11"/>
  <c r="B10" i="11"/>
  <c r="B11" i="11"/>
  <c r="B7" i="11"/>
  <c r="C56" i="11"/>
  <c r="D56" i="11"/>
  <c r="C58" i="11"/>
  <c r="D58" i="11"/>
  <c r="B16" i="11"/>
  <c r="B17" i="11"/>
  <c r="B18" i="11"/>
  <c r="B19" i="11"/>
  <c r="B20" i="11"/>
  <c r="B21" i="11"/>
  <c r="B22" i="11"/>
  <c r="B27" i="11"/>
  <c r="B28" i="11"/>
  <c r="B29" i="11"/>
  <c r="B30" i="11"/>
  <c r="B31" i="11"/>
  <c r="B32" i="11"/>
  <c r="B33" i="11"/>
  <c r="B38" i="11"/>
  <c r="B39" i="11"/>
  <c r="B40" i="11"/>
  <c r="B41" i="11"/>
  <c r="B42" i="11"/>
  <c r="B43" i="11"/>
  <c r="B44" i="11"/>
  <c r="B49" i="11"/>
  <c r="B50" i="11"/>
  <c r="B51" i="11"/>
  <c r="B52" i="11"/>
  <c r="B53" i="11"/>
  <c r="B54" i="11"/>
  <c r="B55" i="11"/>
  <c r="B60" i="11"/>
  <c r="B61" i="11"/>
  <c r="B21" i="4"/>
  <c r="B22" i="4" s="1"/>
  <c r="B23" i="4" s="1"/>
  <c r="B24" i="4" s="1"/>
  <c r="B25" i="4" s="1"/>
  <c r="B26" i="4" s="1"/>
  <c r="B27" i="4" s="1"/>
  <c r="B32" i="4" s="1"/>
  <c r="B33" i="4" s="1"/>
  <c r="B34" i="4" s="1"/>
  <c r="B35" i="4" s="1"/>
  <c r="B36" i="4" s="1"/>
  <c r="B37" i="4" s="1"/>
  <c r="B38" i="4" s="1"/>
  <c r="B43" i="4" s="1"/>
  <c r="B44" i="4" s="1"/>
  <c r="B45" i="4" s="1"/>
  <c r="B46" i="4" s="1"/>
  <c r="B47" i="4" s="1"/>
  <c r="B48" i="4" s="1"/>
  <c r="B49" i="4" s="1"/>
  <c r="B54" i="4" s="1"/>
  <c r="B55" i="4" s="1"/>
  <c r="B56" i="4" s="1"/>
  <c r="B57" i="4" s="1"/>
  <c r="B58" i="4" s="1"/>
  <c r="B59" i="4" s="1"/>
  <c r="B60" i="4" s="1"/>
  <c r="B21" i="5"/>
  <c r="B22" i="5" s="1"/>
  <c r="B23" i="5" s="1"/>
  <c r="B24" i="5" s="1"/>
  <c r="B25" i="5" s="1"/>
  <c r="B26" i="5" s="1"/>
  <c r="B27" i="5" s="1"/>
  <c r="B32" i="5" s="1"/>
  <c r="B33" i="5" s="1"/>
  <c r="B34" i="5" s="1"/>
  <c r="B35" i="5" s="1"/>
  <c r="B36" i="5" s="1"/>
  <c r="B37" i="5" s="1"/>
  <c r="B38" i="5" s="1"/>
  <c r="B43" i="5" s="1"/>
  <c r="B44" i="5" s="1"/>
  <c r="B45" i="5" s="1"/>
  <c r="B46" i="5" s="1"/>
  <c r="B47" i="5" s="1"/>
  <c r="B48" i="5" s="1"/>
  <c r="B49" i="5" s="1"/>
  <c r="B54" i="5" s="1"/>
  <c r="B55" i="5" s="1"/>
  <c r="B56" i="5" s="1"/>
  <c r="B57" i="5" s="1"/>
  <c r="B58" i="5" s="1"/>
  <c r="B59" i="5" s="1"/>
  <c r="B60" i="5" s="1"/>
  <c r="B65" i="5" s="1"/>
  <c r="B66" i="5" s="1"/>
  <c r="B67" i="5" s="1"/>
  <c r="B68" i="5" s="1"/>
  <c r="B69" i="5" s="1"/>
  <c r="B70" i="5" s="1"/>
  <c r="B71" i="5" s="1"/>
  <c r="B32" i="3"/>
  <c r="B33" i="3" s="1"/>
  <c r="B34" i="3" s="1"/>
  <c r="B35" i="3" s="1"/>
  <c r="B36" i="3" s="1"/>
  <c r="B37" i="3" s="1"/>
  <c r="B38" i="3" s="1"/>
  <c r="B43" i="3" s="1"/>
  <c r="B44" i="3" s="1"/>
  <c r="B45" i="3" s="1"/>
  <c r="B46" i="3" s="1"/>
  <c r="B47" i="3" s="1"/>
  <c r="B48" i="3" s="1"/>
  <c r="B49" i="3" s="1"/>
  <c r="B54" i="3" s="1"/>
  <c r="B55" i="3" s="1"/>
  <c r="B56" i="3" s="1"/>
  <c r="B57" i="3" s="1"/>
  <c r="B58" i="3" s="1"/>
  <c r="B59" i="3" s="1"/>
  <c r="B60" i="3" s="1"/>
  <c r="B65" i="3" s="1"/>
  <c r="B66" i="3" s="1"/>
  <c r="B67" i="3" s="1"/>
  <c r="B68" i="3" s="1"/>
  <c r="B69" i="3" s="1"/>
  <c r="B70" i="3" s="1"/>
  <c r="B71" i="3" s="1"/>
  <c r="D69" i="11"/>
  <c r="C74" i="3"/>
  <c r="D74" i="3"/>
  <c r="F74" i="2"/>
  <c r="C69" i="11"/>
  <c r="K30" i="6"/>
  <c r="D47" i="11"/>
  <c r="C47" i="11"/>
  <c r="H30" i="6"/>
  <c r="D36" i="11"/>
  <c r="C36" i="11"/>
  <c r="D25" i="11"/>
  <c r="C25" i="11"/>
  <c r="C14" i="11"/>
  <c r="D14" i="11"/>
  <c r="E49" i="11"/>
  <c r="E50" i="11"/>
  <c r="E51" i="11"/>
  <c r="E52" i="11"/>
  <c r="E53" i="11"/>
  <c r="E54" i="11"/>
  <c r="E55" i="11"/>
  <c r="E60" i="11"/>
  <c r="E68" i="11"/>
  <c r="E21" i="11"/>
  <c r="E22" i="11"/>
  <c r="E16" i="11"/>
  <c r="E18" i="11"/>
  <c r="E19" i="11"/>
  <c r="E20" i="11"/>
  <c r="E27" i="11"/>
  <c r="E28" i="11"/>
  <c r="E29" i="11"/>
  <c r="E30" i="11"/>
  <c r="E31" i="11"/>
  <c r="E32" i="11"/>
  <c r="E33" i="11"/>
  <c r="E38" i="11"/>
  <c r="E39" i="11"/>
  <c r="E40" i="11"/>
  <c r="E41" i="11"/>
  <c r="E42" i="11"/>
  <c r="E43" i="11"/>
  <c r="E44" i="11"/>
  <c r="D12" i="11"/>
  <c r="D67" i="11"/>
  <c r="D23" i="11"/>
  <c r="D34" i="11"/>
  <c r="D45" i="11"/>
  <c r="C72" i="3"/>
  <c r="D72" i="3"/>
  <c r="F72" i="2"/>
  <c r="C12" i="11"/>
  <c r="C67" i="11"/>
  <c r="C23" i="11"/>
  <c r="C34" i="11"/>
  <c r="C45" i="11"/>
  <c r="L66" i="2"/>
  <c r="L65" i="2"/>
  <c r="E17" i="11"/>
  <c r="D15" i="11"/>
  <c r="C15" i="11"/>
  <c r="D13" i="11"/>
  <c r="C13" i="11"/>
  <c r="D26" i="11"/>
  <c r="C26" i="11"/>
  <c r="D24" i="11"/>
  <c r="C24" i="11"/>
  <c r="D37" i="11"/>
  <c r="C37" i="11"/>
  <c r="D35" i="11"/>
  <c r="C35" i="11"/>
  <c r="C40" i="5"/>
  <c r="C42" i="5"/>
  <c r="D70" i="11"/>
  <c r="C70" i="11"/>
  <c r="D68" i="11"/>
  <c r="C68" i="11"/>
  <c r="D59" i="11"/>
  <c r="C59" i="11"/>
  <c r="D57" i="11"/>
  <c r="C57" i="11"/>
  <c r="D48" i="11"/>
  <c r="C48" i="11"/>
  <c r="D46" i="11"/>
  <c r="C46" i="11"/>
  <c r="J74" i="3"/>
  <c r="K74" i="3"/>
  <c r="L74" i="3"/>
  <c r="E20" i="6"/>
  <c r="K20" i="6"/>
  <c r="J72" i="3"/>
  <c r="K72" i="3"/>
  <c r="L72" i="3"/>
  <c r="C28" i="3"/>
  <c r="C50" i="3"/>
  <c r="C59" i="10"/>
  <c r="C57" i="10"/>
  <c r="C13" i="10"/>
  <c r="G55" i="8"/>
  <c r="G56" i="8"/>
  <c r="G54" i="8"/>
  <c r="G10" i="8"/>
  <c r="B55" i="8"/>
  <c r="G33" i="8"/>
  <c r="G32" i="8"/>
  <c r="C64" i="3"/>
  <c r="C59" i="8"/>
  <c r="H28" i="2"/>
  <c r="C62" i="3"/>
  <c r="C37" i="8"/>
  <c r="C20" i="5"/>
  <c r="F80" i="5" s="1"/>
  <c r="F73" i="2"/>
  <c r="F75" i="2"/>
  <c r="H40" i="2"/>
  <c r="H42" i="2"/>
  <c r="C53" i="5"/>
  <c r="D12" i="8"/>
  <c r="E72" i="2"/>
  <c r="H72" i="2"/>
  <c r="E73" i="2"/>
  <c r="H73" i="2"/>
  <c r="E74" i="2"/>
  <c r="H74" i="2"/>
  <c r="E75" i="2"/>
  <c r="H75" i="2"/>
  <c r="G21" i="8"/>
  <c r="G22" i="8"/>
  <c r="G24" i="8"/>
  <c r="G43" i="8"/>
  <c r="G44" i="8"/>
  <c r="G11" i="8"/>
  <c r="G13" i="8"/>
  <c r="E40" i="2"/>
  <c r="E42" i="2"/>
  <c r="F42" i="2"/>
  <c r="E29" i="2"/>
  <c r="H29" i="2"/>
  <c r="E18" i="2"/>
  <c r="D67" i="8"/>
  <c r="E67" i="8"/>
  <c r="F67" i="8"/>
  <c r="G67" i="8"/>
  <c r="D68" i="8"/>
  <c r="E68" i="8"/>
  <c r="F68" i="8"/>
  <c r="G68" i="8"/>
  <c r="D69" i="8"/>
  <c r="E69" i="8"/>
  <c r="F69" i="8"/>
  <c r="G69" i="8"/>
  <c r="G76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D74" i="8"/>
  <c r="F58" i="8"/>
  <c r="G58" i="8"/>
  <c r="D59" i="8"/>
  <c r="E59" i="8"/>
  <c r="F59" i="8"/>
  <c r="G59" i="8"/>
  <c r="C58" i="8"/>
  <c r="C57" i="8"/>
  <c r="C56" i="8"/>
  <c r="D45" i="8"/>
  <c r="C73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D13" i="8"/>
  <c r="E13" i="8"/>
  <c r="F13" i="8"/>
  <c r="D14" i="8"/>
  <c r="E14" i="8"/>
  <c r="F14" i="8"/>
  <c r="G14" i="8"/>
  <c r="D15" i="8"/>
  <c r="E15" i="8"/>
  <c r="F15" i="8"/>
  <c r="G15" i="8"/>
  <c r="C15" i="8"/>
  <c r="C14" i="8"/>
  <c r="C13" i="8"/>
  <c r="C12" i="8"/>
  <c r="G23" i="8"/>
  <c r="G57" i="8"/>
  <c r="G45" i="8"/>
  <c r="G46" i="8"/>
  <c r="D40" i="2"/>
  <c r="D41" i="2"/>
  <c r="H28" i="6" s="1"/>
  <c r="D42" i="2"/>
  <c r="K28" i="6"/>
  <c r="C20" i="3"/>
  <c r="C29" i="3"/>
  <c r="C18" i="3"/>
  <c r="D74" i="2"/>
  <c r="C31" i="5"/>
  <c r="C75" i="3"/>
  <c r="C73" i="3"/>
  <c r="C51" i="3"/>
  <c r="C42" i="3"/>
  <c r="D73" i="2"/>
  <c r="D72" i="2"/>
  <c r="D75" i="2"/>
  <c r="C51" i="5"/>
  <c r="C29" i="5"/>
  <c r="L73" i="3"/>
  <c r="K73" i="3"/>
  <c r="J73" i="3"/>
  <c r="I73" i="3"/>
  <c r="G73" i="3"/>
  <c r="F73" i="3"/>
  <c r="D73" i="3"/>
  <c r="F72" i="3"/>
  <c r="L75" i="3"/>
  <c r="K75" i="3"/>
  <c r="J75" i="3"/>
  <c r="I75" i="3"/>
  <c r="G75" i="3"/>
  <c r="F75" i="3"/>
  <c r="D75" i="3"/>
  <c r="F74" i="3"/>
  <c r="G74" i="8"/>
  <c r="D73" i="8"/>
  <c r="G34" i="8"/>
  <c r="G35" i="8"/>
  <c r="G12" i="8"/>
  <c r="C74" i="8"/>
  <c r="G75" i="8"/>
  <c r="G73" i="8"/>
  <c r="B16" i="10"/>
  <c r="B17" i="10" s="1"/>
  <c r="B18" i="10" s="1"/>
  <c r="B19" i="10" s="1"/>
  <c r="B20" i="10" s="1"/>
  <c r="B21" i="10" s="1"/>
  <c r="B22" i="10" s="1"/>
  <c r="B27" i="10" s="1"/>
  <c r="B28" i="10" s="1"/>
  <c r="B29" i="10" s="1"/>
  <c r="B30" i="10" s="1"/>
  <c r="B31" i="10" s="1"/>
  <c r="B32" i="10" s="1"/>
  <c r="B33" i="10" s="1"/>
  <c r="B38" i="10" s="1"/>
  <c r="B39" i="10" s="1"/>
  <c r="B40" i="10" s="1"/>
  <c r="B41" i="10" s="1"/>
  <c r="B42" i="10" s="1"/>
  <c r="B43" i="10" s="1"/>
  <c r="B44" i="10" s="1"/>
  <c r="B49" i="10" s="1"/>
  <c r="B50" i="10" s="1"/>
  <c r="B51" i="10" s="1"/>
  <c r="B52" i="10" s="1"/>
  <c r="B53" i="10" s="1"/>
  <c r="B54" i="10" s="1"/>
  <c r="E69" i="11"/>
  <c r="E70" i="11"/>
  <c r="E67" i="11"/>
  <c r="E59" i="11"/>
  <c r="E46" i="11"/>
  <c r="E48" i="11"/>
  <c r="E45" i="11"/>
  <c r="E36" i="11"/>
  <c r="E35" i="11"/>
  <c r="E34" i="11"/>
  <c r="E26" i="11"/>
  <c r="E12" i="11"/>
  <c r="E47" i="11"/>
  <c r="E37" i="11"/>
  <c r="E24" i="11"/>
  <c r="E25" i="11"/>
  <c r="E23" i="11"/>
  <c r="E15" i="11"/>
  <c r="D74" i="11"/>
  <c r="E13" i="11"/>
  <c r="D73" i="11"/>
  <c r="C73" i="11"/>
  <c r="C74" i="11"/>
  <c r="E56" i="11"/>
  <c r="E58" i="11"/>
  <c r="E57" i="11"/>
  <c r="F74" i="11"/>
  <c r="F76" i="11"/>
  <c r="F75" i="11"/>
  <c r="F73" i="11"/>
  <c r="F29" i="2"/>
  <c r="F28" i="2"/>
  <c r="AL56" i="10" l="1"/>
  <c r="AL59" i="10"/>
  <c r="AL57" i="10"/>
  <c r="AL58" i="10"/>
  <c r="N12" i="6" s="1"/>
  <c r="B55" i="10"/>
  <c r="H18" i="6"/>
  <c r="K18" i="6"/>
  <c r="E18" i="6"/>
  <c r="B18" i="6"/>
  <c r="B26" i="6"/>
  <c r="N18" i="6"/>
  <c r="N10" i="6"/>
  <c r="N26" i="6"/>
  <c r="F79" i="3"/>
  <c r="F78" i="3"/>
  <c r="B38" i="2"/>
  <c r="B43" i="2" s="1"/>
  <c r="B44" i="2" s="1"/>
  <c r="B45" i="2" s="1"/>
  <c r="B46" i="2" s="1"/>
  <c r="B47" i="2" s="1"/>
  <c r="B48" i="2" s="1"/>
  <c r="B49" i="2" s="1"/>
  <c r="B54" i="2" s="1"/>
  <c r="B55" i="2" s="1"/>
  <c r="B56" i="2" s="1"/>
  <c r="B57" i="2" s="1"/>
  <c r="B58" i="2" s="1"/>
  <c r="B59" i="2" s="1"/>
  <c r="B60" i="2" s="1"/>
  <c r="B65" i="2" s="1"/>
  <c r="B66" i="2" s="1"/>
  <c r="B67" i="2" s="1"/>
  <c r="B68" i="2" s="1"/>
  <c r="B69" i="2" s="1"/>
  <c r="B70" i="2" s="1"/>
  <c r="B71" i="2" s="1"/>
  <c r="N24" i="6"/>
  <c r="K78" i="2"/>
  <c r="E34" i="6"/>
  <c r="K24" i="6"/>
  <c r="H24" i="6"/>
  <c r="E24" i="6"/>
  <c r="B22" i="14"/>
  <c r="B20" i="6"/>
  <c r="B44" i="14"/>
  <c r="E63" i="10"/>
  <c r="B78" i="5"/>
  <c r="F79" i="5"/>
  <c r="B10" i="14" s="1"/>
  <c r="D78" i="2"/>
  <c r="B30" i="14" s="1"/>
  <c r="B24" i="6"/>
  <c r="E78" i="2"/>
  <c r="B34" i="14" s="1"/>
  <c r="I78" i="2"/>
  <c r="B52" i="14" s="1"/>
  <c r="H78" i="2"/>
  <c r="J78" i="2"/>
  <c r="B10" i="6"/>
  <c r="B40" i="6"/>
  <c r="G63" i="10"/>
  <c r="E12" i="6"/>
  <c r="K12" i="6"/>
  <c r="B42" i="6"/>
  <c r="B38" i="6"/>
  <c r="B36" i="6"/>
  <c r="B34" i="6"/>
  <c r="N6" i="6"/>
  <c r="G62" i="4"/>
  <c r="G64" i="4"/>
  <c r="G51" i="4"/>
  <c r="G52" i="4"/>
  <c r="G53" i="4"/>
  <c r="B79" i="5"/>
  <c r="F78" i="5"/>
  <c r="G40" i="4"/>
  <c r="G39" i="4"/>
  <c r="G41" i="4"/>
  <c r="H6" i="6" s="1"/>
  <c r="G19" i="4"/>
  <c r="B6" i="6" s="1"/>
  <c r="G17" i="4"/>
  <c r="G20" i="4"/>
  <c r="G18" i="4"/>
  <c r="C78" i="2"/>
  <c r="L64" i="2"/>
  <c r="L72" i="2"/>
  <c r="L53" i="2"/>
  <c r="L51" i="2"/>
  <c r="I79" i="2"/>
  <c r="L73" i="2"/>
  <c r="L52" i="2"/>
  <c r="K8" i="6" s="1"/>
  <c r="J79" i="2"/>
  <c r="L75" i="2"/>
  <c r="E79" i="2"/>
  <c r="L29" i="2"/>
  <c r="F79" i="2"/>
  <c r="L74" i="2"/>
  <c r="K79" i="2"/>
  <c r="D79" i="2"/>
  <c r="L30" i="2"/>
  <c r="E8" i="6" s="1"/>
  <c r="C79" i="2"/>
  <c r="N8" i="6"/>
  <c r="L42" i="2"/>
  <c r="L31" i="2"/>
  <c r="L41" i="2"/>
  <c r="H8" i="6" s="1"/>
  <c r="L62" i="2"/>
  <c r="H79" i="2"/>
  <c r="L40" i="2"/>
  <c r="G42" i="4"/>
  <c r="G28" i="4"/>
  <c r="G29" i="4"/>
  <c r="G30" i="4"/>
  <c r="G31" i="4"/>
  <c r="K6" i="6" l="1"/>
  <c r="K14" i="6" s="1"/>
  <c r="G67" i="4"/>
  <c r="G70" i="4"/>
  <c r="E69" i="10"/>
  <c r="E70" i="10"/>
  <c r="G69" i="4"/>
  <c r="B20" i="14"/>
  <c r="B28" i="14"/>
  <c r="N74" i="6"/>
  <c r="N14" i="6"/>
  <c r="B50" i="14"/>
  <c r="B12" i="14"/>
  <c r="B26" i="14"/>
  <c r="B6" i="14"/>
  <c r="E68" i="10"/>
  <c r="B12" i="6"/>
  <c r="E74" i="6"/>
  <c r="H12" i="6"/>
  <c r="K74" i="6"/>
  <c r="H74" i="6"/>
  <c r="E6" i="6"/>
  <c r="E14" i="6" s="1"/>
  <c r="H14" i="6" l="1"/>
  <c r="F78" i="2"/>
  <c r="B32" i="14" l="1"/>
  <c r="G18" i="2"/>
  <c r="G20" i="2"/>
  <c r="G17" i="2"/>
  <c r="G78" i="2" s="1"/>
  <c r="B36" i="14" s="1"/>
  <c r="G19" i="2"/>
  <c r="B32" i="6" s="1"/>
  <c r="B74" i="6" s="1"/>
  <c r="L11" i="2"/>
  <c r="L18" i="2" l="1"/>
  <c r="M81" i="2" s="1"/>
  <c r="L20" i="2"/>
  <c r="M80" i="2" s="1"/>
  <c r="L19" i="2"/>
  <c r="B8" i="6" s="1"/>
  <c r="B14" i="6" s="1"/>
  <c r="M79" i="2"/>
  <c r="B8" i="14" s="1"/>
  <c r="B16" i="14" s="1"/>
  <c r="B79" i="2"/>
  <c r="G79" i="2"/>
  <c r="M78" i="2" s="1"/>
  <c r="Q22" i="6" s="1"/>
  <c r="Q28" i="6" s="1"/>
  <c r="Q13" i="6" l="1"/>
  <c r="Q18" i="6"/>
  <c r="B78" i="2"/>
  <c r="B76" i="14"/>
</calcChain>
</file>

<file path=xl/sharedStrings.xml><?xml version="1.0" encoding="utf-8"?>
<sst xmlns="http://schemas.openxmlformats.org/spreadsheetml/2006/main" count="890" uniqueCount="128">
  <si>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</si>
  <si>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</si>
  <si>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</si>
  <si>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</si>
  <si>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</si>
  <si>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</si>
  <si>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</si>
  <si>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</si>
  <si>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</si>
  <si>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</si>
  <si>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</si>
  <si>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North Williamsburg</t>
  </si>
  <si>
    <t>Greenpoint</t>
  </si>
  <si>
    <t>Atlantic Ave</t>
  </si>
  <si>
    <t>East 34th Street</t>
  </si>
  <si>
    <t>Paulus Hook</t>
  </si>
  <si>
    <t>Hoboken</t>
  </si>
  <si>
    <t>Liberty Harbor</t>
  </si>
  <si>
    <t>Port Liberte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</si>
  <si>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</si>
  <si>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</si>
  <si>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</si>
  <si>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</si>
  <si>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</si>
  <si>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</si>
  <si>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</si>
  <si>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</si>
  <si>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</si>
  <si>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</si>
  <si>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</si>
  <si>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</si>
  <si>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Governors Island</t>
  </si>
  <si>
    <t>Week 6</t>
  </si>
  <si>
    <t>Liberty Landing Ferry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</si>
  <si>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</si>
  <si>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</si>
  <si>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</si>
  <si>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</si>
  <si>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</si>
  <si>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</si>
  <si>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</si>
  <si>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</si>
  <si>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</si>
  <si>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</si>
  <si>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</si>
  <si>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</si>
  <si>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</si>
  <si>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</si>
  <si>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</si>
  <si>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</si>
  <si>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</si>
  <si>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</si>
  <si>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</si>
  <si>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Atlantic Highlands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</si>
  <si>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</si>
  <si>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</si>
  <si>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</si>
  <si>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</si>
  <si>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</si>
  <si>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</si>
  <si>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DUMBO</t>
  </si>
  <si>
    <t>South Williamsburg</t>
  </si>
  <si>
    <t>Long Island City</t>
  </si>
  <si>
    <t>Slip 5</t>
  </si>
  <si>
    <t>New York Water Tours</t>
  </si>
  <si>
    <t>BMB Slip 5</t>
  </si>
  <si>
    <t>BMB</t>
  </si>
  <si>
    <t>East River Ferry Service</t>
  </si>
  <si>
    <t>Rockaway</t>
  </si>
  <si>
    <t>NYC Ferry</t>
  </si>
  <si>
    <t>NYC Ferry Monthly Totals</t>
  </si>
  <si>
    <t>Water Tours Monthly Totals</t>
  </si>
  <si>
    <t>South Brooklyn</t>
  </si>
  <si>
    <t>Bayridge</t>
  </si>
  <si>
    <t>Red Hook</t>
  </si>
  <si>
    <t>Astoria</t>
  </si>
  <si>
    <t>Roosevelt Island</t>
  </si>
  <si>
    <t>World Financial Center/ BPT</t>
  </si>
  <si>
    <t>Harborside</t>
  </si>
  <si>
    <t xml:space="preserve">Lower East Side </t>
  </si>
  <si>
    <t>Stuyvesant Cove</t>
  </si>
  <si>
    <t>Corlears Hook</t>
  </si>
  <si>
    <t>East 90th Street</t>
  </si>
  <si>
    <t>Soundview</t>
  </si>
  <si>
    <t>Port Liberte/   BMB Slip 5</t>
  </si>
  <si>
    <t>E 34 St</t>
  </si>
  <si>
    <t>Hunter's Point South</t>
  </si>
  <si>
    <t>Lincoln Harbor - HoboN (WE)</t>
  </si>
  <si>
    <t>DUMBO / Fulton Landing</t>
  </si>
  <si>
    <t>Pier 16 / South Street Seaport</t>
  </si>
  <si>
    <t>Pier 83</t>
  </si>
  <si>
    <t>NYU / Langone Shuttle</t>
  </si>
  <si>
    <t>Redhook / Ikea Shuttle</t>
  </si>
  <si>
    <t>Pier 16 South Street Seaport</t>
  </si>
  <si>
    <t>All Day Access Pass (ADAP)</t>
  </si>
  <si>
    <t>NYU / 34th Street Shuttle</t>
  </si>
  <si>
    <t>Hunters Point South</t>
  </si>
  <si>
    <t>Brooklyn Bridge Park Atlantic Avenue Pier 6</t>
  </si>
  <si>
    <t>BAT</t>
  </si>
  <si>
    <t>Red Hook IKEA</t>
  </si>
  <si>
    <t>Red Hook Ikea</t>
  </si>
  <si>
    <t>World Financial Center / BPT</t>
  </si>
  <si>
    <t>Governors Island Shuttle</t>
  </si>
  <si>
    <t>Brooklyn Navy Yard</t>
  </si>
  <si>
    <t xml:space="preserve">Sunset Park / </t>
  </si>
  <si>
    <t>Sunset Park / BAT</t>
  </si>
  <si>
    <t>Number of Weekdays in Month</t>
  </si>
  <si>
    <t>Sum of Each Operator's Weekday Totals / Number of Weekdays in Month</t>
  </si>
  <si>
    <t>World Financial Center / BPT (Brookfield Place)</t>
  </si>
  <si>
    <t>Sunset Park Brooklyn Army Terminal (BAT)</t>
  </si>
  <si>
    <t>Sunset Park Brooklyn Army Terminal</t>
  </si>
  <si>
    <t>Bay Ridge</t>
  </si>
  <si>
    <t>Brooklyn Bridge Park / Atlantic Ave Pier 6</t>
  </si>
  <si>
    <t>BBP / Atlantic Ave Pier 6</t>
  </si>
  <si>
    <t>Monthly Total</t>
  </si>
  <si>
    <t>Per Operator Average Monthly Weekday Ridership (Average of Each Operator's Average Weekday Passenger Count)</t>
  </si>
  <si>
    <t>System Wide Daily Average (Sum of Each Operator's Monthly Weekday Average Passenger Count)</t>
  </si>
  <si>
    <t>System-Wide Monthly Weekday Total (Sum of Each Operator's Monthly Weekday Total Passenger Counts)</t>
  </si>
  <si>
    <t>Monthly Totals</t>
  </si>
  <si>
    <t>Week 0</t>
  </si>
  <si>
    <t>Daily Average (Includes Weekends)</t>
  </si>
  <si>
    <t>**</t>
  </si>
  <si>
    <t>Excludes Liberty Landing Ferry, which did not operate this month</t>
  </si>
  <si>
    <t>6/1/2020--6/5/2020</t>
  </si>
  <si>
    <t>6/8/2020--6/12/2020</t>
  </si>
  <si>
    <t>6/15/2020-6/19/2020</t>
  </si>
  <si>
    <t>6/22/2020--6/26/2020</t>
  </si>
  <si>
    <t>6/29/2020--6/30/2020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</si>
</sst>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mm/dd/yy;@"/>
    <numFmt numFmtId="165" formatCode="_(* #,##0_);_(* \(#,##0\);_(* &quot;&quot;_);_(@_)"/>
    <numFmt numFmtId="166" formatCode="_(* #,##0_);_(* \(#,##0\);_(* &quot;-&quot;??_);_(@_)"/>
  </numFmts>
  <fonts count="28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Century Gothic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1" fillId="0" borderId="0"/>
    <xf numFmtId="0" fontId="24" fillId="0" borderId="0"/>
    <xf numFmtId="43" fontId="27" fillId="0" borderId="0" applyFont="0" applyFill="0" applyBorder="0" applyAlignment="0" applyProtection="0"/>
  </cellStyleXfs>
  <cellXfs count="724">
    <xf numFmtId="0" fontId="0" fillId="0" borderId="0" xfId="0"/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Fill="1" applyAlignment="1">
      <alignment horizontal="right"/>
    </xf>
    <xf numFmtId="0" fontId="16" fillId="0" borderId="0" xfId="0" applyFont="1" applyFill="1" applyBorder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0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/>
    <xf numFmtId="3" fontId="10" fillId="0" borderId="0" xfId="0" applyNumberFormat="1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center" vertical="center" wrapText="1"/>
    </xf>
    <xf numFmtId="0" fontId="19" fillId="0" borderId="0" xfId="0" applyFont="1"/>
    <xf numFmtId="3" fontId="19" fillId="0" borderId="39" xfId="0" applyNumberFormat="1" applyFont="1" applyBorder="1" applyAlignment="1">
      <alignment horizontal="right"/>
    </xf>
    <xf numFmtId="3" fontId="19" fillId="0" borderId="40" xfId="0" applyNumberFormat="1" applyFont="1" applyBorder="1" applyAlignment="1">
      <alignment horizontal="right"/>
    </xf>
    <xf numFmtId="3" fontId="19" fillId="0" borderId="19" xfId="0" applyNumberFormat="1" applyFont="1" applyBorder="1" applyAlignment="1">
      <alignment horizontal="right"/>
    </xf>
    <xf numFmtId="3" fontId="19" fillId="0" borderId="10" xfId="0" applyNumberFormat="1" applyFont="1" applyBorder="1" applyAlignment="1">
      <alignment horizontal="right"/>
    </xf>
    <xf numFmtId="3" fontId="19" fillId="0" borderId="8" xfId="0" applyNumberFormat="1" applyFont="1" applyBorder="1" applyAlignment="1">
      <alignment horizontal="right"/>
    </xf>
    <xf numFmtId="3" fontId="19" fillId="0" borderId="16" xfId="0" applyNumberFormat="1" applyFont="1" applyBorder="1" applyAlignment="1">
      <alignment horizontal="right"/>
    </xf>
    <xf numFmtId="3" fontId="19" fillId="0" borderId="41" xfId="0" applyNumberFormat="1" applyFont="1" applyBorder="1" applyAlignment="1">
      <alignment horizontal="right"/>
    </xf>
    <xf numFmtId="3" fontId="19" fillId="0" borderId="28" xfId="0" applyNumberFormat="1" applyFont="1" applyBorder="1" applyAlignment="1">
      <alignment horizontal="right"/>
    </xf>
    <xf numFmtId="3" fontId="19" fillId="0" borderId="21" xfId="0" applyNumberFormat="1" applyFont="1" applyBorder="1" applyAlignment="1">
      <alignment horizontal="right"/>
    </xf>
    <xf numFmtId="3" fontId="19" fillId="0" borderId="12" xfId="0" applyNumberFormat="1" applyFont="1" applyBorder="1" applyAlignment="1">
      <alignment horizontal="right"/>
    </xf>
    <xf numFmtId="3" fontId="19" fillId="0" borderId="37" xfId="0" applyNumberFormat="1" applyFont="1" applyBorder="1" applyAlignment="1">
      <alignment horizontal="right"/>
    </xf>
    <xf numFmtId="0" fontId="19" fillId="0" borderId="1" xfId="0" applyFont="1" applyBorder="1"/>
    <xf numFmtId="0" fontId="19" fillId="0" borderId="25" xfId="0" applyFont="1" applyBorder="1"/>
    <xf numFmtId="0" fontId="19" fillId="0" borderId="25" xfId="0" applyFont="1" applyFill="1" applyBorder="1" applyAlignment="1">
      <alignment horizontal="right"/>
    </xf>
    <xf numFmtId="0" fontId="21" fillId="4" borderId="23" xfId="0" applyFont="1" applyFill="1" applyBorder="1" applyAlignment="1">
      <alignment horizontal="right"/>
    </xf>
    <xf numFmtId="3" fontId="19" fillId="4" borderId="42" xfId="0" applyNumberFormat="1" applyFont="1" applyFill="1" applyBorder="1" applyAlignment="1">
      <alignment horizontal="right"/>
    </xf>
    <xf numFmtId="3" fontId="19" fillId="4" borderId="27" xfId="0" applyNumberFormat="1" applyFont="1" applyFill="1" applyBorder="1" applyAlignment="1">
      <alignment horizontal="right"/>
    </xf>
    <xf numFmtId="3" fontId="19" fillId="4" borderId="26" xfId="0" applyNumberFormat="1" applyFont="1" applyFill="1" applyBorder="1" applyAlignment="1">
      <alignment horizontal="right"/>
    </xf>
    <xf numFmtId="3" fontId="19" fillId="4" borderId="16" xfId="0" applyNumberFormat="1" applyFont="1" applyFill="1" applyBorder="1" applyAlignment="1">
      <alignment horizontal="right"/>
    </xf>
    <xf numFmtId="3" fontId="19" fillId="4" borderId="43" xfId="0" applyNumberFormat="1" applyFont="1" applyFill="1" applyBorder="1" applyAlignment="1">
      <alignment horizontal="right"/>
    </xf>
    <xf numFmtId="3" fontId="19" fillId="4" borderId="30" xfId="0" applyNumberFormat="1" applyFont="1" applyFill="1" applyBorder="1" applyAlignment="1">
      <alignment horizontal="right"/>
    </xf>
    <xf numFmtId="3" fontId="19" fillId="4" borderId="29" xfId="0" applyNumberFormat="1" applyFont="1" applyFill="1" applyBorder="1" applyAlignment="1">
      <alignment horizontal="right"/>
    </xf>
    <xf numFmtId="3" fontId="19" fillId="4" borderId="48" xfId="0" applyNumberFormat="1" applyFont="1" applyFill="1" applyBorder="1" applyAlignment="1">
      <alignment horizontal="right"/>
    </xf>
    <xf numFmtId="3" fontId="19" fillId="4" borderId="35" xfId="0" applyNumberFormat="1" applyFont="1" applyFill="1" applyBorder="1" applyAlignment="1">
      <alignment horizontal="right"/>
    </xf>
    <xf numFmtId="3" fontId="19" fillId="0" borderId="21" xfId="0" applyNumberFormat="1" applyFont="1" applyFill="1" applyBorder="1" applyAlignment="1">
      <alignment horizontal="right"/>
    </xf>
    <xf numFmtId="3" fontId="19" fillId="0" borderId="21" xfId="0" applyNumberFormat="1" applyFont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 wrapText="1"/>
    </xf>
    <xf numFmtId="3" fontId="21" fillId="4" borderId="43" xfId="0" applyNumberFormat="1" applyFont="1" applyFill="1" applyBorder="1" applyAlignment="1">
      <alignment horizontal="right"/>
    </xf>
    <xf numFmtId="0" fontId="21" fillId="4" borderId="21" xfId="0" applyFont="1" applyFill="1" applyBorder="1" applyAlignment="1">
      <alignment horizontal="center" vertical="center" wrapText="1"/>
    </xf>
    <xf numFmtId="3" fontId="23" fillId="0" borderId="0" xfId="0" applyNumberFormat="1" applyFont="1" applyBorder="1"/>
    <xf numFmtId="3" fontId="23" fillId="0" borderId="52" xfId="0" applyNumberFormat="1" applyFont="1" applyBorder="1"/>
    <xf numFmtId="3" fontId="22" fillId="0" borderId="0" xfId="0" applyNumberFormat="1" applyFont="1" applyFill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14" fontId="21" fillId="0" borderId="0" xfId="0" applyNumberFormat="1" applyFont="1" applyFill="1" applyBorder="1" applyAlignment="1">
      <alignment horizontal="center" vertical="center" textRotation="90"/>
    </xf>
    <xf numFmtId="3" fontId="19" fillId="0" borderId="0" xfId="0" applyNumberFormat="1" applyFont="1" applyFill="1" applyBorder="1" applyAlignment="1">
      <alignment horizontal="right"/>
    </xf>
    <xf numFmtId="3" fontId="19" fillId="0" borderId="42" xfId="0" applyNumberFormat="1" applyFont="1" applyBorder="1" applyAlignment="1">
      <alignment horizontal="right"/>
    </xf>
    <xf numFmtId="3" fontId="19" fillId="0" borderId="27" xfId="0" applyNumberFormat="1" applyFont="1" applyBorder="1" applyAlignment="1">
      <alignment horizontal="right"/>
    </xf>
    <xf numFmtId="3" fontId="19" fillId="0" borderId="26" xfId="0" applyNumberFormat="1" applyFont="1" applyBorder="1" applyAlignment="1">
      <alignment horizontal="right"/>
    </xf>
    <xf numFmtId="3" fontId="19" fillId="0" borderId="47" xfId="0" applyNumberFormat="1" applyFont="1" applyBorder="1" applyAlignment="1">
      <alignment horizontal="right"/>
    </xf>
    <xf numFmtId="3" fontId="19" fillId="0" borderId="31" xfId="0" applyNumberFormat="1" applyFont="1" applyBorder="1" applyAlignment="1">
      <alignment horizontal="right"/>
    </xf>
    <xf numFmtId="3" fontId="19" fillId="0" borderId="43" xfId="0" applyNumberFormat="1" applyFont="1" applyBorder="1" applyAlignment="1">
      <alignment horizontal="right"/>
    </xf>
    <xf numFmtId="3" fontId="19" fillId="0" borderId="30" xfId="0" applyNumberFormat="1" applyFont="1" applyBorder="1" applyAlignment="1">
      <alignment horizontal="right"/>
    </xf>
    <xf numFmtId="3" fontId="19" fillId="0" borderId="29" xfId="0" applyNumberFormat="1" applyFont="1" applyBorder="1" applyAlignment="1">
      <alignment horizontal="right"/>
    </xf>
    <xf numFmtId="3" fontId="19" fillId="0" borderId="60" xfId="0" applyNumberFormat="1" applyFont="1" applyBorder="1" applyAlignment="1">
      <alignment horizontal="right"/>
    </xf>
    <xf numFmtId="3" fontId="19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 applyFill="1" applyBorder="1" applyAlignment="1">
      <alignment horizontal="center" vertical="center"/>
    </xf>
    <xf numFmtId="3" fontId="19" fillId="0" borderId="20" xfId="0" applyNumberFormat="1" applyFont="1" applyBorder="1" applyAlignment="1">
      <alignment horizontal="right"/>
    </xf>
    <xf numFmtId="3" fontId="19" fillId="0" borderId="22" xfId="0" applyNumberFormat="1" applyFont="1" applyBorder="1" applyAlignment="1">
      <alignment horizontal="right"/>
    </xf>
    <xf numFmtId="3" fontId="19" fillId="0" borderId="4" xfId="0" applyNumberFormat="1" applyFont="1" applyBorder="1" applyAlignment="1">
      <alignment horizontal="right"/>
    </xf>
    <xf numFmtId="0" fontId="9" fillId="0" borderId="0" xfId="0" applyFont="1"/>
    <xf numFmtId="3" fontId="9" fillId="0" borderId="39" xfId="0" applyNumberFormat="1" applyFont="1" applyBorder="1" applyAlignment="1">
      <alignment horizontal="right"/>
    </xf>
    <xf numFmtId="3" fontId="9" fillId="0" borderId="20" xfId="0" applyNumberFormat="1" applyFont="1" applyBorder="1" applyAlignment="1">
      <alignment horizontal="right"/>
    </xf>
    <xf numFmtId="3" fontId="9" fillId="0" borderId="41" xfId="0" applyNumberFormat="1" applyFont="1" applyBorder="1" applyAlignment="1">
      <alignment horizontal="right"/>
    </xf>
    <xf numFmtId="3" fontId="9" fillId="0" borderId="28" xfId="0" applyNumberFormat="1" applyFont="1" applyBorder="1" applyAlignment="1">
      <alignment horizontal="right"/>
    </xf>
    <xf numFmtId="3" fontId="9" fillId="0" borderId="16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3" fontId="9" fillId="0" borderId="22" xfId="0" applyNumberFormat="1" applyFont="1" applyBorder="1" applyAlignment="1">
      <alignment horizontal="right"/>
    </xf>
    <xf numFmtId="3" fontId="9" fillId="0" borderId="12" xfId="0" applyNumberFormat="1" applyFont="1" applyBorder="1" applyAlignment="1">
      <alignment horizontal="right"/>
    </xf>
    <xf numFmtId="3" fontId="9" fillId="0" borderId="5" xfId="0" applyNumberFormat="1" applyFont="1" applyBorder="1" applyAlignment="1">
      <alignment horizontal="right"/>
    </xf>
    <xf numFmtId="3" fontId="9" fillId="0" borderId="37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0" fontId="9" fillId="0" borderId="0" xfId="0" applyFont="1" applyFill="1" applyAlignment="1">
      <alignment horizontal="right"/>
    </xf>
    <xf numFmtId="3" fontId="9" fillId="0" borderId="40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9" fillId="0" borderId="21" xfId="0" applyNumberFormat="1" applyFont="1" applyFill="1" applyBorder="1" applyAlignment="1">
      <alignment horizontal="right"/>
    </xf>
    <xf numFmtId="3" fontId="9" fillId="0" borderId="21" xfId="0" applyNumberFormat="1" applyFont="1" applyBorder="1" applyAlignment="1">
      <alignment horizontal="center" vertical="center"/>
    </xf>
    <xf numFmtId="14" fontId="9" fillId="0" borderId="0" xfId="0" applyNumberFormat="1" applyFont="1"/>
    <xf numFmtId="3" fontId="9" fillId="4" borderId="41" xfId="0" applyNumberFormat="1" applyFont="1" applyFill="1" applyBorder="1" applyAlignment="1">
      <alignment horizontal="right"/>
    </xf>
    <xf numFmtId="3" fontId="9" fillId="4" borderId="43" xfId="0" applyNumberFormat="1" applyFont="1" applyFill="1" applyBorder="1" applyAlignment="1">
      <alignment horizontal="right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0" xfId="0" applyNumberFormat="1" applyFont="1" applyBorder="1" applyAlignment="1">
      <alignment horizontal="center" vertical="center"/>
    </xf>
    <xf numFmtId="3" fontId="9" fillId="0" borderId="0" xfId="0" applyNumberFormat="1" applyFont="1" applyFill="1" applyBorder="1" applyAlignment="1"/>
    <xf numFmtId="3" fontId="9" fillId="0" borderId="0" xfId="0" applyNumberFormat="1" applyFont="1" applyFill="1" applyBorder="1"/>
    <xf numFmtId="3" fontId="12" fillId="0" borderId="0" xfId="0" applyNumberFormat="1" applyFont="1" applyFill="1" applyBorder="1" applyAlignment="1">
      <alignment wrapText="1"/>
    </xf>
    <xf numFmtId="3" fontId="12" fillId="0" borderId="0" xfId="0" applyNumberFormat="1" applyFont="1" applyFill="1" applyBorder="1" applyAlignment="1"/>
    <xf numFmtId="3" fontId="20" fillId="0" borderId="0" xfId="0" applyNumberFormat="1" applyFont="1" applyFill="1" applyBorder="1"/>
    <xf numFmtId="3" fontId="20" fillId="0" borderId="0" xfId="0" applyNumberFormat="1" applyFont="1" applyFill="1"/>
    <xf numFmtId="3" fontId="20" fillId="0" borderId="0" xfId="0" applyNumberFormat="1" applyFont="1" applyFill="1" applyBorder="1" applyAlignment="1">
      <alignment wrapText="1"/>
    </xf>
    <xf numFmtId="3" fontId="9" fillId="0" borderId="25" xfId="0" applyNumberFormat="1" applyFont="1" applyFill="1" applyBorder="1"/>
    <xf numFmtId="3" fontId="9" fillId="0" borderId="52" xfId="0" applyNumberFormat="1" applyFont="1" applyFill="1" applyBorder="1"/>
    <xf numFmtId="3" fontId="9" fillId="0" borderId="23" xfId="0" applyNumberFormat="1" applyFont="1" applyFill="1" applyBorder="1"/>
    <xf numFmtId="3" fontId="9" fillId="0" borderId="55" xfId="0" applyNumberFormat="1" applyFont="1" applyFill="1" applyBorder="1"/>
    <xf numFmtId="3" fontId="20" fillId="0" borderId="0" xfId="0" applyNumberFormat="1" applyFont="1" applyBorder="1"/>
    <xf numFmtId="3" fontId="20" fillId="0" borderId="0" xfId="0" applyNumberFormat="1" applyFont="1"/>
    <xf numFmtId="3" fontId="9" fillId="0" borderId="0" xfId="0" applyNumberFormat="1" applyFont="1"/>
    <xf numFmtId="3" fontId="9" fillId="0" borderId="0" xfId="0" applyNumberFormat="1" applyFont="1" applyFill="1"/>
    <xf numFmtId="3" fontId="21" fillId="0" borderId="21" xfId="0" applyNumberFormat="1" applyFont="1" applyFill="1" applyBorder="1" applyAlignment="1">
      <alignment horizontal="center" vertical="center"/>
    </xf>
    <xf numFmtId="3" fontId="21" fillId="0" borderId="21" xfId="0" applyNumberFormat="1" applyFont="1" applyBorder="1" applyAlignment="1">
      <alignment horizontal="center" vertical="center"/>
    </xf>
    <xf numFmtId="0" fontId="21" fillId="5" borderId="60" xfId="0" applyFont="1" applyFill="1" applyBorder="1" applyAlignment="1">
      <alignment horizontal="right"/>
    </xf>
    <xf numFmtId="0" fontId="21" fillId="5" borderId="24" xfId="0" applyFont="1" applyFill="1" applyBorder="1" applyAlignment="1">
      <alignment horizontal="right"/>
    </xf>
    <xf numFmtId="3" fontId="19" fillId="5" borderId="43" xfId="0" applyNumberFormat="1" applyFont="1" applyFill="1" applyBorder="1" applyAlignment="1">
      <alignment horizontal="right"/>
    </xf>
    <xf numFmtId="3" fontId="19" fillId="5" borderId="30" xfId="0" applyNumberFormat="1" applyFont="1" applyFill="1" applyBorder="1" applyAlignment="1">
      <alignment horizontal="right"/>
    </xf>
    <xf numFmtId="3" fontId="19" fillId="5" borderId="29" xfId="0" applyNumberFormat="1" applyFont="1" applyFill="1" applyBorder="1" applyAlignment="1">
      <alignment horizontal="right"/>
    </xf>
    <xf numFmtId="3" fontId="19" fillId="5" borderId="35" xfId="0" applyNumberFormat="1" applyFont="1" applyFill="1" applyBorder="1" applyAlignment="1">
      <alignment horizontal="right"/>
    </xf>
    <xf numFmtId="3" fontId="19" fillId="5" borderId="42" xfId="0" applyNumberFormat="1" applyFont="1" applyFill="1" applyBorder="1" applyAlignment="1">
      <alignment horizontal="right"/>
    </xf>
    <xf numFmtId="3" fontId="19" fillId="5" borderId="27" xfId="0" applyNumberFormat="1" applyFont="1" applyFill="1" applyBorder="1" applyAlignment="1">
      <alignment horizontal="right"/>
    </xf>
    <xf numFmtId="3" fontId="19" fillId="5" borderId="26" xfId="0" applyNumberFormat="1" applyFont="1" applyFill="1" applyBorder="1" applyAlignment="1">
      <alignment horizontal="right"/>
    </xf>
    <xf numFmtId="3" fontId="19" fillId="5" borderId="16" xfId="0" applyNumberFormat="1" applyFont="1" applyFill="1" applyBorder="1" applyAlignment="1">
      <alignment horizontal="right"/>
    </xf>
    <xf numFmtId="3" fontId="19" fillId="0" borderId="0" xfId="0" applyNumberFormat="1" applyFont="1"/>
    <xf numFmtId="3" fontId="9" fillId="5" borderId="42" xfId="0" applyNumberFormat="1" applyFont="1" applyFill="1" applyBorder="1" applyAlignment="1">
      <alignment horizontal="right"/>
    </xf>
    <xf numFmtId="3" fontId="9" fillId="5" borderId="41" xfId="0" applyNumberFormat="1" applyFont="1" applyFill="1" applyBorder="1" applyAlignment="1">
      <alignment horizontal="right"/>
    </xf>
    <xf numFmtId="3" fontId="19" fillId="0" borderId="34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164" fontId="19" fillId="0" borderId="63" xfId="0" applyNumberFormat="1" applyFont="1" applyBorder="1" applyAlignment="1">
      <alignment horizontal="right"/>
    </xf>
    <xf numFmtId="164" fontId="8" fillId="0" borderId="62" xfId="0" applyNumberFormat="1" applyFont="1" applyFill="1" applyBorder="1" applyAlignment="1">
      <alignment horizontal="right"/>
    </xf>
    <xf numFmtId="164" fontId="8" fillId="0" borderId="63" xfId="0" applyNumberFormat="1" applyFont="1" applyFill="1" applyBorder="1" applyAlignment="1">
      <alignment horizontal="right"/>
    </xf>
    <xf numFmtId="164" fontId="6" fillId="0" borderId="62" xfId="0" applyNumberFormat="1" applyFont="1" applyFill="1" applyBorder="1" applyAlignment="1">
      <alignment horizontal="right"/>
    </xf>
    <xf numFmtId="164" fontId="19" fillId="0" borderId="63" xfId="0" applyNumberFormat="1" applyFont="1" applyFill="1" applyBorder="1" applyAlignment="1">
      <alignment horizontal="right"/>
    </xf>
    <xf numFmtId="164" fontId="19" fillId="0" borderId="38" xfId="0" applyNumberFormat="1" applyFont="1" applyFill="1" applyBorder="1" applyAlignment="1">
      <alignment horizontal="right"/>
    </xf>
    <xf numFmtId="164" fontId="19" fillId="0" borderId="62" xfId="0" applyNumberFormat="1" applyFont="1" applyFill="1" applyBorder="1" applyAlignment="1">
      <alignment horizontal="right"/>
    </xf>
    <xf numFmtId="164" fontId="19" fillId="0" borderId="62" xfId="0" applyNumberFormat="1" applyFont="1" applyBorder="1" applyAlignment="1">
      <alignment horizontal="right"/>
    </xf>
    <xf numFmtId="164" fontId="17" fillId="0" borderId="0" xfId="0" applyNumberFormat="1" applyFont="1" applyFill="1" applyBorder="1" applyAlignment="1">
      <alignment horizontal="center" vertical="center" textRotation="90"/>
    </xf>
    <xf numFmtId="164" fontId="15" fillId="0" borderId="0" xfId="0" applyNumberFormat="1" applyFont="1"/>
    <xf numFmtId="164" fontId="9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19" fillId="0" borderId="11" xfId="0" applyNumberFormat="1" applyFont="1" applyBorder="1" applyAlignment="1">
      <alignment horizontal="right"/>
    </xf>
    <xf numFmtId="3" fontId="19" fillId="0" borderId="51" xfId="0" applyNumberFormat="1" applyFont="1" applyBorder="1" applyAlignment="1">
      <alignment horizontal="right"/>
    </xf>
    <xf numFmtId="3" fontId="19" fillId="0" borderId="3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19" fillId="0" borderId="65" xfId="0" applyNumberFormat="1" applyFont="1" applyBorder="1" applyAlignment="1">
      <alignment horizontal="right"/>
    </xf>
    <xf numFmtId="3" fontId="19" fillId="0" borderId="36" xfId="0" applyNumberFormat="1" applyFont="1" applyBorder="1" applyAlignment="1">
      <alignment horizontal="right"/>
    </xf>
    <xf numFmtId="164" fontId="6" fillId="0" borderId="63" xfId="0" applyNumberFormat="1" applyFont="1" applyFill="1" applyBorder="1" applyAlignment="1">
      <alignment horizontal="right"/>
    </xf>
    <xf numFmtId="3" fontId="9" fillId="0" borderId="64" xfId="0" applyNumberFormat="1" applyFont="1" applyBorder="1" applyAlignment="1">
      <alignment horizontal="right"/>
    </xf>
    <xf numFmtId="3" fontId="9" fillId="0" borderId="6" xfId="0" applyNumberFormat="1" applyFont="1" applyBorder="1" applyAlignment="1">
      <alignment horizontal="right"/>
    </xf>
    <xf numFmtId="3" fontId="9" fillId="0" borderId="42" xfId="0" applyNumberFormat="1" applyFont="1" applyBorder="1" applyAlignment="1">
      <alignment horizontal="right"/>
    </xf>
    <xf numFmtId="3" fontId="9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164" fontId="1" fillId="0" borderId="62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9" fillId="0" borderId="60" xfId="0" applyNumberFormat="1" applyFont="1" applyBorder="1" applyAlignment="1">
      <alignment horizontal="right"/>
    </xf>
    <xf numFmtId="3" fontId="21" fillId="0" borderId="0" xfId="0" applyNumberFormat="1" applyFont="1" applyFill="1" applyBorder="1" applyAlignment="1">
      <alignment horizontal="center" vertical="center" wrapText="1"/>
    </xf>
    <xf numFmtId="164" fontId="1" fillId="0" borderId="63" xfId="0" applyNumberFormat="1" applyFont="1" applyBorder="1" applyAlignment="1">
      <alignment horizontal="right"/>
    </xf>
    <xf numFmtId="0" fontId="21" fillId="5" borderId="23" xfId="0" applyFont="1" applyFill="1" applyBorder="1" applyAlignment="1">
      <alignment horizontal="right"/>
    </xf>
    <xf numFmtId="3" fontId="21" fillId="4" borderId="69" xfId="0" applyNumberFormat="1" applyFont="1" applyFill="1" applyBorder="1" applyAlignment="1">
      <alignment horizontal="right"/>
    </xf>
    <xf numFmtId="3" fontId="19" fillId="0" borderId="69" xfId="0" applyNumberFormat="1" applyFont="1" applyBorder="1" applyAlignment="1">
      <alignment horizontal="right"/>
    </xf>
    <xf numFmtId="3" fontId="19" fillId="5" borderId="68" xfId="0" applyNumberFormat="1" applyFont="1" applyFill="1" applyBorder="1" applyAlignment="1">
      <alignment horizontal="right"/>
    </xf>
    <xf numFmtId="3" fontId="19" fillId="5" borderId="69" xfId="0" applyNumberFormat="1" applyFont="1" applyFill="1" applyBorder="1" applyAlignment="1">
      <alignment horizontal="right"/>
    </xf>
    <xf numFmtId="3" fontId="19" fillId="4" borderId="68" xfId="0" applyNumberFormat="1" applyFont="1" applyFill="1" applyBorder="1" applyAlignment="1">
      <alignment horizontal="right"/>
    </xf>
    <xf numFmtId="3" fontId="19" fillId="4" borderId="69" xfId="0" applyNumberFormat="1" applyFont="1" applyFill="1" applyBorder="1" applyAlignment="1">
      <alignment horizontal="right"/>
    </xf>
    <xf numFmtId="164" fontId="19" fillId="0" borderId="4" xfId="0" applyNumberFormat="1" applyFont="1" applyBorder="1"/>
    <xf numFmtId="164" fontId="19" fillId="0" borderId="50" xfId="0" applyNumberFormat="1" applyFont="1" applyBorder="1"/>
    <xf numFmtId="164" fontId="19" fillId="0" borderId="4" xfId="0" applyNumberFormat="1" applyFont="1" applyBorder="1" applyAlignment="1">
      <alignment horizontal="right"/>
    </xf>
    <xf numFmtId="164" fontId="19" fillId="0" borderId="17" xfId="0" applyNumberFormat="1" applyFont="1" applyBorder="1" applyAlignment="1">
      <alignment horizontal="right"/>
    </xf>
    <xf numFmtId="164" fontId="19" fillId="0" borderId="8" xfId="0" applyNumberFormat="1" applyFont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19" fillId="0" borderId="50" xfId="0" applyNumberFormat="1" applyFont="1" applyFill="1" applyBorder="1" applyAlignment="1">
      <alignment horizontal="right"/>
    </xf>
    <xf numFmtId="164" fontId="19" fillId="0" borderId="17" xfId="0" applyNumberFormat="1" applyFont="1" applyFill="1" applyBorder="1" applyAlignment="1">
      <alignment horizontal="right"/>
    </xf>
    <xf numFmtId="164" fontId="19" fillId="0" borderId="44" xfId="0" applyNumberFormat="1" applyFont="1" applyFill="1" applyBorder="1" applyAlignment="1">
      <alignment horizontal="right"/>
    </xf>
    <xf numFmtId="3" fontId="9" fillId="0" borderId="63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3" fontId="9" fillId="0" borderId="38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164" fontId="19" fillId="0" borderId="18" xfId="0" applyNumberFormat="1" applyFont="1" applyBorder="1" applyAlignment="1">
      <alignment horizontal="right"/>
    </xf>
    <xf numFmtId="3" fontId="19" fillId="0" borderId="55" xfId="0" applyNumberFormat="1" applyFont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3" fontId="1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Fill="1" applyBorder="1" applyAlignment="1">
      <alignment horizontal="right"/>
    </xf>
    <xf numFmtId="164" fontId="1" fillId="0" borderId="63" xfId="0" applyNumberFormat="1" applyFont="1" applyFill="1" applyBorder="1" applyAlignment="1">
      <alignment horizontal="right"/>
    </xf>
    <xf numFmtId="3" fontId="1" fillId="0" borderId="46" xfId="0" applyNumberFormat="1" applyFont="1" applyBorder="1" applyAlignment="1">
      <alignment horizontal="right"/>
    </xf>
    <xf numFmtId="3" fontId="1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/>
    <xf numFmtId="3" fontId="1" fillId="0" borderId="0" xfId="0" applyNumberFormat="1" applyFont="1" applyFill="1"/>
    <xf numFmtId="41" fontId="19" fillId="0" borderId="21" xfId="0" applyNumberFormat="1" applyFont="1" applyFill="1" applyBorder="1" applyAlignment="1">
      <alignment horizontal="right"/>
    </xf>
    <xf numFmtId="41" fontId="19" fillId="0" borderId="21" xfId="0" applyNumberFormat="1" applyFont="1" applyBorder="1" applyAlignment="1">
      <alignment horizontal="right"/>
    </xf>
    <xf numFmtId="3" fontId="12" fillId="0" borderId="39" xfId="0" applyNumberFormat="1" applyFont="1" applyBorder="1" applyAlignment="1">
      <alignment horizontal="right"/>
    </xf>
    <xf numFmtId="3" fontId="12" fillId="0" borderId="65" xfId="0" applyNumberFormat="1" applyFont="1" applyBorder="1" applyAlignment="1">
      <alignment horizontal="right"/>
    </xf>
    <xf numFmtId="3" fontId="12" fillId="0" borderId="41" xfId="0" applyNumberFormat="1" applyFont="1" applyBorder="1" applyAlignment="1">
      <alignment horizontal="right"/>
    </xf>
    <xf numFmtId="3" fontId="12" fillId="5" borderId="42" xfId="0" applyNumberFormat="1" applyFont="1" applyFill="1" applyBorder="1" applyAlignment="1">
      <alignment horizontal="right"/>
    </xf>
    <xf numFmtId="3" fontId="12" fillId="5" borderId="43" xfId="0" applyNumberFormat="1" applyFont="1" applyFill="1" applyBorder="1" applyAlignment="1">
      <alignment horizontal="right"/>
    </xf>
    <xf numFmtId="3" fontId="12" fillId="4" borderId="42" xfId="0" applyNumberFormat="1" applyFont="1" applyFill="1" applyBorder="1" applyAlignment="1">
      <alignment horizontal="right"/>
    </xf>
    <xf numFmtId="3" fontId="12" fillId="4" borderId="43" xfId="0" applyNumberFormat="1" applyFont="1" applyFill="1" applyBorder="1" applyAlignment="1">
      <alignment horizontal="right"/>
    </xf>
    <xf numFmtId="3" fontId="12" fillId="4" borderId="16" xfId="0" applyNumberFormat="1" applyFont="1" applyFill="1" applyBorder="1" applyAlignment="1">
      <alignment horizontal="right"/>
    </xf>
    <xf numFmtId="3" fontId="12" fillId="4" borderId="35" xfId="0" applyNumberFormat="1" applyFont="1" applyFill="1" applyBorder="1" applyAlignment="1">
      <alignment horizontal="right"/>
    </xf>
    <xf numFmtId="3" fontId="12" fillId="0" borderId="17" xfId="0" applyNumberFormat="1" applyFont="1" applyBorder="1" applyAlignment="1">
      <alignment horizontal="right"/>
    </xf>
    <xf numFmtId="3" fontId="12" fillId="0" borderId="36" xfId="0" applyNumberFormat="1" applyFont="1" applyBorder="1" applyAlignment="1">
      <alignment horizontal="right"/>
    </xf>
    <xf numFmtId="3" fontId="12" fillId="0" borderId="66" xfId="0" applyNumberFormat="1" applyFont="1" applyBorder="1" applyAlignment="1">
      <alignment horizontal="right"/>
    </xf>
    <xf numFmtId="41" fontId="19" fillId="0" borderId="28" xfId="0" applyNumberFormat="1" applyFont="1" applyBorder="1" applyAlignment="1">
      <alignment horizontal="right"/>
    </xf>
    <xf numFmtId="3" fontId="20" fillId="4" borderId="22" xfId="0" applyNumberFormat="1" applyFont="1" applyFill="1" applyBorder="1" applyAlignment="1">
      <alignment horizontal="center" vertical="center"/>
    </xf>
    <xf numFmtId="3" fontId="1" fillId="0" borderId="51" xfId="0" applyNumberFormat="1" applyFont="1" applyBorder="1" applyAlignment="1">
      <alignment horizontal="right"/>
    </xf>
    <xf numFmtId="3" fontId="1" fillId="0" borderId="21" xfId="0" applyNumberFormat="1" applyFont="1" applyBorder="1" applyAlignment="1">
      <alignment horizontal="right"/>
    </xf>
    <xf numFmtId="3" fontId="21" fillId="4" borderId="29" xfId="0" applyNumberFormat="1" applyFont="1" applyFill="1" applyBorder="1" applyAlignment="1">
      <alignment horizontal="right"/>
    </xf>
    <xf numFmtId="3" fontId="1" fillId="0" borderId="26" xfId="0" applyNumberFormat="1" applyFont="1" applyBorder="1" applyAlignment="1">
      <alignment horizontal="right"/>
    </xf>
    <xf numFmtId="3" fontId="1" fillId="0" borderId="0" xfId="0" applyNumberFormat="1" applyFont="1" applyBorder="1" applyAlignment="1">
      <alignment horizontal="center" vertical="center"/>
    </xf>
    <xf numFmtId="3" fontId="21" fillId="4" borderId="22" xfId="0" applyNumberFormat="1" applyFont="1" applyFill="1" applyBorder="1" applyAlignment="1">
      <alignment horizontal="center" vertical="center" wrapText="1"/>
    </xf>
    <xf numFmtId="3" fontId="1" fillId="0" borderId="22" xfId="0" applyNumberFormat="1" applyFont="1" applyBorder="1" applyAlignment="1">
      <alignment horizontal="center" vertical="center"/>
    </xf>
    <xf numFmtId="3" fontId="15" fillId="0" borderId="6" xfId="0" applyNumberFormat="1" applyFont="1" applyFill="1" applyBorder="1" applyAlignment="1">
      <alignment horizontal="right"/>
    </xf>
    <xf numFmtId="3" fontId="21" fillId="5" borderId="21" xfId="0" applyNumberFormat="1" applyFont="1" applyFill="1" applyBorder="1" applyAlignment="1">
      <alignment horizontal="right"/>
    </xf>
    <xf numFmtId="3" fontId="21" fillId="4" borderId="21" xfId="0" applyNumberFormat="1" applyFont="1" applyFill="1" applyBorder="1" applyAlignment="1">
      <alignment horizontal="right"/>
    </xf>
    <xf numFmtId="3" fontId="1" fillId="0" borderId="22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1" fillId="0" borderId="28" xfId="0" applyNumberFormat="1" applyFont="1" applyFill="1" applyBorder="1" applyAlignment="1">
      <alignment horizontal="right"/>
    </xf>
    <xf numFmtId="3" fontId="1" fillId="0" borderId="41" xfId="0" applyNumberFormat="1" applyFont="1" applyBorder="1" applyAlignment="1">
      <alignment horizontal="right"/>
    </xf>
    <xf numFmtId="3" fontId="21" fillId="5" borderId="41" xfId="0" applyNumberFormat="1" applyFont="1" applyFill="1" applyBorder="1" applyAlignment="1">
      <alignment horizontal="right"/>
    </xf>
    <xf numFmtId="3" fontId="21" fillId="4" borderId="41" xfId="0" applyNumberFormat="1" applyFont="1" applyFill="1" applyBorder="1" applyAlignment="1">
      <alignment horizontal="right"/>
    </xf>
    <xf numFmtId="3" fontId="1" fillId="0" borderId="41" xfId="0" applyNumberFormat="1" applyFont="1" applyFill="1" applyBorder="1" applyAlignment="1">
      <alignment horizontal="right"/>
    </xf>
    <xf numFmtId="3" fontId="1" fillId="0" borderId="42" xfId="0" applyNumberFormat="1" applyFont="1" applyBorder="1" applyAlignment="1">
      <alignment horizontal="right"/>
    </xf>
    <xf numFmtId="0" fontId="15" fillId="0" borderId="0" xfId="0" applyFont="1" applyBorder="1"/>
    <xf numFmtId="3" fontId="15" fillId="0" borderId="0" xfId="0" applyNumberFormat="1" applyFont="1" applyBorder="1"/>
    <xf numFmtId="0" fontId="0" fillId="0" borderId="0" xfId="0" applyBorder="1"/>
    <xf numFmtId="164" fontId="1" fillId="0" borderId="46" xfId="0" applyNumberFormat="1" applyFont="1" applyFill="1" applyBorder="1" applyAlignment="1">
      <alignment horizontal="right"/>
    </xf>
    <xf numFmtId="3" fontId="19" fillId="0" borderId="70" xfId="0" applyNumberFormat="1" applyFont="1" applyBorder="1" applyAlignment="1">
      <alignment horizontal="right"/>
    </xf>
    <xf numFmtId="0" fontId="19" fillId="0" borderId="21" xfId="0" applyFont="1" applyFill="1" applyBorder="1" applyAlignment="1">
      <alignment horizontal="right"/>
    </xf>
    <xf numFmtId="164" fontId="19" fillId="0" borderId="45" xfId="0" applyNumberFormat="1" applyFont="1" applyBorder="1" applyAlignment="1">
      <alignment horizontal="right"/>
    </xf>
    <xf numFmtId="164" fontId="19" fillId="0" borderId="1" xfId="0" applyNumberFormat="1" applyFont="1" applyBorder="1" applyAlignment="1">
      <alignment horizontal="right"/>
    </xf>
    <xf numFmtId="164" fontId="19" fillId="0" borderId="46" xfId="0" applyNumberFormat="1" applyFont="1" applyBorder="1" applyAlignment="1">
      <alignment horizontal="right"/>
    </xf>
    <xf numFmtId="164" fontId="19" fillId="0" borderId="10" xfId="0" applyNumberFormat="1" applyFont="1" applyBorder="1" applyAlignment="1">
      <alignment horizontal="right"/>
    </xf>
    <xf numFmtId="164" fontId="1" fillId="0" borderId="1" xfId="0" applyNumberFormat="1" applyFont="1" applyFill="1" applyBorder="1" applyAlignment="1">
      <alignment horizontal="right"/>
    </xf>
    <xf numFmtId="164" fontId="6" fillId="0" borderId="1" xfId="0" applyNumberFormat="1" applyFont="1" applyFill="1" applyBorder="1" applyAlignment="1">
      <alignment horizontal="right"/>
    </xf>
    <xf numFmtId="164" fontId="6" fillId="0" borderId="46" xfId="0" applyNumberFormat="1" applyFont="1" applyFill="1" applyBorder="1" applyAlignment="1">
      <alignment horizontal="right"/>
    </xf>
    <xf numFmtId="164" fontId="19" fillId="0" borderId="46" xfId="0" applyNumberFormat="1" applyFont="1" applyFill="1" applyBorder="1" applyAlignment="1">
      <alignment horizontal="right"/>
    </xf>
    <xf numFmtId="3" fontId="19" fillId="6" borderId="21" xfId="0" applyNumberFormat="1" applyFont="1" applyFill="1" applyBorder="1" applyAlignment="1">
      <alignment horizontal="right"/>
    </xf>
    <xf numFmtId="0" fontId="19" fillId="0" borderId="21" xfId="0" applyFont="1" applyBorder="1" applyAlignment="1">
      <alignment horizontal="right"/>
    </xf>
    <xf numFmtId="3" fontId="1" fillId="6" borderId="21" xfId="0" applyNumberFormat="1" applyFont="1" applyFill="1" applyBorder="1" applyAlignment="1">
      <alignment horizontal="right"/>
    </xf>
    <xf numFmtId="3" fontId="19" fillId="5" borderId="21" xfId="0" applyNumberFormat="1" applyFont="1" applyFill="1" applyBorder="1" applyAlignment="1">
      <alignment horizontal="right"/>
    </xf>
    <xf numFmtId="3" fontId="19" fillId="4" borderId="21" xfId="0" applyNumberFormat="1" applyFont="1" applyFill="1" applyBorder="1" applyAlignment="1">
      <alignment horizontal="right"/>
    </xf>
    <xf numFmtId="3" fontId="19" fillId="6" borderId="26" xfId="0" applyNumberFormat="1" applyFont="1" applyFill="1" applyBorder="1" applyAlignment="1">
      <alignment horizontal="right"/>
    </xf>
    <xf numFmtId="3" fontId="19" fillId="5" borderId="41" xfId="0" applyNumberFormat="1" applyFont="1" applyFill="1" applyBorder="1" applyAlignment="1">
      <alignment horizontal="right"/>
    </xf>
    <xf numFmtId="3" fontId="19" fillId="5" borderId="28" xfId="0" applyNumberFormat="1" applyFont="1" applyFill="1" applyBorder="1" applyAlignment="1">
      <alignment horizontal="right"/>
    </xf>
    <xf numFmtId="3" fontId="19" fillId="4" borderId="41" xfId="0" applyNumberFormat="1" applyFont="1" applyFill="1" applyBorder="1" applyAlignment="1">
      <alignment horizontal="right"/>
    </xf>
    <xf numFmtId="3" fontId="19" fillId="4" borderId="28" xfId="0" applyNumberFormat="1" applyFont="1" applyFill="1" applyBorder="1" applyAlignment="1">
      <alignment horizontal="right"/>
    </xf>
    <xf numFmtId="3" fontId="19" fillId="6" borderId="28" xfId="0" applyNumberFormat="1" applyFont="1" applyFill="1" applyBorder="1" applyAlignment="1">
      <alignment horizontal="right"/>
    </xf>
    <xf numFmtId="3" fontId="1" fillId="4" borderId="43" xfId="0" applyNumberFormat="1" applyFont="1" applyFill="1" applyBorder="1" applyAlignment="1"/>
    <xf numFmtId="38" fontId="12" fillId="0" borderId="41" xfId="0" applyNumberFormat="1" applyFont="1" applyFill="1" applyBorder="1" applyAlignment="1">
      <alignment wrapText="1"/>
    </xf>
    <xf numFmtId="3" fontId="12" fillId="0" borderId="21" xfId="0" applyNumberFormat="1" applyFont="1" applyBorder="1" applyAlignment="1">
      <alignment horizontal="right"/>
    </xf>
    <xf numFmtId="3" fontId="12" fillId="0" borderId="28" xfId="0" applyNumberFormat="1" applyFont="1" applyBorder="1" applyAlignment="1">
      <alignment horizontal="right"/>
    </xf>
    <xf numFmtId="41" fontId="19" fillId="0" borderId="41" xfId="0" applyNumberFormat="1" applyFont="1" applyBorder="1" applyAlignment="1">
      <alignment horizontal="right"/>
    </xf>
    <xf numFmtId="3" fontId="19" fillId="5" borderId="46" xfId="0" applyNumberFormat="1" applyFont="1" applyFill="1" applyBorder="1" applyAlignment="1">
      <alignment horizontal="right"/>
    </xf>
    <xf numFmtId="3" fontId="19" fillId="4" borderId="46" xfId="0" applyNumberFormat="1" applyFont="1" applyFill="1" applyBorder="1" applyAlignment="1">
      <alignment horizontal="right"/>
    </xf>
    <xf numFmtId="41" fontId="19" fillId="0" borderId="41" xfId="0" applyNumberFormat="1" applyFont="1" applyFill="1" applyBorder="1" applyAlignment="1">
      <alignment horizontal="right"/>
    </xf>
    <xf numFmtId="164" fontId="19" fillId="0" borderId="16" xfId="0" applyNumberFormat="1" applyFont="1" applyBorder="1" applyAlignment="1">
      <alignment horizontal="right"/>
    </xf>
    <xf numFmtId="0" fontId="25" fillId="0" borderId="41" xfId="0" applyNumberFormat="1" applyFont="1" applyFill="1" applyBorder="1" applyAlignment="1">
      <alignment vertical="top" wrapText="1" readingOrder="1"/>
    </xf>
    <xf numFmtId="0" fontId="25" fillId="0" borderId="21" xfId="0" applyNumberFormat="1" applyFont="1" applyFill="1" applyBorder="1" applyAlignment="1">
      <alignment vertical="top" wrapText="1" readingOrder="1"/>
    </xf>
    <xf numFmtId="3" fontId="1" fillId="0" borderId="41" xfId="0" applyNumberFormat="1" applyFont="1" applyBorder="1" applyAlignment="1"/>
    <xf numFmtId="3" fontId="1" fillId="5" borderId="41" xfId="0" applyNumberFormat="1" applyFont="1" applyFill="1" applyBorder="1" applyAlignment="1"/>
    <xf numFmtId="3" fontId="1" fillId="4" borderId="41" xfId="0" applyNumberFormat="1" applyFont="1" applyFill="1" applyBorder="1" applyAlignment="1"/>
    <xf numFmtId="3" fontId="1" fillId="0" borderId="22" xfId="0" applyNumberFormat="1" applyFont="1" applyBorder="1" applyAlignment="1"/>
    <xf numFmtId="3" fontId="1" fillId="5" borderId="22" xfId="0" applyNumberFormat="1" applyFont="1" applyFill="1" applyBorder="1" applyAlignment="1"/>
    <xf numFmtId="3" fontId="1" fillId="4" borderId="22" xfId="0" applyNumberFormat="1" applyFont="1" applyFill="1" applyBorder="1" applyAlignment="1"/>
    <xf numFmtId="38" fontId="12" fillId="0" borderId="22" xfId="0" applyNumberFormat="1" applyFont="1" applyFill="1" applyBorder="1" applyAlignment="1">
      <alignment wrapText="1"/>
    </xf>
    <xf numFmtId="3" fontId="1" fillId="4" borderId="73" xfId="0" applyNumberFormat="1" applyFont="1" applyFill="1" applyBorder="1" applyAlignment="1"/>
    <xf numFmtId="3" fontId="1" fillId="0" borderId="17" xfId="0" applyNumberFormat="1" applyFont="1" applyBorder="1" applyAlignment="1"/>
    <xf numFmtId="3" fontId="1" fillId="5" borderId="17" xfId="0" applyNumberFormat="1" applyFont="1" applyFill="1" applyBorder="1" applyAlignment="1"/>
    <xf numFmtId="3" fontId="1" fillId="4" borderId="17" xfId="0" applyNumberFormat="1" applyFont="1" applyFill="1" applyBorder="1" applyAlignment="1"/>
    <xf numFmtId="3" fontId="1" fillId="4" borderId="35" xfId="0" applyNumberFormat="1" applyFont="1" applyFill="1" applyBorder="1" applyAlignment="1"/>
    <xf numFmtId="3" fontId="19" fillId="5" borderId="39" xfId="0" applyNumberFormat="1" applyFont="1" applyFill="1" applyBorder="1" applyAlignment="1">
      <alignment horizontal="right"/>
    </xf>
    <xf numFmtId="0" fontId="0" fillId="0" borderId="72" xfId="0" applyBorder="1"/>
    <xf numFmtId="3" fontId="19" fillId="0" borderId="17" xfId="0" applyNumberFormat="1" applyFont="1" applyBorder="1" applyAlignment="1">
      <alignment horizontal="right"/>
    </xf>
    <xf numFmtId="3" fontId="19" fillId="6" borderId="22" xfId="0" applyNumberFormat="1" applyFont="1" applyFill="1" applyBorder="1" applyAlignment="1">
      <alignment horizontal="right"/>
    </xf>
    <xf numFmtId="3" fontId="19" fillId="0" borderId="73" xfId="0" applyNumberFormat="1" applyFont="1" applyBorder="1" applyAlignment="1">
      <alignment horizontal="right"/>
    </xf>
    <xf numFmtId="3" fontId="19" fillId="4" borderId="70" xfId="0" applyNumberFormat="1" applyFont="1" applyFill="1" applyBorder="1" applyAlignment="1">
      <alignment horizontal="right"/>
    </xf>
    <xf numFmtId="3" fontId="19" fillId="5" borderId="10" xfId="0" applyNumberFormat="1" applyFont="1" applyFill="1" applyBorder="1" applyAlignment="1">
      <alignment horizontal="right"/>
    </xf>
    <xf numFmtId="3" fontId="19" fillId="5" borderId="48" xfId="0" applyNumberFormat="1" applyFont="1" applyFill="1" applyBorder="1" applyAlignment="1">
      <alignment horizontal="right"/>
    </xf>
    <xf numFmtId="3" fontId="19" fillId="4" borderId="47" xfId="0" applyNumberFormat="1" applyFont="1" applyFill="1" applyBorder="1" applyAlignment="1">
      <alignment horizontal="right"/>
    </xf>
    <xf numFmtId="3" fontId="19" fillId="5" borderId="51" xfId="0" applyNumberFormat="1" applyFont="1" applyFill="1" applyBorder="1" applyAlignment="1">
      <alignment horizontal="right"/>
    </xf>
    <xf numFmtId="3" fontId="19" fillId="4" borderId="51" xfId="0" applyNumberFormat="1" applyFont="1" applyFill="1" applyBorder="1" applyAlignment="1">
      <alignment horizontal="right"/>
    </xf>
    <xf numFmtId="3" fontId="19" fillId="0" borderId="51" xfId="0" applyNumberFormat="1" applyFont="1" applyFill="1" applyBorder="1" applyAlignment="1">
      <alignment horizontal="right"/>
    </xf>
    <xf numFmtId="3" fontId="19" fillId="6" borderId="51" xfId="0" applyNumberFormat="1" applyFont="1" applyFill="1" applyBorder="1" applyAlignment="1">
      <alignment horizontal="right"/>
    </xf>
    <xf numFmtId="3" fontId="1" fillId="0" borderId="27" xfId="0" applyNumberFormat="1" applyFont="1" applyBorder="1" applyAlignment="1">
      <alignment horizontal="right"/>
    </xf>
    <xf numFmtId="3" fontId="19" fillId="5" borderId="40" xfId="0" applyNumberFormat="1" applyFont="1" applyFill="1" applyBorder="1" applyAlignment="1">
      <alignment horizontal="right"/>
    </xf>
    <xf numFmtId="3" fontId="19" fillId="6" borderId="73" xfId="0" applyNumberFormat="1" applyFont="1" applyFill="1" applyBorder="1" applyAlignment="1">
      <alignment horizontal="right"/>
    </xf>
    <xf numFmtId="3" fontId="19" fillId="5" borderId="11" xfId="0" applyNumberFormat="1" applyFont="1" applyFill="1" applyBorder="1" applyAlignment="1">
      <alignment horizontal="right"/>
    </xf>
    <xf numFmtId="165" fontId="0" fillId="0" borderId="0" xfId="0" applyNumberFormat="1"/>
    <xf numFmtId="3" fontId="1" fillId="5" borderId="12" xfId="0" applyNumberFormat="1" applyFont="1" applyFill="1" applyBorder="1" applyAlignment="1"/>
    <xf numFmtId="3" fontId="1" fillId="5" borderId="5" xfId="0" applyNumberFormat="1" applyFont="1" applyFill="1" applyBorder="1" applyAlignment="1"/>
    <xf numFmtId="3" fontId="1" fillId="4" borderId="42" xfId="0" applyNumberFormat="1" applyFont="1" applyFill="1" applyBorder="1" applyAlignment="1"/>
    <xf numFmtId="3" fontId="1" fillId="4" borderId="28" xfId="0" applyNumberFormat="1" applyFont="1" applyFill="1" applyBorder="1" applyAlignment="1"/>
    <xf numFmtId="38" fontId="12" fillId="0" borderId="28" xfId="0" applyNumberFormat="1" applyFont="1" applyFill="1" applyBorder="1" applyAlignment="1">
      <alignment wrapText="1"/>
    </xf>
    <xf numFmtId="3" fontId="1" fillId="5" borderId="28" xfId="0" applyNumberFormat="1" applyFont="1" applyFill="1" applyBorder="1" applyAlignment="1"/>
    <xf numFmtId="3" fontId="1" fillId="0" borderId="28" xfId="0" applyNumberFormat="1" applyFont="1" applyBorder="1" applyAlignment="1"/>
    <xf numFmtId="3" fontId="1" fillId="4" borderId="30" xfId="0" applyNumberFormat="1" applyFont="1" applyFill="1" applyBorder="1" applyAlignment="1"/>
    <xf numFmtId="3" fontId="1" fillId="4" borderId="34" xfId="0" applyNumberFormat="1" applyFont="1" applyFill="1" applyBorder="1" applyAlignment="1"/>
    <xf numFmtId="164" fontId="19" fillId="0" borderId="35" xfId="0" applyNumberFormat="1" applyFont="1" applyFill="1" applyBorder="1" applyAlignment="1">
      <alignment horizontal="right"/>
    </xf>
    <xf numFmtId="3" fontId="19" fillId="0" borderId="28" xfId="0" applyNumberFormat="1" applyFont="1" applyFill="1" applyBorder="1" applyAlignment="1">
      <alignment horizontal="right"/>
    </xf>
    <xf numFmtId="164" fontId="1" fillId="0" borderId="16" xfId="0" applyNumberFormat="1" applyFont="1" applyBorder="1" applyAlignment="1">
      <alignment horizontal="right"/>
    </xf>
    <xf numFmtId="164" fontId="1" fillId="0" borderId="17" xfId="0" applyNumberFormat="1" applyFont="1" applyBorder="1" applyAlignment="1">
      <alignment horizontal="right"/>
    </xf>
    <xf numFmtId="3" fontId="1" fillId="0" borderId="61" xfId="0" applyNumberFormat="1" applyFont="1" applyBorder="1" applyAlignment="1">
      <alignment horizontal="right"/>
    </xf>
    <xf numFmtId="3" fontId="1" fillId="0" borderId="74" xfId="0" applyNumberFormat="1" applyFont="1" applyBorder="1" applyAlignment="1">
      <alignment horizontal="right"/>
    </xf>
    <xf numFmtId="3" fontId="1" fillId="0" borderId="62" xfId="0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41" xfId="0" applyFont="1" applyFill="1" applyBorder="1" applyAlignment="1">
      <alignment horizontal="right"/>
    </xf>
    <xf numFmtId="0" fontId="1" fillId="0" borderId="52" xfId="0" applyFont="1" applyFill="1" applyBorder="1" applyAlignment="1">
      <alignment horizontal="right"/>
    </xf>
    <xf numFmtId="1" fontId="19" fillId="0" borderId="41" xfId="0" applyNumberFormat="1" applyFont="1" applyBorder="1" applyAlignment="1">
      <alignment horizontal="right"/>
    </xf>
    <xf numFmtId="1" fontId="19" fillId="5" borderId="21" xfId="0" applyNumberFormat="1" applyFont="1" applyFill="1" applyBorder="1" applyAlignment="1">
      <alignment horizontal="right"/>
    </xf>
    <xf numFmtId="1" fontId="19" fillId="4" borderId="21" xfId="0" applyNumberFormat="1" applyFont="1" applyFill="1" applyBorder="1" applyAlignment="1">
      <alignment horizontal="right"/>
    </xf>
    <xf numFmtId="1" fontId="1" fillId="0" borderId="41" xfId="0" applyNumberFormat="1" applyFont="1" applyFill="1" applyBorder="1" applyAlignment="1">
      <alignment horizontal="right"/>
    </xf>
    <xf numFmtId="1" fontId="6" fillId="0" borderId="41" xfId="0" applyNumberFormat="1" applyFont="1" applyFill="1" applyBorder="1" applyAlignment="1">
      <alignment horizontal="right"/>
    </xf>
    <xf numFmtId="1" fontId="19" fillId="0" borderId="41" xfId="0" applyNumberFormat="1" applyFont="1" applyFill="1" applyBorder="1" applyAlignment="1">
      <alignment horizontal="right"/>
    </xf>
    <xf numFmtId="1" fontId="19" fillId="4" borderId="29" xfId="0" applyNumberFormat="1" applyFont="1" applyFill="1" applyBorder="1" applyAlignment="1">
      <alignment horizontal="right"/>
    </xf>
    <xf numFmtId="1" fontId="6" fillId="0" borderId="25" xfId="0" applyNumberFormat="1" applyFont="1" applyFill="1" applyBorder="1" applyAlignment="1">
      <alignment horizontal="right"/>
    </xf>
    <xf numFmtId="1" fontId="6" fillId="0" borderId="46" xfId="0" applyNumberFormat="1" applyFont="1" applyFill="1" applyBorder="1" applyAlignment="1">
      <alignment horizontal="right"/>
    </xf>
    <xf numFmtId="1" fontId="6" fillId="0" borderId="45" xfId="0" applyNumberFormat="1" applyFont="1" applyFill="1" applyBorder="1" applyAlignment="1">
      <alignment horizontal="right"/>
    </xf>
    <xf numFmtId="1" fontId="21" fillId="4" borderId="25" xfId="0" applyNumberFormat="1" applyFont="1" applyFill="1" applyBorder="1" applyAlignment="1">
      <alignment horizontal="center" vertical="center" textRotation="90"/>
    </xf>
    <xf numFmtId="1" fontId="21" fillId="4" borderId="24" xfId="0" applyNumberFormat="1" applyFont="1" applyFill="1" applyBorder="1" applyAlignment="1">
      <alignment horizontal="center" vertical="center" textRotation="90"/>
    </xf>
    <xf numFmtId="1" fontId="17" fillId="0" borderId="0" xfId="0" applyNumberFormat="1" applyFont="1" applyFill="1" applyBorder="1" applyAlignment="1">
      <alignment horizontal="center" vertical="center" textRotation="90"/>
    </xf>
    <xf numFmtId="1" fontId="15" fillId="0" borderId="0" xfId="0" applyNumberFormat="1" applyFont="1"/>
    <xf numFmtId="3" fontId="1" fillId="0" borderId="26" xfId="0" applyNumberFormat="1" applyFont="1" applyFill="1" applyBorder="1" applyAlignment="1">
      <alignment horizontal="right"/>
    </xf>
    <xf numFmtId="3" fontId="1" fillId="0" borderId="21" xfId="0" applyNumberFormat="1" applyFont="1" applyFill="1" applyBorder="1" applyAlignment="1">
      <alignment horizontal="center" vertical="center" wrapText="1"/>
    </xf>
    <xf numFmtId="3" fontId="20" fillId="4" borderId="16" xfId="0" applyNumberFormat="1" applyFont="1" applyFill="1" applyBorder="1" applyAlignment="1">
      <alignment horizontal="center" vertical="center"/>
    </xf>
    <xf numFmtId="3" fontId="20" fillId="4" borderId="35" xfId="0" applyNumberFormat="1" applyFont="1" applyFill="1" applyBorder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 vertical="center"/>
    </xf>
    <xf numFmtId="3" fontId="1" fillId="0" borderId="42" xfId="0" applyNumberFormat="1" applyFont="1" applyFill="1" applyBorder="1" applyAlignment="1">
      <alignment horizontal="right"/>
    </xf>
    <xf numFmtId="1" fontId="21" fillId="4" borderId="26" xfId="0" applyNumberFormat="1" applyFont="1" applyFill="1" applyBorder="1" applyAlignment="1">
      <alignment horizontal="center" vertical="center" wrapText="1"/>
    </xf>
    <xf numFmtId="3" fontId="21" fillId="4" borderId="26" xfId="0" applyNumberFormat="1" applyFont="1" applyFill="1" applyBorder="1" applyAlignment="1">
      <alignment horizontal="center" vertical="center" wrapText="1"/>
    </xf>
    <xf numFmtId="3" fontId="21" fillId="4" borderId="34" xfId="0" applyNumberFormat="1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21" fillId="4" borderId="43" xfId="0" applyFont="1" applyFill="1" applyBorder="1" applyAlignment="1">
      <alignment horizontal="center" vertical="center" wrapText="1"/>
    </xf>
    <xf numFmtId="3" fontId="1" fillId="0" borderId="29" xfId="0" applyNumberFormat="1" applyFont="1" applyFill="1" applyBorder="1" applyAlignment="1">
      <alignment horizontal="center" vertical="center" wrapText="1"/>
    </xf>
    <xf numFmtId="3" fontId="1" fillId="0" borderId="29" xfId="0" applyNumberFormat="1" applyFont="1" applyBorder="1" applyAlignment="1">
      <alignment horizontal="center" vertical="center"/>
    </xf>
    <xf numFmtId="3" fontId="1" fillId="0" borderId="73" xfId="0" applyNumberFormat="1" applyFont="1" applyBorder="1" applyAlignment="1">
      <alignment horizontal="center" vertical="center"/>
    </xf>
    <xf numFmtId="3" fontId="21" fillId="0" borderId="40" xfId="0" applyNumberFormat="1" applyFont="1" applyBorder="1" applyAlignment="1">
      <alignment horizontal="center" vertical="center"/>
    </xf>
    <xf numFmtId="3" fontId="21" fillId="0" borderId="30" xfId="0" applyNumberFormat="1" applyFont="1" applyFill="1" applyBorder="1" applyAlignment="1">
      <alignment horizontal="center" vertical="center"/>
    </xf>
    <xf numFmtId="3" fontId="20" fillId="0" borderId="32" xfId="0" applyNumberFormat="1" applyFont="1" applyFill="1" applyBorder="1" applyAlignment="1">
      <alignment horizontal="center" vertical="center"/>
    </xf>
    <xf numFmtId="3" fontId="20" fillId="0" borderId="33" xfId="0" applyNumberFormat="1" applyFont="1" applyFill="1" applyBorder="1" applyAlignment="1">
      <alignment horizontal="center" vertical="center"/>
    </xf>
    <xf numFmtId="3" fontId="21" fillId="4" borderId="29" xfId="0" applyNumberFormat="1" applyFont="1" applyFill="1" applyBorder="1" applyAlignment="1">
      <alignment horizontal="center" vertical="center" wrapText="1"/>
    </xf>
    <xf numFmtId="3" fontId="12" fillId="0" borderId="18" xfId="0" applyNumberFormat="1" applyFont="1" applyBorder="1" applyAlignment="1">
      <alignment horizontal="right"/>
    </xf>
    <xf numFmtId="3" fontId="12" fillId="5" borderId="16" xfId="0" applyNumberFormat="1" applyFont="1" applyFill="1" applyBorder="1" applyAlignment="1">
      <alignment horizontal="right"/>
    </xf>
    <xf numFmtId="3" fontId="12" fillId="5" borderId="35" xfId="0" applyNumberFormat="1" applyFont="1" applyFill="1" applyBorder="1" applyAlignment="1">
      <alignment horizontal="right"/>
    </xf>
    <xf numFmtId="3" fontId="12" fillId="0" borderId="8" xfId="0" applyNumberFormat="1" applyFont="1" applyBorder="1" applyAlignment="1">
      <alignment horizontal="right"/>
    </xf>
    <xf numFmtId="3" fontId="12" fillId="0" borderId="16" xfId="0" applyNumberFormat="1" applyFont="1" applyBorder="1" applyAlignment="1">
      <alignment horizontal="right"/>
    </xf>
    <xf numFmtId="164" fontId="19" fillId="0" borderId="0" xfId="0" applyNumberFormat="1" applyFont="1" applyBorder="1"/>
    <xf numFmtId="164" fontId="19" fillId="0" borderId="2" xfId="0" applyNumberFormat="1" applyFont="1" applyBorder="1"/>
    <xf numFmtId="3" fontId="19" fillId="5" borderId="22" xfId="0" applyNumberFormat="1" applyFont="1" applyFill="1" applyBorder="1" applyAlignment="1">
      <alignment horizontal="right"/>
    </xf>
    <xf numFmtId="3" fontId="19" fillId="4" borderId="22" xfId="0" applyNumberFormat="1" applyFont="1" applyFill="1" applyBorder="1" applyAlignment="1">
      <alignment horizontal="right"/>
    </xf>
    <xf numFmtId="3" fontId="19" fillId="4" borderId="73" xfId="0" applyNumberFormat="1" applyFont="1" applyFill="1" applyBorder="1" applyAlignment="1">
      <alignment horizontal="right"/>
    </xf>
    <xf numFmtId="164" fontId="6" fillId="0" borderId="50" xfId="0" applyNumberFormat="1" applyFont="1" applyFill="1" applyBorder="1" applyAlignment="1">
      <alignment horizontal="right"/>
    </xf>
    <xf numFmtId="164" fontId="19" fillId="0" borderId="47" xfId="0" applyNumberFormat="1" applyFont="1" applyBorder="1" applyAlignment="1">
      <alignment horizontal="right"/>
    </xf>
    <xf numFmtId="3" fontId="19" fillId="6" borderId="42" xfId="0" applyNumberFormat="1" applyFont="1" applyFill="1" applyBorder="1" applyAlignment="1">
      <alignment horizontal="right"/>
    </xf>
    <xf numFmtId="3" fontId="19" fillId="6" borderId="27" xfId="0" applyNumberFormat="1" applyFont="1" applyFill="1" applyBorder="1" applyAlignment="1">
      <alignment horizontal="right"/>
    </xf>
    <xf numFmtId="3" fontId="19" fillId="6" borderId="41" xfId="0" applyNumberFormat="1" applyFont="1" applyFill="1" applyBorder="1" applyAlignment="1">
      <alignment horizontal="right"/>
    </xf>
    <xf numFmtId="1" fontId="19" fillId="5" borderId="19" xfId="0" applyNumberFormat="1" applyFont="1" applyFill="1" applyBorder="1" applyAlignment="1">
      <alignment horizontal="right"/>
    </xf>
    <xf numFmtId="3" fontId="19" fillId="5" borderId="19" xfId="0" applyNumberFormat="1" applyFont="1" applyFill="1" applyBorder="1" applyAlignment="1">
      <alignment horizontal="right"/>
    </xf>
    <xf numFmtId="3" fontId="19" fillId="5" borderId="20" xfId="0" applyNumberFormat="1" applyFont="1" applyFill="1" applyBorder="1" applyAlignment="1">
      <alignment horizontal="right"/>
    </xf>
    <xf numFmtId="1" fontId="19" fillId="0" borderId="42" xfId="0" applyNumberFormat="1" applyFont="1" applyBorder="1" applyAlignment="1">
      <alignment horizontal="right"/>
    </xf>
    <xf numFmtId="1" fontId="19" fillId="0" borderId="43" xfId="0" applyNumberFormat="1" applyFont="1" applyBorder="1" applyAlignment="1">
      <alignment horizontal="right"/>
    </xf>
    <xf numFmtId="3" fontId="19" fillId="6" borderId="29" xfId="0" applyNumberFormat="1" applyFont="1" applyFill="1" applyBorder="1" applyAlignment="1">
      <alignment horizontal="right"/>
    </xf>
    <xf numFmtId="0" fontId="19" fillId="0" borderId="29" xfId="0" applyFont="1" applyBorder="1" applyAlignment="1">
      <alignment horizontal="right"/>
    </xf>
    <xf numFmtId="3" fontId="19" fillId="6" borderId="43" xfId="0" applyNumberFormat="1" applyFont="1" applyFill="1" applyBorder="1" applyAlignment="1">
      <alignment horizontal="right"/>
    </xf>
    <xf numFmtId="3" fontId="19" fillId="6" borderId="30" xfId="0" applyNumberFormat="1" applyFont="1" applyFill="1" applyBorder="1" applyAlignment="1">
      <alignment horizontal="right"/>
    </xf>
    <xf numFmtId="1" fontId="19" fillId="4" borderId="9" xfId="0" applyNumberFormat="1" applyFont="1" applyFill="1" applyBorder="1" applyAlignment="1">
      <alignment horizontal="right"/>
    </xf>
    <xf numFmtId="3" fontId="19" fillId="4" borderId="9" xfId="0" applyNumberFormat="1" applyFont="1" applyFill="1" applyBorder="1" applyAlignment="1">
      <alignment horizontal="right"/>
    </xf>
    <xf numFmtId="3" fontId="19" fillId="4" borderId="5" xfId="0" applyNumberFormat="1" applyFont="1" applyFill="1" applyBorder="1" applyAlignment="1">
      <alignment horizontal="right"/>
    </xf>
    <xf numFmtId="3" fontId="19" fillId="4" borderId="12" xfId="0" applyNumberFormat="1" applyFont="1" applyFill="1" applyBorder="1" applyAlignment="1">
      <alignment horizontal="right"/>
    </xf>
    <xf numFmtId="3" fontId="19" fillId="4" borderId="37" xfId="0" applyNumberFormat="1" applyFont="1" applyFill="1" applyBorder="1" applyAlignment="1">
      <alignment horizontal="right"/>
    </xf>
    <xf numFmtId="3" fontId="19" fillId="4" borderId="75" xfId="0" applyNumberFormat="1" applyFont="1" applyFill="1" applyBorder="1" applyAlignment="1">
      <alignment horizontal="right"/>
    </xf>
    <xf numFmtId="3" fontId="19" fillId="4" borderId="45" xfId="0" applyNumberFormat="1" applyFont="1" applyFill="1" applyBorder="1" applyAlignment="1">
      <alignment horizontal="right"/>
    </xf>
    <xf numFmtId="3" fontId="19" fillId="0" borderId="26" xfId="0" applyNumberFormat="1" applyFont="1" applyFill="1" applyBorder="1" applyAlignment="1">
      <alignment horizontal="right"/>
    </xf>
    <xf numFmtId="3" fontId="19" fillId="0" borderId="34" xfId="0" applyNumberFormat="1" applyFont="1" applyFill="1" applyBorder="1" applyAlignment="1">
      <alignment horizontal="right"/>
    </xf>
    <xf numFmtId="3" fontId="19" fillId="0" borderId="77" xfId="0" applyNumberFormat="1" applyFont="1" applyFill="1" applyBorder="1" applyAlignment="1">
      <alignment horizontal="right"/>
    </xf>
    <xf numFmtId="0" fontId="19" fillId="0" borderId="29" xfId="0" applyFont="1" applyFill="1" applyBorder="1" applyAlignment="1">
      <alignment horizontal="right"/>
    </xf>
    <xf numFmtId="1" fontId="1" fillId="0" borderId="42" xfId="0" applyNumberFormat="1" applyFont="1" applyFill="1" applyBorder="1" applyAlignment="1">
      <alignment horizontal="right"/>
    </xf>
    <xf numFmtId="1" fontId="1" fillId="0" borderId="43" xfId="0" applyNumberFormat="1" applyFont="1" applyFill="1" applyBorder="1" applyAlignment="1">
      <alignment horizontal="right"/>
    </xf>
    <xf numFmtId="1" fontId="6" fillId="0" borderId="42" xfId="0" applyNumberFormat="1" applyFont="1" applyFill="1" applyBorder="1" applyAlignment="1">
      <alignment horizontal="right"/>
    </xf>
    <xf numFmtId="3" fontId="19" fillId="6" borderId="77" xfId="0" applyNumberFormat="1" applyFont="1" applyFill="1" applyBorder="1" applyAlignment="1">
      <alignment horizontal="right"/>
    </xf>
    <xf numFmtId="1" fontId="6" fillId="0" borderId="43" xfId="0" applyNumberFormat="1" applyFont="1" applyFill="1" applyBorder="1" applyAlignment="1">
      <alignment horizontal="right"/>
    </xf>
    <xf numFmtId="3" fontId="19" fillId="6" borderId="70" xfId="0" applyNumberFormat="1" applyFont="1" applyFill="1" applyBorder="1" applyAlignment="1">
      <alignment horizontal="right"/>
    </xf>
    <xf numFmtId="0" fontId="19" fillId="0" borderId="26" xfId="0" applyFont="1" applyFill="1" applyBorder="1" applyAlignment="1">
      <alignment horizontal="right"/>
    </xf>
    <xf numFmtId="0" fontId="19" fillId="0" borderId="34" xfId="0" applyFont="1" applyFill="1" applyBorder="1" applyAlignment="1">
      <alignment horizontal="right"/>
    </xf>
    <xf numFmtId="1" fontId="19" fillId="0" borderId="43" xfId="0" applyNumberFormat="1" applyFont="1" applyFill="1" applyBorder="1" applyAlignment="1">
      <alignment horizontal="right"/>
    </xf>
    <xf numFmtId="3" fontId="19" fillId="0" borderId="29" xfId="0" applyNumberFormat="1" applyFont="1" applyFill="1" applyBorder="1" applyAlignment="1">
      <alignment horizontal="right"/>
    </xf>
    <xf numFmtId="3" fontId="1" fillId="0" borderId="70" xfId="0" applyNumberFormat="1" applyFont="1" applyBorder="1" applyAlignment="1">
      <alignment horizontal="right"/>
    </xf>
    <xf numFmtId="164" fontId="1" fillId="0" borderId="10" xfId="0" applyNumberFormat="1" applyFont="1" applyBorder="1" applyAlignment="1">
      <alignment horizontal="right"/>
    </xf>
    <xf numFmtId="164" fontId="1" fillId="0" borderId="46" xfId="0" applyNumberFormat="1" applyFont="1" applyBorder="1" applyAlignment="1">
      <alignment horizontal="right"/>
    </xf>
    <xf numFmtId="0" fontId="1" fillId="0" borderId="41" xfId="0" applyNumberFormat="1" applyFont="1" applyBorder="1" applyAlignment="1">
      <alignment horizontal="right"/>
    </xf>
    <xf numFmtId="0" fontId="1" fillId="6" borderId="21" xfId="0" applyFont="1" applyFill="1" applyBorder="1" applyAlignment="1">
      <alignment vertical="center" wrapText="1"/>
    </xf>
    <xf numFmtId="0" fontId="19" fillId="0" borderId="0" xfId="0" applyFont="1" applyFill="1"/>
    <xf numFmtId="1" fontId="1" fillId="0" borderId="39" xfId="0" applyNumberFormat="1" applyFont="1" applyBorder="1" applyAlignment="1">
      <alignment horizontal="right"/>
    </xf>
    <xf numFmtId="3" fontId="19" fillId="6" borderId="19" xfId="0" applyNumberFormat="1" applyFont="1" applyFill="1" applyBorder="1" applyAlignment="1">
      <alignment horizontal="right"/>
    </xf>
    <xf numFmtId="164" fontId="1" fillId="0" borderId="25" xfId="0" applyNumberFormat="1" applyFont="1" applyFill="1" applyBorder="1" applyAlignment="1">
      <alignment horizontal="right" vertical="center" wrapText="1"/>
    </xf>
    <xf numFmtId="41" fontId="19" fillId="0" borderId="28" xfId="0" applyNumberFormat="1" applyFont="1" applyFill="1" applyBorder="1" applyAlignment="1">
      <alignment horizontal="right"/>
    </xf>
    <xf numFmtId="3" fontId="19" fillId="0" borderId="41" xfId="0" applyNumberFormat="1" applyFont="1" applyFill="1" applyBorder="1" applyAlignment="1">
      <alignment horizontal="right"/>
    </xf>
    <xf numFmtId="0" fontId="1" fillId="4" borderId="25" xfId="0" applyFont="1" applyFill="1" applyBorder="1" applyAlignment="1">
      <alignment horizontal="right" vertical="center" wrapText="1"/>
    </xf>
    <xf numFmtId="0" fontId="1" fillId="0" borderId="25" xfId="0" applyFont="1" applyFill="1" applyBorder="1" applyAlignment="1">
      <alignment horizontal="right" vertical="center" wrapText="1"/>
    </xf>
    <xf numFmtId="164" fontId="1" fillId="0" borderId="50" xfId="0" applyNumberFormat="1" applyFont="1" applyFill="1" applyBorder="1" applyAlignment="1">
      <alignment horizontal="right" vertical="center" wrapText="1"/>
    </xf>
    <xf numFmtId="164" fontId="1" fillId="0" borderId="25" xfId="0" applyNumberFormat="1" applyFont="1" applyFill="1" applyBorder="1" applyAlignment="1">
      <alignment horizontal="center" vertical="center" wrapText="1"/>
    </xf>
    <xf numFmtId="0" fontId="1" fillId="0" borderId="63" xfId="0" applyFont="1" applyFill="1" applyBorder="1" applyAlignment="1">
      <alignment horizontal="right" vertical="center" wrapText="1"/>
    </xf>
    <xf numFmtId="0" fontId="1" fillId="0" borderId="6" xfId="0" applyFont="1" applyFill="1" applyBorder="1" applyAlignment="1">
      <alignment horizontal="right" vertical="center" wrapText="1"/>
    </xf>
    <xf numFmtId="3" fontId="1" fillId="0" borderId="50" xfId="0" applyNumberFormat="1" applyFont="1" applyFill="1" applyBorder="1" applyAlignment="1">
      <alignment horizontal="right" vertical="center"/>
    </xf>
    <xf numFmtId="3" fontId="19" fillId="6" borderId="39" xfId="0" applyNumberFormat="1" applyFont="1" applyFill="1" applyBorder="1" applyAlignment="1">
      <alignment horizontal="right"/>
    </xf>
    <xf numFmtId="3" fontId="19" fillId="6" borderId="40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 wrapText="1"/>
    </xf>
    <xf numFmtId="0" fontId="1" fillId="0" borderId="71" xfId="0" applyFont="1" applyFill="1" applyBorder="1" applyAlignment="1">
      <alignment horizontal="right" wrapText="1"/>
    </xf>
    <xf numFmtId="0" fontId="1" fillId="0" borderId="0" xfId="0" applyFont="1" applyFill="1" applyBorder="1" applyAlignment="1">
      <alignment horizontal="right" wrapText="1"/>
    </xf>
    <xf numFmtId="0" fontId="1" fillId="0" borderId="52" xfId="0" applyFont="1" applyFill="1" applyBorder="1" applyAlignment="1">
      <alignment horizontal="right" wrapText="1"/>
    </xf>
    <xf numFmtId="0" fontId="1" fillId="0" borderId="63" xfId="0" applyFont="1" applyFill="1" applyBorder="1" applyAlignment="1">
      <alignment horizontal="right" wrapText="1"/>
    </xf>
    <xf numFmtId="164" fontId="1" fillId="0" borderId="50" xfId="0" applyNumberFormat="1" applyFont="1" applyFill="1" applyBorder="1" applyAlignment="1">
      <alignment horizontal="right" wrapText="1"/>
    </xf>
    <xf numFmtId="3" fontId="1" fillId="0" borderId="6" xfId="0" applyNumberFormat="1" applyFont="1" applyFill="1" applyBorder="1" applyAlignment="1">
      <alignment horizontal="right" wrapText="1"/>
    </xf>
    <xf numFmtId="3" fontId="1" fillId="0" borderId="63" xfId="0" applyNumberFormat="1" applyFont="1" applyFill="1" applyBorder="1" applyAlignment="1">
      <alignment horizontal="right" wrapText="1"/>
    </xf>
    <xf numFmtId="3" fontId="1" fillId="0" borderId="64" xfId="0" applyNumberFormat="1" applyFont="1" applyFill="1" applyBorder="1" applyAlignment="1">
      <alignment horizontal="right" wrapText="1"/>
    </xf>
    <xf numFmtId="3" fontId="1" fillId="0" borderId="71" xfId="0" applyNumberFormat="1" applyFont="1" applyFill="1" applyBorder="1" applyAlignment="1">
      <alignment horizontal="right" wrapText="1"/>
    </xf>
    <xf numFmtId="3" fontId="12" fillId="5" borderId="8" xfId="0" applyNumberFormat="1" applyFont="1" applyFill="1" applyBorder="1" applyAlignment="1">
      <alignment horizontal="right"/>
    </xf>
    <xf numFmtId="1" fontId="1" fillId="0" borderId="79" xfId="0" applyNumberFormat="1" applyFont="1" applyFill="1" applyBorder="1" applyAlignment="1">
      <alignment horizontal="right" wrapText="1"/>
    </xf>
    <xf numFmtId="0" fontId="1" fillId="0" borderId="78" xfId="0" applyFont="1" applyFill="1" applyBorder="1" applyAlignment="1">
      <alignment horizontal="right" wrapText="1"/>
    </xf>
    <xf numFmtId="0" fontId="1" fillId="0" borderId="81" xfId="0" applyFont="1" applyFill="1" applyBorder="1" applyAlignment="1">
      <alignment horizontal="right" wrapText="1"/>
    </xf>
    <xf numFmtId="0" fontId="1" fillId="0" borderId="79" xfId="0" applyFont="1" applyFill="1" applyBorder="1" applyAlignment="1">
      <alignment horizontal="right" wrapText="1"/>
    </xf>
    <xf numFmtId="0" fontId="1" fillId="0" borderId="80" xfId="0" applyFont="1" applyFill="1" applyBorder="1" applyAlignment="1">
      <alignment horizontal="right" wrapText="1"/>
    </xf>
    <xf numFmtId="0" fontId="1" fillId="0" borderId="67" xfId="0" applyFont="1" applyFill="1" applyBorder="1" applyAlignment="1">
      <alignment horizontal="right" wrapText="1"/>
    </xf>
    <xf numFmtId="0" fontId="1" fillId="0" borderId="38" xfId="0" applyFont="1" applyFill="1" applyBorder="1" applyAlignment="1">
      <alignment horizontal="right" wrapText="1"/>
    </xf>
    <xf numFmtId="3" fontId="1" fillId="0" borderId="0" xfId="0" applyNumberFormat="1" applyFont="1"/>
    <xf numFmtId="0" fontId="1" fillId="0" borderId="50" xfId="0" applyFont="1" applyFill="1" applyBorder="1" applyAlignment="1">
      <alignment horizontal="right"/>
    </xf>
    <xf numFmtId="1" fontId="1" fillId="0" borderId="52" xfId="0" applyNumberFormat="1" applyFont="1" applyFill="1" applyBorder="1" applyAlignment="1">
      <alignment horizontal="right"/>
    </xf>
    <xf numFmtId="3" fontId="1" fillId="0" borderId="0" xfId="0" applyNumberFormat="1" applyFont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 wrapText="1"/>
    </xf>
    <xf numFmtId="3" fontId="21" fillId="4" borderId="60" xfId="0" applyNumberFormat="1" applyFont="1" applyFill="1" applyBorder="1" applyAlignment="1">
      <alignment horizontal="center" vertical="center"/>
    </xf>
    <xf numFmtId="3" fontId="21" fillId="0" borderId="0" xfId="0" applyNumberFormat="1" applyFont="1" applyAlignment="1">
      <alignment horizontal="center" vertical="center"/>
    </xf>
    <xf numFmtId="3" fontId="21" fillId="0" borderId="0" xfId="0" applyNumberFormat="1" applyFont="1" applyBorder="1" applyAlignment="1">
      <alignment horizontal="center" vertical="center"/>
    </xf>
    <xf numFmtId="3" fontId="21" fillId="0" borderId="55" xfId="0" applyNumberFormat="1" applyFont="1" applyBorder="1" applyAlignment="1">
      <alignment horizontal="center" vertical="center"/>
    </xf>
    <xf numFmtId="3" fontId="1" fillId="0" borderId="23" xfId="0" applyNumberFormat="1" applyFont="1" applyFill="1" applyBorder="1"/>
    <xf numFmtId="3" fontId="1" fillId="0" borderId="55" xfId="0" applyNumberFormat="1" applyFont="1" applyFill="1" applyBorder="1"/>
    <xf numFmtId="0" fontId="21" fillId="4" borderId="22" xfId="0" applyFont="1" applyFill="1" applyBorder="1" applyAlignment="1">
      <alignment horizontal="center" vertical="center" wrapText="1"/>
    </xf>
    <xf numFmtId="164" fontId="21" fillId="4" borderId="9" xfId="0" applyNumberFormat="1" applyFont="1" applyFill="1" applyBorder="1" applyAlignment="1">
      <alignment horizontal="center" vertical="center" wrapText="1"/>
    </xf>
    <xf numFmtId="3" fontId="1" fillId="0" borderId="16" xfId="0" applyNumberFormat="1" applyFont="1" applyBorder="1" applyAlignment="1">
      <alignment horizontal="center" vertical="center"/>
    </xf>
    <xf numFmtId="3" fontId="1" fillId="0" borderId="35" xfId="0" applyNumberFormat="1" applyFont="1" applyBorder="1" applyAlignment="1">
      <alignment horizontal="center" vertical="center"/>
    </xf>
    <xf numFmtId="3" fontId="21" fillId="0" borderId="27" xfId="0" applyNumberFormat="1" applyFont="1" applyFill="1" applyBorder="1" applyAlignment="1">
      <alignment horizontal="center" vertical="center"/>
    </xf>
    <xf numFmtId="3" fontId="21" fillId="0" borderId="28" xfId="0" applyNumberFormat="1" applyFont="1" applyBorder="1" applyAlignment="1">
      <alignment horizontal="center" vertical="center"/>
    </xf>
    <xf numFmtId="3" fontId="1" fillId="0" borderId="51" xfId="0" applyNumberFormat="1" applyFont="1" applyFill="1" applyBorder="1" applyAlignment="1">
      <alignment horizontal="right"/>
    </xf>
    <xf numFmtId="3" fontId="1" fillId="6" borderId="77" xfId="0" applyNumberFormat="1" applyFont="1" applyFill="1" applyBorder="1" applyAlignment="1">
      <alignment horizontal="right"/>
    </xf>
    <xf numFmtId="3" fontId="1" fillId="6" borderId="51" xfId="0" applyNumberFormat="1" applyFont="1" applyFill="1" applyBorder="1" applyAlignment="1">
      <alignment horizontal="right"/>
    </xf>
    <xf numFmtId="3" fontId="1" fillId="6" borderId="70" xfId="0" applyNumberFormat="1" applyFont="1" applyFill="1" applyBorder="1" applyAlignment="1">
      <alignment horizontal="right"/>
    </xf>
    <xf numFmtId="3" fontId="1" fillId="6" borderId="28" xfId="0" applyNumberFormat="1" applyFont="1" applyFill="1" applyBorder="1" applyAlignment="1">
      <alignment horizontal="right"/>
    </xf>
    <xf numFmtId="3" fontId="1" fillId="6" borderId="30" xfId="0" applyNumberFormat="1" applyFont="1" applyFill="1" applyBorder="1" applyAlignment="1">
      <alignment horizontal="right"/>
    </xf>
    <xf numFmtId="0" fontId="1" fillId="0" borderId="21" xfId="0" applyFont="1" applyBorder="1" applyAlignment="1">
      <alignment horizontal="right"/>
    </xf>
    <xf numFmtId="3" fontId="1" fillId="6" borderId="41" xfId="0" applyNumberFormat="1" applyFont="1" applyFill="1" applyBorder="1" applyAlignment="1">
      <alignment horizontal="right"/>
    </xf>
    <xf numFmtId="3" fontId="1" fillId="6" borderId="43" xfId="0" applyNumberFormat="1" applyFont="1" applyFill="1" applyBorder="1" applyAlignment="1">
      <alignment horizontal="right"/>
    </xf>
    <xf numFmtId="164" fontId="6" fillId="0" borderId="35" xfId="0" applyNumberFormat="1" applyFont="1" applyFill="1" applyBorder="1" applyAlignment="1">
      <alignment horizontal="right"/>
    </xf>
    <xf numFmtId="0" fontId="21" fillId="4" borderId="41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44" xfId="0" applyFont="1" applyFill="1" applyBorder="1" applyAlignment="1">
      <alignment horizontal="center" vertical="center" wrapText="1"/>
    </xf>
    <xf numFmtId="0" fontId="21" fillId="4" borderId="43" xfId="0" applyFont="1" applyFill="1" applyBorder="1" applyAlignment="1">
      <alignment horizontal="center" vertical="center" wrapText="1"/>
    </xf>
    <xf numFmtId="3" fontId="1" fillId="6" borderId="22" xfId="0" applyNumberFormat="1" applyFont="1" applyFill="1" applyBorder="1" applyAlignment="1">
      <alignment horizontal="right"/>
    </xf>
    <xf numFmtId="3" fontId="19" fillId="6" borderId="34" xfId="0" applyNumberFormat="1" applyFont="1" applyFill="1" applyBorder="1" applyAlignment="1">
      <alignment horizontal="right"/>
    </xf>
    <xf numFmtId="3" fontId="19" fillId="5" borderId="65" xfId="0" applyNumberFormat="1" applyFont="1" applyFill="1" applyBorder="1" applyAlignment="1">
      <alignment horizontal="right"/>
    </xf>
    <xf numFmtId="3" fontId="19" fillId="5" borderId="36" xfId="0" applyNumberFormat="1" applyFont="1" applyFill="1" applyBorder="1" applyAlignment="1">
      <alignment horizontal="right"/>
    </xf>
    <xf numFmtId="0" fontId="1" fillId="0" borderId="17" xfId="0" applyFont="1" applyFill="1" applyBorder="1" applyAlignment="1">
      <alignment horizontal="right" vertical="center" wrapText="1"/>
    </xf>
    <xf numFmtId="3" fontId="19" fillId="0" borderId="42" xfId="0" applyNumberFormat="1" applyFont="1" applyFill="1" applyBorder="1" applyAlignment="1">
      <alignment horizontal="right"/>
    </xf>
    <xf numFmtId="3" fontId="21" fillId="4" borderId="27" xfId="0" applyNumberFormat="1" applyFont="1" applyFill="1" applyBorder="1" applyAlignment="1">
      <alignment horizontal="center" vertical="center"/>
    </xf>
    <xf numFmtId="3" fontId="19" fillId="0" borderId="28" xfId="0" applyNumberFormat="1" applyFont="1" applyBorder="1" applyAlignment="1">
      <alignment horizontal="center" vertical="center"/>
    </xf>
    <xf numFmtId="3" fontId="19" fillId="0" borderId="29" xfId="0" applyNumberFormat="1" applyFont="1" applyBorder="1" applyAlignment="1">
      <alignment horizontal="center" vertical="center"/>
    </xf>
    <xf numFmtId="3" fontId="19" fillId="0" borderId="30" xfId="0" applyNumberFormat="1" applyFont="1" applyBorder="1" applyAlignment="1">
      <alignment horizontal="center" vertical="center"/>
    </xf>
    <xf numFmtId="3" fontId="21" fillId="0" borderId="28" xfId="0" applyNumberFormat="1" applyFont="1" applyFill="1" applyBorder="1" applyAlignment="1">
      <alignment horizontal="center" vertical="center"/>
    </xf>
    <xf numFmtId="3" fontId="20" fillId="4" borderId="41" xfId="0" applyNumberFormat="1" applyFont="1" applyFill="1" applyBorder="1" applyAlignment="1">
      <alignment horizontal="center" vertical="center"/>
    </xf>
    <xf numFmtId="3" fontId="20" fillId="4" borderId="43" xfId="0" applyNumberFormat="1" applyFont="1" applyFill="1" applyBorder="1" applyAlignment="1">
      <alignment horizontal="center" vertical="center"/>
    </xf>
    <xf numFmtId="3" fontId="21" fillId="7" borderId="0" xfId="0" applyNumberFormat="1" applyFont="1" applyFill="1"/>
    <xf numFmtId="3" fontId="1" fillId="7" borderId="0" xfId="0" applyNumberFormat="1" applyFont="1" applyFill="1"/>
    <xf numFmtId="3" fontId="21" fillId="5" borderId="22" xfId="0" applyNumberFormat="1" applyFont="1" applyFill="1" applyBorder="1" applyAlignment="1">
      <alignment horizontal="right"/>
    </xf>
    <xf numFmtId="3" fontId="21" fillId="5" borderId="46" xfId="0" applyNumberFormat="1" applyFont="1" applyFill="1" applyBorder="1" applyAlignment="1">
      <alignment horizontal="right"/>
    </xf>
    <xf numFmtId="3" fontId="21" fillId="4" borderId="22" xfId="0" applyNumberFormat="1" applyFont="1" applyFill="1" applyBorder="1" applyAlignment="1">
      <alignment horizontal="right"/>
    </xf>
    <xf numFmtId="3" fontId="21" fillId="4" borderId="73" xfId="0" applyNumberFormat="1" applyFont="1" applyFill="1" applyBorder="1" applyAlignment="1">
      <alignment horizontal="right"/>
    </xf>
    <xf numFmtId="3" fontId="21" fillId="5" borderId="36" xfId="0" applyNumberFormat="1" applyFont="1" applyFill="1" applyBorder="1" applyAlignment="1">
      <alignment horizontal="right"/>
    </xf>
    <xf numFmtId="3" fontId="21" fillId="4" borderId="36" xfId="0" applyNumberFormat="1" applyFont="1" applyFill="1" applyBorder="1" applyAlignment="1">
      <alignment horizontal="right"/>
    </xf>
    <xf numFmtId="3" fontId="21" fillId="5" borderId="28" xfId="0" applyNumberFormat="1" applyFont="1" applyFill="1" applyBorder="1" applyAlignment="1">
      <alignment horizontal="right"/>
    </xf>
    <xf numFmtId="3" fontId="21" fillId="5" borderId="17" xfId="0" applyNumberFormat="1" applyFont="1" applyFill="1" applyBorder="1" applyAlignment="1">
      <alignment horizontal="right"/>
    </xf>
    <xf numFmtId="3" fontId="21" fillId="4" borderId="28" xfId="0" applyNumberFormat="1" applyFont="1" applyFill="1" applyBorder="1" applyAlignment="1">
      <alignment horizontal="right"/>
    </xf>
    <xf numFmtId="3" fontId="21" fillId="4" borderId="30" xfId="0" applyNumberFormat="1" applyFont="1" applyFill="1" applyBorder="1" applyAlignment="1">
      <alignment horizontal="right"/>
    </xf>
    <xf numFmtId="3" fontId="1" fillId="0" borderId="25" xfId="0" applyNumberFormat="1" applyFont="1" applyFill="1" applyBorder="1" applyAlignment="1">
      <alignment horizontal="right" wrapText="1"/>
    </xf>
    <xf numFmtId="3" fontId="21" fillId="4" borderId="46" xfId="0" applyNumberFormat="1" applyFont="1" applyFill="1" applyBorder="1" applyAlignment="1">
      <alignment horizontal="right"/>
    </xf>
    <xf numFmtId="3" fontId="1" fillId="0" borderId="47" xfId="0" applyNumberFormat="1" applyFont="1" applyBorder="1" applyAlignment="1">
      <alignment horizontal="right"/>
    </xf>
    <xf numFmtId="3" fontId="21" fillId="4" borderId="48" xfId="0" applyNumberFormat="1" applyFont="1" applyFill="1" applyBorder="1" applyAlignment="1">
      <alignment horizontal="right"/>
    </xf>
    <xf numFmtId="3" fontId="19" fillId="0" borderId="68" xfId="0" applyNumberFormat="1" applyFont="1" applyBorder="1" applyAlignment="1">
      <alignment horizontal="right"/>
    </xf>
    <xf numFmtId="3" fontId="19" fillId="0" borderId="36" xfId="0" applyNumberFormat="1" applyFont="1" applyFill="1" applyBorder="1" applyAlignment="1">
      <alignment horizontal="right"/>
    </xf>
    <xf numFmtId="41" fontId="19" fillId="0" borderId="36" xfId="0" applyNumberFormat="1" applyFont="1" applyBorder="1" applyAlignment="1">
      <alignment horizontal="right"/>
    </xf>
    <xf numFmtId="166" fontId="1" fillId="0" borderId="36" xfId="3" applyNumberFormat="1" applyFont="1" applyBorder="1" applyAlignment="1"/>
    <xf numFmtId="0" fontId="1" fillId="0" borderId="41" xfId="0" applyFont="1" applyBorder="1" applyAlignment="1">
      <alignment horizontal="right"/>
    </xf>
    <xf numFmtId="3" fontId="1" fillId="0" borderId="39" xfId="0" applyNumberFormat="1" applyFont="1" applyFill="1" applyBorder="1" applyAlignment="1">
      <alignment horizontal="right" wrapText="1"/>
    </xf>
    <xf numFmtId="3" fontId="1" fillId="0" borderId="19" xfId="0" applyNumberFormat="1" applyFont="1" applyFill="1" applyBorder="1" applyAlignment="1">
      <alignment horizontal="right" wrapText="1"/>
    </xf>
    <xf numFmtId="0" fontId="1" fillId="0" borderId="40" xfId="0" applyFont="1" applyFill="1" applyBorder="1" applyAlignment="1">
      <alignment horizontal="right" wrapText="1"/>
    </xf>
    <xf numFmtId="3" fontId="21" fillId="4" borderId="17" xfId="0" applyNumberFormat="1" applyFont="1" applyFill="1" applyBorder="1" applyAlignment="1">
      <alignment horizontal="right"/>
    </xf>
    <xf numFmtId="3" fontId="21" fillId="4" borderId="35" xfId="0" applyNumberFormat="1" applyFont="1" applyFill="1" applyBorder="1" applyAlignment="1">
      <alignment horizontal="right"/>
    </xf>
    <xf numFmtId="3" fontId="19" fillId="4" borderId="31" xfId="0" applyNumberFormat="1" applyFont="1" applyFill="1" applyBorder="1" applyAlignment="1">
      <alignment horizontal="right"/>
    </xf>
    <xf numFmtId="164" fontId="1" fillId="0" borderId="25" xfId="0" applyNumberFormat="1" applyFont="1" applyBorder="1" applyAlignment="1">
      <alignment horizontal="right"/>
    </xf>
    <xf numFmtId="1" fontId="19" fillId="5" borderId="26" xfId="0" applyNumberFormat="1" applyFont="1" applyFill="1" applyBorder="1" applyAlignment="1">
      <alignment horizontal="right"/>
    </xf>
    <xf numFmtId="3" fontId="19" fillId="5" borderId="34" xfId="0" applyNumberFormat="1" applyFont="1" applyFill="1" applyBorder="1" applyAlignment="1">
      <alignment horizontal="right"/>
    </xf>
    <xf numFmtId="3" fontId="19" fillId="4" borderId="17" xfId="0" applyNumberFormat="1" applyFont="1" applyFill="1" applyBorder="1" applyAlignment="1">
      <alignment horizontal="right"/>
    </xf>
    <xf numFmtId="3" fontId="19" fillId="0" borderId="19" xfId="0" applyNumberFormat="1" applyFont="1" applyFill="1" applyBorder="1" applyAlignment="1">
      <alignment horizontal="right"/>
    </xf>
    <xf numFmtId="3" fontId="21" fillId="4" borderId="12" xfId="0" applyNumberFormat="1" applyFont="1" applyFill="1" applyBorder="1" applyAlignment="1">
      <alignment horizontal="right"/>
    </xf>
    <xf numFmtId="3" fontId="19" fillId="0" borderId="7" xfId="0" applyNumberFormat="1" applyFont="1" applyBorder="1" applyAlignment="1">
      <alignment horizontal="right"/>
    </xf>
    <xf numFmtId="3" fontId="19" fillId="0" borderId="35" xfId="0" applyNumberFormat="1" applyFont="1" applyBorder="1" applyAlignment="1">
      <alignment horizontal="right"/>
    </xf>
    <xf numFmtId="3" fontId="19" fillId="4" borderId="82" xfId="0" applyNumberFormat="1" applyFont="1" applyFill="1" applyBorder="1" applyAlignment="1">
      <alignment horizontal="right"/>
    </xf>
    <xf numFmtId="3" fontId="19" fillId="5" borderId="8" xfId="0" applyNumberFormat="1" applyFont="1" applyFill="1" applyBorder="1" applyAlignment="1">
      <alignment horizontal="right"/>
    </xf>
    <xf numFmtId="3" fontId="19" fillId="0" borderId="22" xfId="0" applyNumberFormat="1" applyFont="1" applyFill="1" applyBorder="1" applyAlignment="1">
      <alignment horizontal="right"/>
    </xf>
    <xf numFmtId="3" fontId="19" fillId="4" borderId="18" xfId="0" applyNumberFormat="1" applyFont="1" applyFill="1" applyBorder="1" applyAlignment="1">
      <alignment horizontal="right"/>
    </xf>
    <xf numFmtId="3" fontId="1" fillId="0" borderId="73" xfId="0" applyNumberFormat="1" applyFont="1" applyBorder="1" applyAlignment="1">
      <alignment horizontal="right"/>
    </xf>
    <xf numFmtId="3" fontId="19" fillId="4" borderId="4" xfId="0" applyNumberFormat="1" applyFont="1" applyFill="1" applyBorder="1" applyAlignment="1">
      <alignment horizontal="right"/>
    </xf>
    <xf numFmtId="3" fontId="1" fillId="6" borderId="34" xfId="0" applyNumberFormat="1" applyFont="1" applyFill="1" applyBorder="1" applyAlignment="1">
      <alignment horizontal="right"/>
    </xf>
    <xf numFmtId="3" fontId="1" fillId="6" borderId="73" xfId="0" applyNumberFormat="1" applyFont="1" applyFill="1" applyBorder="1" applyAlignment="1">
      <alignment horizontal="right"/>
    </xf>
    <xf numFmtId="3" fontId="19" fillId="0" borderId="44" xfId="0" applyNumberFormat="1" applyFont="1" applyBorder="1" applyAlignment="1">
      <alignment horizontal="right"/>
    </xf>
    <xf numFmtId="0" fontId="25" fillId="0" borderId="22" xfId="0" applyNumberFormat="1" applyFont="1" applyFill="1" applyBorder="1" applyAlignment="1">
      <alignment vertical="top" wrapText="1" readingOrder="1"/>
    </xf>
    <xf numFmtId="3" fontId="1" fillId="0" borderId="34" xfId="0" applyNumberFormat="1" applyFont="1" applyBorder="1" applyAlignment="1">
      <alignment horizontal="right"/>
    </xf>
    <xf numFmtId="3" fontId="1" fillId="0" borderId="16" xfId="0" applyNumberFormat="1" applyFont="1" applyBorder="1" applyAlignment="1">
      <alignment horizontal="right"/>
    </xf>
    <xf numFmtId="3" fontId="1" fillId="0" borderId="17" xfId="0" applyNumberFormat="1" applyFont="1" applyBorder="1" applyAlignment="1">
      <alignment horizontal="right"/>
    </xf>
    <xf numFmtId="0" fontId="12" fillId="0" borderId="26" xfId="0" applyFont="1" applyFill="1" applyBorder="1" applyAlignment="1">
      <alignment vertical="center" wrapText="1"/>
    </xf>
    <xf numFmtId="0" fontId="12" fillId="6" borderId="26" xfId="0" applyFont="1" applyFill="1" applyBorder="1" applyAlignment="1">
      <alignment vertical="center" wrapText="1"/>
    </xf>
    <xf numFmtId="3" fontId="10" fillId="0" borderId="4" xfId="0" applyNumberFormat="1" applyFont="1" applyFill="1" applyBorder="1" applyAlignment="1">
      <alignment horizontal="center" vertical="center" wrapText="1"/>
    </xf>
    <xf numFmtId="3" fontId="12" fillId="0" borderId="44" xfId="0" applyNumberFormat="1" applyFont="1" applyFill="1" applyBorder="1"/>
    <xf numFmtId="3" fontId="10" fillId="3" borderId="4" xfId="0" applyNumberFormat="1" applyFont="1" applyFill="1" applyBorder="1" applyAlignment="1">
      <alignment horizontal="center" vertical="center"/>
    </xf>
    <xf numFmtId="3" fontId="9" fillId="0" borderId="44" xfId="0" applyNumberFormat="1" applyFont="1" applyBorder="1" applyAlignment="1"/>
    <xf numFmtId="3" fontId="12" fillId="3" borderId="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>
      <alignment horizontal="center" vertical="center"/>
    </xf>
    <xf numFmtId="3" fontId="12" fillId="0" borderId="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/>
    <xf numFmtId="0" fontId="1" fillId="0" borderId="44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3" fontId="23" fillId="0" borderId="4" xfId="0" applyNumberFormat="1" applyFont="1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  <xf numFmtId="3" fontId="10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/>
    <xf numFmtId="3" fontId="10" fillId="0" borderId="44" xfId="0" applyNumberFormat="1" applyFont="1" applyFill="1" applyBorder="1" applyAlignment="1">
      <alignment horizontal="center" vertical="center" wrapText="1"/>
    </xf>
    <xf numFmtId="3" fontId="22" fillId="2" borderId="25" xfId="0" applyNumberFormat="1" applyFont="1" applyFill="1" applyBorder="1" applyAlignment="1">
      <alignment horizontal="center"/>
    </xf>
    <xf numFmtId="3" fontId="9" fillId="0" borderId="52" xfId="0" applyNumberFormat="1" applyFont="1" applyBorder="1" applyAlignment="1">
      <alignment horizontal="center"/>
    </xf>
    <xf numFmtId="14" fontId="1" fillId="0" borderId="22" xfId="0" applyNumberFormat="1" applyFont="1" applyBorder="1" applyAlignment="1">
      <alignment horizontal="center"/>
    </xf>
    <xf numFmtId="14" fontId="9" fillId="0" borderId="36" xfId="0" applyNumberFormat="1" applyFont="1" applyBorder="1" applyAlignment="1">
      <alignment horizontal="center"/>
    </xf>
    <xf numFmtId="3" fontId="22" fillId="2" borderId="24" xfId="0" applyNumberFormat="1" applyFont="1" applyFill="1" applyBorder="1" applyAlignment="1">
      <alignment horizontal="center"/>
    </xf>
    <xf numFmtId="3" fontId="9" fillId="0" borderId="49" xfId="0" applyNumberFormat="1" applyFont="1" applyBorder="1" applyAlignment="1">
      <alignment horizontal="center"/>
    </xf>
    <xf numFmtId="3" fontId="9" fillId="0" borderId="57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1" fillId="0" borderId="36" xfId="0" applyNumberFormat="1" applyFont="1" applyBorder="1" applyAlignment="1">
      <alignment horizontal="center"/>
    </xf>
    <xf numFmtId="3" fontId="12" fillId="3" borderId="44" xfId="0" applyNumberFormat="1" applyFont="1" applyFill="1" applyBorder="1" applyAlignment="1">
      <alignment wrapText="1"/>
    </xf>
    <xf numFmtId="3" fontId="10" fillId="0" borderId="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/>
    <xf numFmtId="3" fontId="10" fillId="0" borderId="44" xfId="0" applyNumberFormat="1" applyFont="1" applyFill="1" applyBorder="1" applyAlignment="1">
      <alignment horizontal="center" vertical="center"/>
    </xf>
    <xf numFmtId="3" fontId="13" fillId="4" borderId="4" xfId="0" applyNumberFormat="1" applyFont="1" applyFill="1" applyBorder="1" applyAlignment="1">
      <alignment horizontal="center" vertical="center" wrapText="1"/>
    </xf>
    <xf numFmtId="3" fontId="20" fillId="4" borderId="44" xfId="0" applyNumberFormat="1" applyFont="1" applyFill="1" applyBorder="1" applyAlignment="1">
      <alignment wrapText="1"/>
    </xf>
    <xf numFmtId="3" fontId="13" fillId="0" borderId="4" xfId="0" applyNumberFormat="1" applyFont="1" applyFill="1" applyBorder="1" applyAlignment="1">
      <alignment horizontal="center" vertical="center" wrapText="1"/>
    </xf>
    <xf numFmtId="3" fontId="20" fillId="0" borderId="44" xfId="0" applyNumberFormat="1" applyFont="1" applyFill="1" applyBorder="1" applyAlignment="1">
      <alignment wrapText="1"/>
    </xf>
    <xf numFmtId="0" fontId="10" fillId="3" borderId="4" xfId="0" applyFont="1" applyFill="1" applyBorder="1" applyAlignment="1">
      <alignment horizontal="center" vertical="center" wrapText="1"/>
    </xf>
    <xf numFmtId="0" fontId="12" fillId="3" borderId="44" xfId="0" applyFont="1" applyFill="1" applyBorder="1" applyAlignment="1">
      <alignment wrapText="1"/>
    </xf>
    <xf numFmtId="3" fontId="22" fillId="2" borderId="23" xfId="0" applyNumberFormat="1" applyFont="1" applyFill="1" applyBorder="1" applyAlignment="1">
      <alignment horizontal="center"/>
    </xf>
    <xf numFmtId="3" fontId="9" fillId="0" borderId="55" xfId="0" applyNumberFormat="1" applyFont="1" applyBorder="1" applyAlignment="1">
      <alignment horizontal="center"/>
    </xf>
    <xf numFmtId="3" fontId="9" fillId="0" borderId="56" xfId="0" applyNumberFormat="1" applyFont="1" applyBorder="1" applyAlignment="1">
      <alignment horizontal="center"/>
    </xf>
    <xf numFmtId="0" fontId="12" fillId="0" borderId="44" xfId="0" applyFont="1" applyBorder="1" applyAlignment="1">
      <alignment horizontal="center" vertical="center"/>
    </xf>
    <xf numFmtId="3" fontId="12" fillId="0" borderId="44" xfId="0" applyNumberFormat="1" applyFont="1" applyFill="1" applyBorder="1" applyAlignment="1">
      <alignment wrapText="1"/>
    </xf>
    <xf numFmtId="3" fontId="12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3" fontId="12" fillId="3" borderId="50" xfId="0" applyNumberFormat="1" applyFont="1" applyFill="1" applyBorder="1" applyAlignment="1">
      <alignment horizontal="center" vertical="center"/>
    </xf>
    <xf numFmtId="3" fontId="13" fillId="4" borderId="4" xfId="0" applyNumberFormat="1" applyFont="1" applyFill="1" applyBorder="1" applyAlignment="1">
      <alignment horizontal="center" vertical="center"/>
    </xf>
    <xf numFmtId="3" fontId="20" fillId="4" borderId="44" xfId="0" applyNumberFormat="1" applyFont="1" applyFill="1" applyBorder="1" applyAlignment="1"/>
    <xf numFmtId="3" fontId="13" fillId="4" borderId="50" xfId="0" applyNumberFormat="1" applyFont="1" applyFill="1" applyBorder="1" applyAlignment="1">
      <alignment horizontal="center" vertical="center"/>
    </xf>
    <xf numFmtId="3" fontId="12" fillId="0" borderId="50" xfId="0" applyNumberFormat="1" applyFont="1" applyFill="1" applyBorder="1" applyAlignment="1">
      <alignment horizontal="center" vertical="center"/>
    </xf>
    <xf numFmtId="3" fontId="1" fillId="0" borderId="44" xfId="0" applyNumberFormat="1" applyFont="1" applyFill="1" applyBorder="1" applyAlignment="1"/>
    <xf numFmtId="3" fontId="9" fillId="0" borderId="44" xfId="0" applyNumberFormat="1" applyFont="1" applyFill="1" applyBorder="1" applyAlignment="1"/>
    <xf numFmtId="3" fontId="13" fillId="4" borderId="50" xfId="0" applyNumberFormat="1" applyFont="1" applyFill="1" applyBorder="1" applyAlignment="1">
      <alignment horizontal="center" vertical="center" wrapText="1"/>
    </xf>
    <xf numFmtId="3" fontId="13" fillId="4" borderId="44" xfId="0" applyNumberFormat="1" applyFont="1" applyFill="1" applyBorder="1" applyAlignment="1">
      <alignment horizontal="center" vertical="center" wrapText="1"/>
    </xf>
    <xf numFmtId="3" fontId="13" fillId="0" borderId="50" xfId="0" applyNumberFormat="1" applyFont="1" applyFill="1" applyBorder="1" applyAlignment="1">
      <alignment horizontal="center" vertical="center" wrapText="1"/>
    </xf>
    <xf numFmtId="3" fontId="13" fillId="0" borderId="44" xfId="0" applyNumberFormat="1" applyFont="1" applyFill="1" applyBorder="1" applyAlignment="1">
      <alignment horizontal="center" vertical="center" wrapText="1"/>
    </xf>
    <xf numFmtId="3" fontId="21" fillId="4" borderId="4" xfId="0" applyNumberFormat="1" applyFont="1" applyFill="1" applyBorder="1" applyAlignment="1">
      <alignment horizontal="center" vertical="center" wrapText="1"/>
    </xf>
    <xf numFmtId="3" fontId="21" fillId="4" borderId="50" xfId="0" applyNumberFormat="1" applyFont="1" applyFill="1" applyBorder="1" applyAlignment="1">
      <alignment horizontal="center" vertical="center" wrapText="1"/>
    </xf>
    <xf numFmtId="3" fontId="21" fillId="4" borderId="44" xfId="0" applyNumberFormat="1" applyFont="1" applyFill="1" applyBorder="1" applyAlignment="1">
      <alignment horizontal="center" vertical="center" wrapText="1"/>
    </xf>
    <xf numFmtId="3" fontId="21" fillId="0" borderId="4" xfId="0" applyNumberFormat="1" applyFont="1" applyBorder="1" applyAlignment="1">
      <alignment horizontal="center" vertical="center"/>
    </xf>
    <xf numFmtId="3" fontId="21" fillId="0" borderId="50" xfId="0" applyNumberFormat="1" applyFont="1" applyBorder="1" applyAlignment="1">
      <alignment horizontal="center" vertical="center"/>
    </xf>
    <xf numFmtId="3" fontId="21" fillId="0" borderId="44" xfId="0" applyNumberFormat="1" applyFont="1" applyBorder="1" applyAlignment="1">
      <alignment horizontal="center" vertical="center"/>
    </xf>
    <xf numFmtId="3" fontId="21" fillId="0" borderId="3" xfId="0" applyNumberFormat="1" applyFont="1" applyBorder="1" applyAlignment="1">
      <alignment horizontal="center" vertical="center"/>
    </xf>
    <xf numFmtId="3" fontId="21" fillId="0" borderId="52" xfId="0" applyNumberFormat="1" applyFont="1" applyBorder="1" applyAlignment="1">
      <alignment horizontal="center" vertical="center"/>
    </xf>
    <xf numFmtId="3" fontId="21" fillId="0" borderId="49" xfId="0" applyNumberFormat="1" applyFont="1" applyBorder="1" applyAlignment="1">
      <alignment horizontal="center" vertical="center"/>
    </xf>
    <xf numFmtId="3" fontId="1" fillId="0" borderId="52" xfId="0" applyNumberFormat="1" applyFont="1" applyBorder="1" applyAlignment="1">
      <alignment horizontal="center"/>
    </xf>
    <xf numFmtId="3" fontId="1" fillId="0" borderId="57" xfId="0" applyNumberFormat="1" applyFont="1" applyBorder="1" applyAlignment="1">
      <alignment horizontal="center"/>
    </xf>
    <xf numFmtId="3" fontId="1" fillId="0" borderId="56" xfId="0" applyNumberFormat="1" applyFont="1" applyBorder="1" applyAlignment="1">
      <alignment horizontal="center"/>
    </xf>
    <xf numFmtId="3" fontId="1" fillId="0" borderId="44" xfId="0" applyNumberFormat="1" applyFont="1" applyBorder="1" applyAlignment="1"/>
    <xf numFmtId="3" fontId="22" fillId="2" borderId="58" xfId="0" applyNumberFormat="1" applyFont="1" applyFill="1" applyBorder="1" applyAlignment="1">
      <alignment horizontal="center"/>
    </xf>
    <xf numFmtId="3" fontId="23" fillId="0" borderId="59" xfId="0" applyNumberFormat="1" applyFont="1" applyBorder="1" applyAlignment="1">
      <alignment horizontal="center"/>
    </xf>
    <xf numFmtId="3" fontId="10" fillId="0" borderId="53" xfId="0" applyNumberFormat="1" applyFont="1" applyFill="1" applyBorder="1" applyAlignment="1">
      <alignment horizontal="center" vertical="center"/>
    </xf>
    <xf numFmtId="3" fontId="23" fillId="0" borderId="54" xfId="0" applyNumberFormat="1" applyFont="1" applyBorder="1" applyAlignment="1">
      <alignment horizontal="center" vertical="center"/>
    </xf>
    <xf numFmtId="3" fontId="23" fillId="0" borderId="55" xfId="0" applyNumberFormat="1" applyFont="1" applyBorder="1" applyAlignment="1">
      <alignment horizontal="center"/>
    </xf>
    <xf numFmtId="3" fontId="11" fillId="3" borderId="44" xfId="0" applyNumberFormat="1" applyFont="1" applyFill="1" applyBorder="1" applyAlignment="1">
      <alignment wrapText="1"/>
    </xf>
    <xf numFmtId="3" fontId="11" fillId="3" borderId="44" xfId="0" applyNumberFormat="1" applyFont="1" applyFill="1" applyBorder="1" applyAlignment="1"/>
    <xf numFmtId="3" fontId="14" fillId="4" borderId="44" xfId="0" applyNumberFormat="1" applyFont="1" applyFill="1" applyBorder="1" applyAlignment="1">
      <alignment wrapText="1"/>
    </xf>
    <xf numFmtId="3" fontId="14" fillId="0" borderId="44" xfId="0" applyNumberFormat="1" applyFont="1" applyFill="1" applyBorder="1" applyAlignment="1">
      <alignment wrapText="1"/>
    </xf>
    <xf numFmtId="0" fontId="11" fillId="3" borderId="44" xfId="0" applyFont="1" applyFill="1" applyBorder="1" applyAlignment="1">
      <alignment wrapText="1"/>
    </xf>
    <xf numFmtId="3" fontId="23" fillId="0" borderId="44" xfId="0" applyNumberFormat="1" applyFont="1" applyBorder="1" applyAlignment="1"/>
    <xf numFmtId="3" fontId="12" fillId="3" borderId="1" xfId="0" applyNumberFormat="1" applyFont="1" applyFill="1" applyBorder="1" applyAlignment="1">
      <alignment horizontal="center" vertical="center" wrapText="1"/>
    </xf>
    <xf numFmtId="3" fontId="12" fillId="3" borderId="24" xfId="0" applyNumberFormat="1" applyFont="1" applyFill="1" applyBorder="1" applyAlignment="1">
      <alignment horizontal="center" vertical="center" wrapText="1"/>
    </xf>
    <xf numFmtId="3" fontId="14" fillId="4" borderId="44" xfId="0" applyNumberFormat="1" applyFont="1" applyFill="1" applyBorder="1" applyAlignment="1"/>
    <xf numFmtId="0" fontId="21" fillId="4" borderId="42" xfId="0" applyFont="1" applyFill="1" applyBorder="1" applyAlignment="1">
      <alignment horizontal="center" vertical="center" wrapText="1"/>
    </xf>
    <xf numFmtId="0" fontId="21" fillId="4" borderId="26" xfId="0" applyFont="1" applyFill="1" applyBorder="1" applyAlignment="1">
      <alignment horizontal="center" vertical="center" wrapText="1"/>
    </xf>
    <xf numFmtId="0" fontId="21" fillId="4" borderId="27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21" fillId="4" borderId="21" xfId="0" applyFont="1" applyFill="1" applyBorder="1" applyAlignment="1">
      <alignment horizontal="center" vertical="center" wrapText="1"/>
    </xf>
    <xf numFmtId="0" fontId="21" fillId="4" borderId="28" xfId="0" applyFont="1" applyFill="1" applyBorder="1" applyAlignment="1">
      <alignment horizontal="center" vertical="center" wrapText="1"/>
    </xf>
    <xf numFmtId="0" fontId="20" fillId="3" borderId="2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0" fillId="3" borderId="28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20" fillId="3" borderId="41" xfId="0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20" fillId="3" borderId="29" xfId="0" applyFont="1" applyFill="1" applyBorder="1" applyAlignment="1">
      <alignment horizontal="center" vertical="center" wrapText="1"/>
    </xf>
    <xf numFmtId="0" fontId="20" fillId="3" borderId="37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64" fontId="21" fillId="4" borderId="46" xfId="0" applyNumberFormat="1" applyFont="1" applyFill="1" applyBorder="1" applyAlignment="1">
      <alignment horizontal="center" vertical="center" textRotation="90"/>
    </xf>
    <xf numFmtId="0" fontId="20" fillId="3" borderId="43" xfId="0" applyFont="1" applyFill="1" applyBorder="1" applyAlignment="1">
      <alignment horizontal="center" vertical="center" wrapText="1"/>
    </xf>
    <xf numFmtId="0" fontId="20" fillId="3" borderId="3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10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21" fillId="4" borderId="7" xfId="0" applyFont="1" applyFill="1" applyBorder="1" applyAlignment="1">
      <alignment horizontal="center" vertical="center" wrapText="1"/>
    </xf>
    <xf numFmtId="3" fontId="20" fillId="4" borderId="41" xfId="0" applyNumberFormat="1" applyFont="1" applyFill="1" applyBorder="1" applyAlignment="1">
      <alignment horizontal="center" vertical="center"/>
    </xf>
    <xf numFmtId="3" fontId="20" fillId="4" borderId="21" xfId="0" applyNumberFormat="1" applyFont="1" applyFill="1" applyBorder="1" applyAlignment="1">
      <alignment horizontal="center" vertical="center"/>
    </xf>
    <xf numFmtId="3" fontId="20" fillId="4" borderId="43" xfId="0" applyNumberFormat="1" applyFont="1" applyFill="1" applyBorder="1" applyAlignment="1">
      <alignment horizontal="center" vertical="center"/>
    </xf>
    <xf numFmtId="3" fontId="20" fillId="4" borderId="29" xfId="0" applyNumberFormat="1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 wrapText="1"/>
    </xf>
    <xf numFmtId="0" fontId="21" fillId="4" borderId="50" xfId="0" applyFont="1" applyFill="1" applyBorder="1" applyAlignment="1">
      <alignment horizontal="center" vertical="center" wrapText="1"/>
    </xf>
    <xf numFmtId="0" fontId="21" fillId="4" borderId="44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wrapText="1"/>
    </xf>
    <xf numFmtId="164" fontId="21" fillId="4" borderId="25" xfId="0" applyNumberFormat="1" applyFont="1" applyFill="1" applyBorder="1" applyAlignment="1">
      <alignment horizontal="center" vertical="center" wrapText="1"/>
    </xf>
    <xf numFmtId="164" fontId="21" fillId="4" borderId="24" xfId="0" applyNumberFormat="1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center" vertical="center" wrapText="1"/>
    </xf>
    <xf numFmtId="164" fontId="21" fillId="4" borderId="42" xfId="0" applyNumberFormat="1" applyFont="1" applyFill="1" applyBorder="1" applyAlignment="1">
      <alignment horizontal="center" vertical="center" wrapText="1"/>
    </xf>
    <xf numFmtId="164" fontId="21" fillId="4" borderId="26" xfId="0" applyNumberFormat="1" applyFont="1" applyFill="1" applyBorder="1" applyAlignment="1">
      <alignment horizontal="center" vertical="center" wrapText="1"/>
    </xf>
    <xf numFmtId="164" fontId="21" fillId="4" borderId="27" xfId="0" applyNumberFormat="1" applyFont="1" applyFill="1" applyBorder="1" applyAlignment="1">
      <alignment horizontal="center" vertical="center" wrapText="1"/>
    </xf>
    <xf numFmtId="164" fontId="21" fillId="4" borderId="41" xfId="0" applyNumberFormat="1" applyFont="1" applyFill="1" applyBorder="1" applyAlignment="1">
      <alignment horizontal="center" vertical="center" wrapText="1"/>
    </xf>
    <xf numFmtId="164" fontId="21" fillId="4" borderId="21" xfId="0" applyNumberFormat="1" applyFont="1" applyFill="1" applyBorder="1" applyAlignment="1">
      <alignment horizontal="center" vertical="center" wrapText="1"/>
    </xf>
    <xf numFmtId="164" fontId="21" fillId="4" borderId="28" xfId="0" applyNumberFormat="1" applyFont="1" applyFill="1" applyBorder="1" applyAlignment="1">
      <alignment horizontal="center" vertical="center" wrapText="1"/>
    </xf>
    <xf numFmtId="164" fontId="21" fillId="4" borderId="48" xfId="0" applyNumberFormat="1" applyFont="1" applyFill="1" applyBorder="1" applyAlignment="1">
      <alignment horizontal="center" vertical="center" textRotation="90"/>
    </xf>
    <xf numFmtId="0" fontId="18" fillId="2" borderId="42" xfId="0" applyFont="1" applyFill="1" applyBorder="1" applyAlignment="1">
      <alignment horizontal="right" vertical="center"/>
    </xf>
    <xf numFmtId="0" fontId="0" fillId="0" borderId="26" xfId="0" applyBorder="1" applyAlignment="1">
      <alignment horizontal="right"/>
    </xf>
    <xf numFmtId="0" fontId="0" fillId="0" borderId="27" xfId="0" applyBorder="1" applyAlignment="1">
      <alignment horizontal="right"/>
    </xf>
    <xf numFmtId="0" fontId="21" fillId="4" borderId="3" xfId="0" applyFont="1" applyFill="1" applyBorder="1" applyAlignment="1">
      <alignment horizontal="center" vertical="center"/>
    </xf>
    <xf numFmtId="0" fontId="21" fillId="4" borderId="52" xfId="0" applyFont="1" applyFill="1" applyBorder="1" applyAlignment="1">
      <alignment horizontal="center" vertical="center"/>
    </xf>
    <xf numFmtId="0" fontId="26" fillId="4" borderId="42" xfId="0" applyFont="1" applyFill="1" applyBorder="1" applyAlignment="1">
      <alignment horizontal="center" vertical="center" wrapText="1"/>
    </xf>
    <xf numFmtId="0" fontId="26" fillId="4" borderId="27" xfId="0" applyFont="1" applyFill="1" applyBorder="1" applyAlignment="1">
      <alignment horizontal="center" vertical="center" wrapText="1"/>
    </xf>
    <xf numFmtId="0" fontId="26" fillId="4" borderId="41" xfId="0" applyFont="1" applyFill="1" applyBorder="1" applyAlignment="1">
      <alignment horizontal="center" vertical="center" wrapText="1"/>
    </xf>
    <xf numFmtId="0" fontId="26" fillId="4" borderId="28" xfId="0" applyFont="1" applyFill="1" applyBorder="1" applyAlignment="1">
      <alignment horizontal="center" vertical="center" wrapText="1"/>
    </xf>
    <xf numFmtId="0" fontId="18" fillId="2" borderId="42" xfId="0" applyFont="1" applyFill="1" applyBorder="1" applyAlignment="1">
      <alignment horizontal="center" vertical="center"/>
    </xf>
    <xf numFmtId="0" fontId="18" fillId="2" borderId="26" xfId="0" applyFont="1" applyFill="1" applyBorder="1" applyAlignment="1">
      <alignment horizontal="center" vertical="center"/>
    </xf>
    <xf numFmtId="0" fontId="18" fillId="2" borderId="27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0" fontId="21" fillId="4" borderId="50" xfId="0" applyFont="1" applyFill="1" applyBorder="1" applyAlignment="1">
      <alignment horizontal="center" vertical="center"/>
    </xf>
    <xf numFmtId="0" fontId="21" fillId="4" borderId="44" xfId="0" applyFont="1" applyFill="1" applyBorder="1" applyAlignment="1">
      <alignment horizontal="center" vertical="center"/>
    </xf>
    <xf numFmtId="0" fontId="21" fillId="4" borderId="57" xfId="0" applyFont="1" applyFill="1" applyBorder="1" applyAlignment="1">
      <alignment horizontal="center" vertical="center" wrapText="1"/>
    </xf>
    <xf numFmtId="0" fontId="21" fillId="4" borderId="76" xfId="0" applyFont="1" applyFill="1" applyBorder="1" applyAlignment="1">
      <alignment horizontal="center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1" fillId="4" borderId="49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57" xfId="0" applyFont="1" applyFill="1" applyBorder="1" applyAlignment="1">
      <alignment horizontal="center" vertical="center" wrapText="1"/>
    </xf>
    <xf numFmtId="0" fontId="20" fillId="3" borderId="49" xfId="0" applyFont="1" applyFill="1" applyBorder="1" applyAlignment="1">
      <alignment horizontal="center" vertical="center" wrapText="1"/>
    </xf>
    <xf numFmtId="0" fontId="21" fillId="4" borderId="61" xfId="0" applyFont="1" applyFill="1" applyBorder="1" applyAlignment="1">
      <alignment horizontal="center" vertical="center" wrapText="1"/>
    </xf>
    <xf numFmtId="0" fontId="21" fillId="4" borderId="13" xfId="0" applyFont="1" applyFill="1" applyBorder="1" applyAlignment="1">
      <alignment horizontal="center" vertical="center" wrapText="1"/>
    </xf>
    <xf numFmtId="0" fontId="21" fillId="4" borderId="74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  <xf numFmtId="0" fontId="21" fillId="4" borderId="62" xfId="0" applyFont="1" applyFill="1" applyBorder="1" applyAlignment="1">
      <alignment horizontal="center" vertical="center" wrapText="1"/>
    </xf>
    <xf numFmtId="0" fontId="21" fillId="4" borderId="38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0" fillId="3" borderId="24" xfId="0" applyFont="1" applyFill="1" applyBorder="1" applyAlignment="1">
      <alignment horizontal="center" vertical="center" wrapText="1"/>
    </xf>
    <xf numFmtId="0" fontId="20" fillId="3" borderId="42" xfId="0" applyFont="1" applyFill="1" applyBorder="1" applyAlignment="1">
      <alignment horizontal="center" vertical="center" wrapText="1"/>
    </xf>
    <xf numFmtId="0" fontId="20" fillId="3" borderId="26" xfId="0" applyFont="1" applyFill="1" applyBorder="1" applyAlignment="1">
      <alignment horizontal="center" vertical="center" wrapText="1"/>
    </xf>
    <xf numFmtId="0" fontId="20" fillId="3" borderId="27" xfId="0" applyFont="1" applyFill="1" applyBorder="1" applyAlignment="1">
      <alignment horizontal="center" vertical="center" wrapText="1"/>
    </xf>
    <xf numFmtId="0" fontId="21" fillId="4" borderId="29" xfId="0" applyFont="1" applyFill="1" applyBorder="1" applyAlignment="1">
      <alignment horizontal="center" vertical="center" wrapText="1"/>
    </xf>
    <xf numFmtId="0" fontId="21" fillId="4" borderId="43" xfId="0" applyFont="1" applyFill="1" applyBorder="1" applyAlignment="1">
      <alignment horizontal="center" vertical="center" wrapText="1"/>
    </xf>
    <xf numFmtId="0" fontId="20" fillId="3" borderId="25" xfId="0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textRotation="90"/>
    </xf>
    <xf numFmtId="164" fontId="21" fillId="4" borderId="50" xfId="0" applyNumberFormat="1" applyFont="1" applyFill="1" applyBorder="1" applyAlignment="1">
      <alignment horizontal="center" vertical="center" textRotation="90"/>
    </xf>
    <xf numFmtId="164" fontId="21" fillId="4" borderId="44" xfId="0" applyNumberFormat="1" applyFont="1" applyFill="1" applyBorder="1" applyAlignment="1">
      <alignment horizontal="center" vertical="center" textRotation="90"/>
    </xf>
    <xf numFmtId="0" fontId="21" fillId="4" borderId="30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wrapText="1"/>
    </xf>
    <xf numFmtId="164" fontId="21" fillId="4" borderId="44" xfId="0" applyNumberFormat="1" applyFont="1" applyFill="1" applyBorder="1" applyAlignment="1">
      <alignment horizontal="center" vertical="center" wrapText="1"/>
    </xf>
    <xf numFmtId="3" fontId="20" fillId="4" borderId="46" xfId="0" applyNumberFormat="1" applyFont="1" applyFill="1" applyBorder="1" applyAlignment="1">
      <alignment horizontal="center" vertical="center"/>
    </xf>
    <xf numFmtId="3" fontId="20" fillId="4" borderId="36" xfId="0" applyNumberFormat="1" applyFont="1" applyFill="1" applyBorder="1" applyAlignment="1">
      <alignment horizontal="center" vertical="center"/>
    </xf>
    <xf numFmtId="3" fontId="20" fillId="4" borderId="48" xfId="0" applyNumberFormat="1" applyFont="1" applyFill="1" applyBorder="1" applyAlignment="1">
      <alignment horizontal="center" vertical="center"/>
    </xf>
    <xf numFmtId="3" fontId="20" fillId="4" borderId="69" xfId="0" applyNumberFormat="1" applyFont="1" applyFill="1" applyBorder="1" applyAlignment="1">
      <alignment horizontal="center" vertical="center"/>
    </xf>
    <xf numFmtId="164" fontId="21" fillId="4" borderId="17" xfId="0" applyNumberFormat="1" applyFont="1" applyFill="1" applyBorder="1" applyAlignment="1">
      <alignment horizontal="center" vertical="center" textRotation="90"/>
    </xf>
    <xf numFmtId="3" fontId="20" fillId="4" borderId="22" xfId="0" applyNumberFormat="1" applyFont="1" applyFill="1" applyBorder="1" applyAlignment="1">
      <alignment horizontal="center" vertical="center"/>
    </xf>
    <xf numFmtId="0" fontId="21" fillId="4" borderId="45" xfId="0" applyFont="1" applyFill="1" applyBorder="1" applyAlignment="1">
      <alignment horizontal="center" vertical="center" wrapText="1"/>
    </xf>
    <xf numFmtId="0" fontId="21" fillId="4" borderId="37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/>
    </xf>
    <xf numFmtId="0" fontId="18" fillId="2" borderId="51" xfId="0" applyFont="1" applyFill="1" applyBorder="1" applyAlignment="1">
      <alignment horizontal="center" vertical="center"/>
    </xf>
    <xf numFmtId="0" fontId="18" fillId="2" borderId="36" xfId="0" applyFont="1" applyFill="1" applyBorder="1" applyAlignment="1">
      <alignment horizontal="center" vertical="center"/>
    </xf>
    <xf numFmtId="164" fontId="21" fillId="4" borderId="1" xfId="0" applyNumberFormat="1" applyFont="1" applyFill="1" applyBorder="1" applyAlignment="1">
      <alignment horizontal="center" vertical="center" textRotation="90"/>
    </xf>
    <xf numFmtId="164" fontId="21" fillId="4" borderId="25" xfId="0" applyNumberFormat="1" applyFont="1" applyFill="1" applyBorder="1" applyAlignment="1">
      <alignment horizontal="center" vertical="center" textRotation="90"/>
    </xf>
    <xf numFmtId="164" fontId="21" fillId="4" borderId="24" xfId="0" applyNumberFormat="1" applyFont="1" applyFill="1" applyBorder="1" applyAlignment="1">
      <alignment horizontal="center" vertical="center" textRotation="90"/>
    </xf>
    <xf numFmtId="0" fontId="18" fillId="2" borderId="1" xfId="0" applyFont="1" applyFill="1" applyBorder="1" applyAlignment="1">
      <alignment horizontal="center" vertical="center"/>
    </xf>
    <xf numFmtId="0" fontId="18" fillId="2" borderId="31" xfId="0" applyFont="1" applyFill="1" applyBorder="1" applyAlignment="1">
      <alignment horizontal="center" vertical="center"/>
    </xf>
    <xf numFmtId="0" fontId="21" fillId="4" borderId="49" xfId="0" applyFont="1" applyFill="1" applyBorder="1" applyAlignment="1">
      <alignment horizontal="center" vertical="center"/>
    </xf>
    <xf numFmtId="0" fontId="21" fillId="4" borderId="68" xfId="0" applyFont="1" applyFill="1" applyBorder="1" applyAlignment="1">
      <alignment horizontal="center" vertical="center" wrapText="1"/>
    </xf>
    <xf numFmtId="0" fontId="21" fillId="4" borderId="69" xfId="0" applyFont="1" applyFill="1" applyBorder="1" applyAlignment="1">
      <alignment horizontal="center" vertical="center" wrapText="1"/>
    </xf>
    <xf numFmtId="0" fontId="21" fillId="4" borderId="34" xfId="0" applyFont="1" applyFill="1" applyBorder="1" applyAlignment="1">
      <alignment horizontal="center" vertical="center" wrapText="1"/>
    </xf>
    <xf numFmtId="0" fontId="21" fillId="4" borderId="73" xfId="0" applyFont="1" applyFill="1" applyBorder="1" applyAlignment="1">
      <alignment horizontal="center" vertical="center" wrapText="1"/>
    </xf>
    <xf numFmtId="0" fontId="20" fillId="3" borderId="52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1" fontId="21" fillId="4" borderId="42" xfId="0" applyNumberFormat="1" applyFont="1" applyFill="1" applyBorder="1" applyAlignment="1">
      <alignment horizontal="center" vertical="center" wrapText="1"/>
    </xf>
    <xf numFmtId="1" fontId="21" fillId="4" borderId="43" xfId="0" applyNumberFormat="1" applyFont="1" applyFill="1" applyBorder="1" applyAlignment="1">
      <alignment horizontal="center" vertical="center" wrapText="1"/>
    </xf>
    <xf numFmtId="3" fontId="20" fillId="4" borderId="47" xfId="0" applyNumberFormat="1" applyFont="1" applyFill="1" applyBorder="1" applyAlignment="1">
      <alignment horizontal="center" vertical="center"/>
    </xf>
    <xf numFmtId="3" fontId="20" fillId="4" borderId="68" xfId="0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0" fontId="19" fillId="3" borderId="8" xfId="0" applyFont="1" applyFill="1" applyBorder="1"/>
    <xf numFmtId="0" fontId="18" fillId="2" borderId="5" xfId="0" applyFont="1" applyFill="1" applyBorder="1" applyAlignment="1">
      <alignment horizontal="center" vertical="center"/>
    </xf>
    <xf numFmtId="0" fontId="18" fillId="2" borderId="75" xfId="0" applyFont="1" applyFill="1" applyBorder="1" applyAlignment="1">
      <alignment horizontal="center" vertical="center"/>
    </xf>
    <xf numFmtId="0" fontId="18" fillId="2" borderId="66" xfId="0" applyFont="1" applyFill="1" applyBorder="1" applyAlignment="1">
      <alignment horizontal="center" vertical="center"/>
    </xf>
    <xf numFmtId="0" fontId="21" fillId="4" borderId="18" xfId="0" applyFont="1" applyFill="1" applyBorder="1" applyAlignment="1">
      <alignment horizontal="center" vertical="center" wrapText="1"/>
    </xf>
    <xf numFmtId="0" fontId="21" fillId="4" borderId="12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164" fontId="21" fillId="4" borderId="62" xfId="0" applyNumberFormat="1" applyFont="1" applyFill="1" applyBorder="1" applyAlignment="1">
      <alignment horizontal="center" vertical="center" wrapText="1"/>
    </xf>
    <xf numFmtId="164" fontId="21" fillId="4" borderId="38" xfId="0" applyNumberFormat="1" applyFont="1" applyFill="1" applyBorder="1" applyAlignment="1">
      <alignment horizontal="center" vertical="center" wrapText="1"/>
    </xf>
  </cellXfs>
  <cellStyles count="4">
    <cellStyle name="Comma" xfId="3" builtinId="3"/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77"/>
  <sheetViews>
    <sheetView tabSelected="1" zoomScaleNormal="100" workbookViewId="0">
      <pane ySplit="2" topLeftCell="A3" activePane="bottomLeft" state="frozen"/>
      <selection pane="bottomLeft" activeCell="N54" sqref="N54:N55"/>
    </sheetView>
  </sheetViews>
  <sheetFormatPr defaultRowHeight="13.5" x14ac:dyDescent="0.25"/>
  <cols>
    <col min="1" max="1" width="26.5703125" style="100" bestFit="1" customWidth="1"/>
    <col min="2" max="2" width="8.85546875" style="100" customWidth="1"/>
    <col min="3" max="3" width="3.5703125" style="100" customWidth="1"/>
    <col min="4" max="4" width="26.5703125" style="100" bestFit="1" customWidth="1"/>
    <col min="5" max="5" width="7.5703125" style="100" bestFit="1" customWidth="1"/>
    <col min="6" max="6" width="3.7109375" style="100" customWidth="1"/>
    <col min="7" max="7" width="26.5703125" style="100" bestFit="1" customWidth="1"/>
    <col min="8" max="8" width="7.5703125" style="100" bestFit="1" customWidth="1"/>
    <col min="9" max="9" width="3.7109375" style="100" customWidth="1"/>
    <col min="10" max="10" width="26.5703125" style="100" bestFit="1" customWidth="1"/>
    <col min="11" max="11" width="11.140625" style="100" customWidth="1"/>
    <col min="12" max="12" width="3.7109375" style="100" customWidth="1"/>
    <col min="13" max="13" width="26.5703125" style="421" bestFit="1" customWidth="1"/>
    <col min="14" max="14" width="11.140625" style="421" customWidth="1"/>
    <col min="15" max="15" width="3.7109375" style="100" customWidth="1"/>
    <col min="16" max="16" width="36.5703125" style="100" bestFit="1" customWidth="1"/>
    <col min="17" max="17" width="9.140625" style="100" bestFit="1" customWidth="1"/>
    <col min="18" max="18" width="61.7109375" style="100" bestFit="1" customWidth="1"/>
    <col min="19" max="16384" width="9.140625" style="100"/>
  </cols>
  <sheetData>
    <row r="1" spans="1:18" x14ac:dyDescent="0.25">
      <c r="A1" s="531" t="s">
        <v>43</v>
      </c>
      <c r="B1" s="532"/>
      <c r="C1" s="84"/>
      <c r="D1" s="531" t="s">
        <v>43</v>
      </c>
      <c r="E1" s="532"/>
      <c r="F1" s="43"/>
      <c r="G1" s="531" t="s">
        <v>43</v>
      </c>
      <c r="H1" s="532"/>
      <c r="I1" s="85"/>
      <c r="J1" s="531" t="s">
        <v>43</v>
      </c>
      <c r="K1" s="532"/>
      <c r="L1" s="85"/>
      <c r="M1" s="531" t="s">
        <v>43</v>
      </c>
      <c r="N1" s="578"/>
    </row>
    <row r="2" spans="1:18" ht="15.75" customHeight="1" x14ac:dyDescent="0.25">
      <c r="A2" s="533" t="s">
        <v>123</v>
      </c>
      <c r="B2" s="534"/>
      <c r="C2" s="86"/>
      <c r="D2" s="533" t="s">
        <v>124</v>
      </c>
      <c r="E2" s="534"/>
      <c r="F2" s="86"/>
      <c r="G2" s="538" t="s">
        <v>125</v>
      </c>
      <c r="H2" s="539"/>
      <c r="I2" s="87"/>
      <c r="J2" s="538" t="s">
        <v>126</v>
      </c>
      <c r="K2" s="539"/>
      <c r="L2" s="85"/>
      <c r="M2" s="538" t="s">
        <v>127</v>
      </c>
      <c r="N2" s="539"/>
    </row>
    <row r="3" spans="1:18" ht="14.25" thickBot="1" x14ac:dyDescent="0.3">
      <c r="A3" s="535" t="s">
        <v>44</v>
      </c>
      <c r="B3" s="536"/>
      <c r="C3" s="84"/>
      <c r="D3" s="535" t="s">
        <v>44</v>
      </c>
      <c r="E3" s="536"/>
      <c r="F3" s="85"/>
      <c r="G3" s="535" t="s">
        <v>44</v>
      </c>
      <c r="H3" s="536"/>
      <c r="I3" s="85"/>
      <c r="J3" s="535" t="s">
        <v>44</v>
      </c>
      <c r="K3" s="537"/>
      <c r="L3" s="85"/>
      <c r="M3" s="535" t="s">
        <v>44</v>
      </c>
      <c r="N3" s="579"/>
    </row>
    <row r="4" spans="1:18" s="101" customFormat="1" ht="12.95" customHeight="1" x14ac:dyDescent="0.25">
      <c r="A4" s="528" t="s">
        <v>45</v>
      </c>
      <c r="B4" s="515">
        <f>'NY Waterway-(Port Imperial FC)'!U19</f>
        <v>0</v>
      </c>
      <c r="C4" s="7"/>
      <c r="D4" s="528" t="s">
        <v>45</v>
      </c>
      <c r="E4" s="515">
        <f>'NY Waterway-(Port Imperial FC)'!U30</f>
        <v>1038</v>
      </c>
      <c r="F4" s="88"/>
      <c r="G4" s="528" t="s">
        <v>45</v>
      </c>
      <c r="H4" s="515">
        <f>'NY Waterway-(Port Imperial FC)'!U41</f>
        <v>1615</v>
      </c>
      <c r="I4" s="88"/>
      <c r="J4" s="528" t="s">
        <v>45</v>
      </c>
      <c r="K4" s="515">
        <f>'NY Waterway-(Port Imperial FC)'!U52</f>
        <v>2084</v>
      </c>
      <c r="L4" s="88"/>
      <c r="M4" s="528" t="s">
        <v>45</v>
      </c>
      <c r="N4" s="515">
        <f>'NY Waterway-(Port Imperial FC)'!U63</f>
        <v>2527</v>
      </c>
    </row>
    <row r="5" spans="1:18" s="101" customFormat="1" ht="12.95" customHeight="1" thickBot="1" x14ac:dyDescent="0.3">
      <c r="A5" s="529"/>
      <c r="B5" s="516"/>
      <c r="C5" s="8"/>
      <c r="D5" s="529"/>
      <c r="E5" s="516"/>
      <c r="F5" s="88"/>
      <c r="G5" s="529"/>
      <c r="H5" s="530"/>
      <c r="I5" s="88"/>
      <c r="J5" s="529"/>
      <c r="K5" s="530"/>
      <c r="L5" s="88"/>
      <c r="M5" s="529"/>
      <c r="N5" s="530"/>
    </row>
    <row r="6" spans="1:18" s="101" customFormat="1" ht="12.95" customHeight="1" x14ac:dyDescent="0.25">
      <c r="A6" s="528" t="s">
        <v>46</v>
      </c>
      <c r="B6" s="515">
        <f>SUM(SeaStreak!G19)</f>
        <v>1173</v>
      </c>
      <c r="C6" s="7"/>
      <c r="D6" s="528" t="s">
        <v>46</v>
      </c>
      <c r="E6" s="515">
        <f>SUM(SeaStreak!G30)</f>
        <v>1706</v>
      </c>
      <c r="F6" s="88"/>
      <c r="G6" s="528" t="s">
        <v>46</v>
      </c>
      <c r="H6" s="515">
        <f>SUM(SeaStreak!G41)</f>
        <v>2078</v>
      </c>
      <c r="I6" s="88"/>
      <c r="J6" s="528" t="s">
        <v>46</v>
      </c>
      <c r="K6" s="515">
        <f>SUM(SeaStreak!G52)</f>
        <v>2719</v>
      </c>
      <c r="L6" s="88"/>
      <c r="M6" s="528" t="s">
        <v>46</v>
      </c>
      <c r="N6" s="515">
        <f>SeaStreak!G63</f>
        <v>1074</v>
      </c>
    </row>
    <row r="7" spans="1:18" s="101" customFormat="1" ht="12.95" customHeight="1" thickBot="1" x14ac:dyDescent="0.3">
      <c r="A7" s="540"/>
      <c r="B7" s="516"/>
      <c r="C7" s="89"/>
      <c r="D7" s="540"/>
      <c r="E7" s="530"/>
      <c r="F7" s="88"/>
      <c r="G7" s="540"/>
      <c r="H7" s="530"/>
      <c r="I7" s="88"/>
      <c r="J7" s="540"/>
      <c r="K7" s="530"/>
      <c r="L7" s="88"/>
      <c r="M7" s="540"/>
      <c r="N7" s="530"/>
    </row>
    <row r="8" spans="1:18" s="101" customFormat="1" ht="12.95" customHeight="1" x14ac:dyDescent="0.25">
      <c r="A8" s="517" t="s">
        <v>47</v>
      </c>
      <c r="B8" s="515">
        <f>SUM('New York Water Taxi'!L19)</f>
        <v>1389</v>
      </c>
      <c r="C8" s="9"/>
      <c r="D8" s="517" t="s">
        <v>47</v>
      </c>
      <c r="E8" s="541">
        <f>SUM('New York Water Taxi'!L30)</f>
        <v>1526</v>
      </c>
      <c r="F8" s="88"/>
      <c r="G8" s="517" t="s">
        <v>47</v>
      </c>
      <c r="H8" s="541">
        <f>SUM('New York Water Taxi'!L41)</f>
        <v>1538</v>
      </c>
      <c r="I8" s="88"/>
      <c r="J8" s="517" t="s">
        <v>47</v>
      </c>
      <c r="K8" s="541">
        <f>SUM('New York Water Taxi'!L52)</f>
        <v>1509</v>
      </c>
      <c r="L8" s="88"/>
      <c r="M8" s="517" t="s">
        <v>47</v>
      </c>
      <c r="N8" s="541">
        <f>'New York Water Taxi'!L63</f>
        <v>592</v>
      </c>
    </row>
    <row r="9" spans="1:18" s="101" customFormat="1" ht="12.95" customHeight="1" thickBot="1" x14ac:dyDescent="0.3">
      <c r="A9" s="523"/>
      <c r="B9" s="516"/>
      <c r="C9" s="90"/>
      <c r="D9" s="523"/>
      <c r="E9" s="542"/>
      <c r="F9" s="88"/>
      <c r="G9" s="523"/>
      <c r="H9" s="543"/>
      <c r="I9" s="88"/>
      <c r="J9" s="523"/>
      <c r="K9" s="543"/>
      <c r="L9" s="88"/>
      <c r="M9" s="523"/>
      <c r="N9" s="543"/>
    </row>
    <row r="10" spans="1:18" s="101" customFormat="1" ht="12.95" customHeight="1" x14ac:dyDescent="0.25">
      <c r="A10" s="548" t="s">
        <v>33</v>
      </c>
      <c r="B10" s="515">
        <f>'Liberty Landing Ferry'!C19</f>
        <v>0</v>
      </c>
      <c r="C10" s="9"/>
      <c r="D10" s="548" t="s">
        <v>33</v>
      </c>
      <c r="E10" s="541">
        <f>'Liberty Landing Ferry'!C30</f>
        <v>0</v>
      </c>
      <c r="F10" s="88"/>
      <c r="G10" s="548" t="s">
        <v>33</v>
      </c>
      <c r="H10" s="541">
        <f>'Liberty Landing Ferry'!C41</f>
        <v>0</v>
      </c>
      <c r="I10" s="88"/>
      <c r="J10" s="548" t="s">
        <v>33</v>
      </c>
      <c r="K10" s="541">
        <f>'Liberty Landing Ferry'!C52</f>
        <v>0</v>
      </c>
      <c r="L10" s="88"/>
      <c r="M10" s="548" t="s">
        <v>33</v>
      </c>
      <c r="N10" s="541">
        <f>'Liberty Landing Ferry'!C63</f>
        <v>0</v>
      </c>
    </row>
    <row r="11" spans="1:18" s="101" customFormat="1" ht="12.95" customHeight="1" thickBot="1" x14ac:dyDescent="0.3">
      <c r="A11" s="549"/>
      <c r="B11" s="516"/>
      <c r="C11" s="90"/>
      <c r="D11" s="549"/>
      <c r="E11" s="542"/>
      <c r="F11" s="88"/>
      <c r="G11" s="549"/>
      <c r="H11" s="543"/>
      <c r="I11" s="88"/>
      <c r="J11" s="549"/>
      <c r="K11" s="543"/>
      <c r="L11" s="88"/>
      <c r="M11" s="549"/>
      <c r="N11" s="543"/>
    </row>
    <row r="12" spans="1:18" s="185" customFormat="1" ht="12.95" customHeight="1" thickBot="1" x14ac:dyDescent="0.3">
      <c r="A12" s="548" t="s">
        <v>69</v>
      </c>
      <c r="B12" s="541">
        <f>'NYC Ferry'!AL14</f>
        <v>18423</v>
      </c>
      <c r="C12" s="90"/>
      <c r="D12" s="548" t="s">
        <v>69</v>
      </c>
      <c r="E12" s="541">
        <f>'NYC Ferry'!AL25</f>
        <v>34040</v>
      </c>
      <c r="F12" s="184"/>
      <c r="G12" s="548" t="s">
        <v>69</v>
      </c>
      <c r="H12" s="541">
        <f>'NYC Ferry'!AL36</f>
        <v>37022</v>
      </c>
      <c r="I12" s="184"/>
      <c r="J12" s="548" t="s">
        <v>69</v>
      </c>
      <c r="K12" s="541">
        <f>'NYC Ferry'!AL47</f>
        <v>45592</v>
      </c>
      <c r="L12" s="184"/>
      <c r="M12" s="548" t="s">
        <v>69</v>
      </c>
      <c r="N12" s="541">
        <f>'NYC Ferry'!AL58</f>
        <v>17858</v>
      </c>
    </row>
    <row r="13" spans="1:18" s="185" customFormat="1" ht="12.95" customHeight="1" thickBot="1" x14ac:dyDescent="0.3">
      <c r="A13" s="549"/>
      <c r="B13" s="542"/>
      <c r="C13" s="90"/>
      <c r="D13" s="549"/>
      <c r="E13" s="542"/>
      <c r="F13" s="184"/>
      <c r="G13" s="549"/>
      <c r="H13" s="542"/>
      <c r="I13" s="184"/>
      <c r="J13" s="549"/>
      <c r="K13" s="542"/>
      <c r="L13" s="184"/>
      <c r="M13" s="549"/>
      <c r="N13" s="542"/>
      <c r="P13" s="544" t="s">
        <v>115</v>
      </c>
      <c r="Q13" s="546">
        <f>AVERAGE('NYC Ferry'!E70,'NY Waterway-(Port Imperial FC)'!L80,SeaStreak!G69,'New York Water Taxi'!M80,)</f>
        <v>1404.0239999999999</v>
      </c>
    </row>
    <row r="14" spans="1:18" s="92" customFormat="1" ht="12.95" customHeight="1" x14ac:dyDescent="0.2">
      <c r="A14" s="544" t="s">
        <v>19</v>
      </c>
      <c r="B14" s="546">
        <f>SUM(B4:B13)</f>
        <v>20985</v>
      </c>
      <c r="C14" s="10"/>
      <c r="D14" s="544" t="s">
        <v>19</v>
      </c>
      <c r="E14" s="546">
        <f>SUM(E4:E13)</f>
        <v>38310</v>
      </c>
      <c r="F14" s="91"/>
      <c r="G14" s="544" t="s">
        <v>19</v>
      </c>
      <c r="H14" s="546">
        <f>SUM(H4:H13)</f>
        <v>42253</v>
      </c>
      <c r="I14" s="91"/>
      <c r="J14" s="544" t="s">
        <v>19</v>
      </c>
      <c r="K14" s="546">
        <f>SUM(K4:K13)</f>
        <v>51904</v>
      </c>
      <c r="L14" s="91"/>
      <c r="M14" s="544" t="s">
        <v>19</v>
      </c>
      <c r="N14" s="546">
        <f>SUM(N4:N13)</f>
        <v>22051</v>
      </c>
      <c r="P14" s="565"/>
      <c r="Q14" s="567"/>
      <c r="R14" s="465" t="s">
        <v>121</v>
      </c>
    </row>
    <row r="15" spans="1:18" s="92" customFormat="1" ht="12.95" customHeight="1" thickBot="1" x14ac:dyDescent="0.3">
      <c r="A15" s="545"/>
      <c r="B15" s="547"/>
      <c r="C15" s="93"/>
      <c r="D15" s="545"/>
      <c r="E15" s="547"/>
      <c r="F15" s="91"/>
      <c r="G15" s="545"/>
      <c r="H15" s="547"/>
      <c r="I15" s="91"/>
      <c r="J15" s="545"/>
      <c r="K15" s="547"/>
      <c r="L15" s="91"/>
      <c r="M15" s="545"/>
      <c r="N15" s="547"/>
      <c r="P15" s="565"/>
      <c r="Q15" s="567"/>
      <c r="R15" s="466" t="s">
        <v>122</v>
      </c>
    </row>
    <row r="16" spans="1:18" s="101" customFormat="1" ht="14.25" thickBot="1" x14ac:dyDescent="0.3">
      <c r="A16" s="94"/>
      <c r="B16" s="95"/>
      <c r="C16" s="88"/>
      <c r="D16" s="94"/>
      <c r="E16" s="95"/>
      <c r="F16" s="88"/>
      <c r="G16" s="94"/>
      <c r="H16" s="95"/>
      <c r="I16" s="88"/>
      <c r="J16" s="96"/>
      <c r="K16" s="97"/>
      <c r="L16" s="88"/>
      <c r="M16" s="430"/>
      <c r="N16" s="431"/>
      <c r="P16" s="566"/>
      <c r="Q16" s="568"/>
    </row>
    <row r="17" spans="1:18" ht="14.25" thickBot="1" x14ac:dyDescent="0.3">
      <c r="A17" s="550" t="s">
        <v>48</v>
      </c>
      <c r="B17" s="551"/>
      <c r="C17" s="84"/>
      <c r="D17" s="550" t="s">
        <v>48</v>
      </c>
      <c r="E17" s="551"/>
      <c r="F17" s="85"/>
      <c r="G17" s="550" t="s">
        <v>48</v>
      </c>
      <c r="H17" s="551"/>
      <c r="I17" s="85"/>
      <c r="J17" s="550" t="s">
        <v>48</v>
      </c>
      <c r="K17" s="552"/>
      <c r="L17" s="85"/>
      <c r="M17" s="550" t="s">
        <v>48</v>
      </c>
      <c r="N17" s="580"/>
      <c r="P17" s="10"/>
      <c r="Q17" s="10"/>
    </row>
    <row r="18" spans="1:18" ht="12.95" customHeight="1" x14ac:dyDescent="0.25">
      <c r="A18" s="528" t="s">
        <v>10</v>
      </c>
      <c r="B18" s="515">
        <f>SUM('NY Waterway-(Port Imperial FC)'!C19:G19, 'New York Water Taxi'!J19:J19, SeaStreak!C19:D19,'NYC Ferry'!C14,'NYC Ferry'!J14,'NYC Ferry'!M14,'NYC Ferry'!T14,'NYC Ferry'!Z14,'NYC Ferry'!AE14,'NYC Ferry'!AJ14)</f>
        <v>4297</v>
      </c>
      <c r="C18" s="7"/>
      <c r="D18" s="528" t="s">
        <v>10</v>
      </c>
      <c r="E18" s="515">
        <f>SUM('NY Waterway-(Port Imperial FC)'!C30:G30, 'New York Water Taxi'!J30:J30, SeaStreak!C30:D30,'NYC Ferry'!C25,'NYC Ferry'!J25,'NYC Ferry'!M25,'NYC Ferry'!T25,'NYC Ferry'!Z25,'NYC Ferry'!AE25,'NYC Ferry'!AJ25)</f>
        <v>8673</v>
      </c>
      <c r="F18" s="85"/>
      <c r="G18" s="528" t="s">
        <v>10</v>
      </c>
      <c r="H18" s="515">
        <f>SUM('NY Waterway-(Port Imperial FC)'!C41:G41, 'New York Water Taxi'!J41:J41, SeaStreak!C41:D41,'NYC Ferry'!C36,'NYC Ferry'!J36,'NYC Ferry'!M36,'NYC Ferry'!T36,'NYC Ferry'!Z36,'NYC Ferry'!AE36,'NYC Ferry'!AJ36)</f>
        <v>9465</v>
      </c>
      <c r="I18" s="85"/>
      <c r="J18" s="528" t="s">
        <v>10</v>
      </c>
      <c r="K18" s="515">
        <f>SUM('NY Waterway-(Port Imperial FC)'!C52:G52, 'New York Water Taxi'!J52:J52, SeaStreak!C52:D52,'NYC Ferry'!C47,'NYC Ferry'!J47,'NYC Ferry'!M47,'NYC Ferry'!T47,'NYC Ferry'!Z47,'NYC Ferry'!AE47,'NYC Ferry'!AJ47)</f>
        <v>12070</v>
      </c>
      <c r="L18" s="85"/>
      <c r="M18" s="528" t="s">
        <v>10</v>
      </c>
      <c r="N18" s="515">
        <f>SUM('NY Waterway-(Port Imperial FC)'!C63:G63,'NYC Ferry'!C58,'NYC Ferry'!J58,'NYC Ferry'!M58,'NYC Ferry'!T58,'NYC Ferry'!Z58,'NYC Ferry'!AE58,'NYC Ferry'!AJ58,'New York Water Taxi'!J63,SeaStreak!C63:D63)</f>
        <v>4668</v>
      </c>
      <c r="P18" s="569" t="s">
        <v>116</v>
      </c>
      <c r="Q18" s="572">
        <f>SUM('NYC Ferry'!E70,'NY Waterway-(Port Imperial FC)'!L80,SeaStreak!G69,'New York Water Taxi'!M80,)</f>
        <v>7020.12</v>
      </c>
    </row>
    <row r="19" spans="1:18" ht="12.95" customHeight="1" thickBot="1" x14ac:dyDescent="0.3">
      <c r="A19" s="529"/>
      <c r="B19" s="530"/>
      <c r="C19" s="8"/>
      <c r="D19" s="529"/>
      <c r="E19" s="516"/>
      <c r="F19" s="85"/>
      <c r="G19" s="529"/>
      <c r="H19" s="516"/>
      <c r="I19" s="85"/>
      <c r="J19" s="529"/>
      <c r="K19" s="516"/>
      <c r="L19" s="85"/>
      <c r="M19" s="529"/>
      <c r="N19" s="530"/>
      <c r="P19" s="570"/>
      <c r="Q19" s="573"/>
      <c r="R19" s="465" t="s">
        <v>121</v>
      </c>
    </row>
    <row r="20" spans="1:18" ht="12.95" customHeight="1" thickBot="1" x14ac:dyDescent="0.3">
      <c r="A20" s="517" t="s">
        <v>65</v>
      </c>
      <c r="B20" s="515">
        <f xml:space="preserve"> 'NY Waterway-(Port Imperial FC)'!H19</f>
        <v>0</v>
      </c>
      <c r="C20" s="8"/>
      <c r="D20" s="517" t="s">
        <v>65</v>
      </c>
      <c r="E20" s="515">
        <f xml:space="preserve"> 'NY Waterway-(Port Imperial FC)'!H30</f>
        <v>0</v>
      </c>
      <c r="F20" s="85"/>
      <c r="G20" s="517" t="s">
        <v>65</v>
      </c>
      <c r="H20" s="515">
        <f xml:space="preserve"> 'NY Waterway-(Port Imperial FC)'!H41</f>
        <v>0</v>
      </c>
      <c r="I20" s="85"/>
      <c r="J20" s="517" t="s">
        <v>65</v>
      </c>
      <c r="K20" s="515">
        <f>'NY Waterway-(Port Imperial FC)'!H52</f>
        <v>0</v>
      </c>
      <c r="L20" s="85"/>
      <c r="M20" s="517" t="s">
        <v>65</v>
      </c>
      <c r="N20" s="515">
        <f>'NY Waterway-(Port Imperial FC)'!H63</f>
        <v>0</v>
      </c>
      <c r="P20" s="571"/>
      <c r="Q20" s="574"/>
      <c r="R20" s="466" t="s">
        <v>122</v>
      </c>
    </row>
    <row r="21" spans="1:18" ht="12.95" customHeight="1" thickBot="1" x14ac:dyDescent="0.3">
      <c r="A21" s="518"/>
      <c r="B21" s="530"/>
      <c r="C21" s="8"/>
      <c r="D21" s="518"/>
      <c r="E21" s="516"/>
      <c r="F21" s="85"/>
      <c r="G21" s="518"/>
      <c r="H21" s="516"/>
      <c r="I21" s="85"/>
      <c r="J21" s="518"/>
      <c r="K21" s="516"/>
      <c r="L21" s="85"/>
      <c r="M21" s="581"/>
      <c r="N21" s="516"/>
      <c r="P21" s="424"/>
      <c r="Q21" s="427"/>
    </row>
    <row r="22" spans="1:18" ht="12.95" customHeight="1" x14ac:dyDescent="0.25">
      <c r="A22" s="517" t="s">
        <v>8</v>
      </c>
      <c r="B22" s="541">
        <f>SUM('NY Waterway-(Port Imperial FC)'!M19:T19)</f>
        <v>0</v>
      </c>
      <c r="C22" s="9"/>
      <c r="D22" s="517" t="s">
        <v>8</v>
      </c>
      <c r="E22" s="541">
        <f>SUM('NY Waterway-(Port Imperial FC)'!M30:T30)</f>
        <v>0</v>
      </c>
      <c r="F22" s="85"/>
      <c r="G22" s="517" t="s">
        <v>8</v>
      </c>
      <c r="H22" s="541">
        <f>SUM('NY Waterway-(Port Imperial FC)'!M41:T41)</f>
        <v>0</v>
      </c>
      <c r="I22" s="85"/>
      <c r="J22" s="517" t="s">
        <v>8</v>
      </c>
      <c r="K22" s="541">
        <f>SUM('NY Waterway-(Port Imperial FC)'!M52:T52)</f>
        <v>0</v>
      </c>
      <c r="L22" s="85"/>
      <c r="M22" s="517" t="s">
        <v>8</v>
      </c>
      <c r="N22" s="541">
        <f>SUM('NY Waterway-(Port Imperial FC)'!M63:T63)</f>
        <v>0</v>
      </c>
      <c r="P22" s="569" t="s">
        <v>117</v>
      </c>
      <c r="Q22" s="572">
        <f>SUM('NYC Ferry'!E68,'NY Waterway-(Port Imperial FC)'!L78,SeaStreak!G67,'New York Water Taxi'!M78,'Liberty Landing Ferry'!F78)</f>
        <v>178121</v>
      </c>
    </row>
    <row r="23" spans="1:18" ht="12.95" customHeight="1" thickBot="1" x14ac:dyDescent="0.3">
      <c r="A23" s="518"/>
      <c r="B23" s="543"/>
      <c r="C23" s="87"/>
      <c r="D23" s="518"/>
      <c r="E23" s="543"/>
      <c r="F23" s="85"/>
      <c r="G23" s="518"/>
      <c r="H23" s="563"/>
      <c r="I23" s="85"/>
      <c r="J23" s="518"/>
      <c r="K23" s="564"/>
      <c r="L23" s="85"/>
      <c r="M23" s="581"/>
      <c r="N23" s="563"/>
      <c r="P23" s="570"/>
      <c r="Q23" s="573"/>
    </row>
    <row r="24" spans="1:18" ht="12.95" customHeight="1" thickBot="1" x14ac:dyDescent="0.3">
      <c r="A24" s="528" t="s">
        <v>14</v>
      </c>
      <c r="B24" s="515">
        <f>SUM(SeaStreak!E19:F19,'New York Water Taxi'!H19,'NYC Ferry'!I14,'NYC Ferry'!V14,'NYC Ferry'!AA14,'NYC Ferry'!AH14)</f>
        <v>5414</v>
      </c>
      <c r="C24" s="7"/>
      <c r="D24" s="528" t="s">
        <v>14</v>
      </c>
      <c r="E24" s="515">
        <f>SUM(SeaStreak!E30:F30,'New York Water Taxi'!H30, 'NYC Ferry'!I25,'NYC Ferry'!V25,'NYC Ferry'!AA25,'NYC Ferry'!AH25)</f>
        <v>7686</v>
      </c>
      <c r="F24" s="85"/>
      <c r="G24" s="528" t="s">
        <v>14</v>
      </c>
      <c r="H24" s="515">
        <f>SUM(SeaStreak!E41:F41,'New York Water Taxi'!H41, 'NYC Ferry'!I36,'NYC Ferry'!V36,'NYC Ferry'!AA36,'NYC Ferry'!AH36)</f>
        <v>8558</v>
      </c>
      <c r="I24" s="85"/>
      <c r="J24" s="528" t="s">
        <v>14</v>
      </c>
      <c r="K24" s="515">
        <f>SUM(SeaStreak!E52:F52,'New York Water Taxi'!H52,'NYC Ferry'!I47,'NYC Ferry'!V47,'NYC Ferry'!AA47,'NYC Ferry'!AH47)</f>
        <v>9849</v>
      </c>
      <c r="L24" s="85"/>
      <c r="M24" s="528" t="s">
        <v>14</v>
      </c>
      <c r="N24" s="515">
        <f>SUM('NYC Ferry'!I58,'NYC Ferry'!V58,'NYC Ferry'!AA58,'NYC Ferry'!AH58,SeaStreak!E63:F63,'New York Water Taxi'!H63,)</f>
        <v>4189</v>
      </c>
      <c r="P24" s="571"/>
      <c r="Q24" s="574"/>
    </row>
    <row r="25" spans="1:18" ht="12.95" customHeight="1" thickBot="1" x14ac:dyDescent="0.3">
      <c r="A25" s="540"/>
      <c r="B25" s="530"/>
      <c r="C25" s="89"/>
      <c r="D25" s="540"/>
      <c r="E25" s="554"/>
      <c r="F25" s="85"/>
      <c r="G25" s="540"/>
      <c r="H25" s="554"/>
      <c r="I25" s="85"/>
      <c r="J25" s="540"/>
      <c r="K25" s="554"/>
      <c r="L25" s="85"/>
      <c r="M25" s="540"/>
      <c r="N25" s="554"/>
      <c r="P25" s="425"/>
      <c r="Q25" s="428"/>
    </row>
    <row r="26" spans="1:18" ht="12.95" customHeight="1" thickBot="1" x14ac:dyDescent="0.3">
      <c r="A26" s="517" t="s">
        <v>9</v>
      </c>
      <c r="B26" s="541">
        <f>SUM('NY Waterway-(Port Imperial FC)'!I19:L19, 'Liberty Landing Ferry'!C19, 'New York Water Taxi'!C19)</f>
        <v>0</v>
      </c>
      <c r="C26" s="9"/>
      <c r="D26" s="517" t="s">
        <v>9</v>
      </c>
      <c r="E26" s="521">
        <f>SUM('NY Waterway-(Port Imperial FC)'!I30:L30, 'Liberty Landing Ferry'!C30, 'New York Water Taxi'!C30)</f>
        <v>1038</v>
      </c>
      <c r="F26" s="85"/>
      <c r="G26" s="517" t="s">
        <v>9</v>
      </c>
      <c r="H26" s="541">
        <f>SUM('NY Waterway-(Port Imperial FC)'!I41:L41, 'Liberty Landing Ferry'!C41, 'New York Water Taxi'!C41)</f>
        <v>1615</v>
      </c>
      <c r="I26" s="85"/>
      <c r="J26" s="517" t="s">
        <v>9</v>
      </c>
      <c r="K26" s="541">
        <f>SUM('NY Waterway-(Port Imperial FC)'!I52:L52, 'Liberty Landing Ferry'!C52, 'New York Water Taxi'!C52)</f>
        <v>2084</v>
      </c>
      <c r="L26" s="85"/>
      <c r="M26" s="517" t="s">
        <v>9</v>
      </c>
      <c r="N26" s="541">
        <f>SUM('NY Waterway-(Port Imperial FC)'!I63:L63,'Liberty Landing Ferry'!C63,'New York Water Taxi'!C63)</f>
        <v>2527</v>
      </c>
      <c r="P26" s="426" t="s">
        <v>106</v>
      </c>
      <c r="Q26" s="429">
        <v>22</v>
      </c>
    </row>
    <row r="27" spans="1:18" ht="12.95" customHeight="1" thickBot="1" x14ac:dyDescent="0.3">
      <c r="A27" s="523"/>
      <c r="B27" s="543"/>
      <c r="C27" s="90"/>
      <c r="D27" s="523"/>
      <c r="E27" s="542"/>
      <c r="F27" s="85"/>
      <c r="G27" s="523"/>
      <c r="H27" s="542"/>
      <c r="I27" s="85"/>
      <c r="J27" s="523"/>
      <c r="K27" s="542"/>
      <c r="L27" s="85"/>
      <c r="M27" s="523"/>
      <c r="N27" s="542"/>
      <c r="P27" s="424"/>
      <c r="Q27" s="427"/>
    </row>
    <row r="28" spans="1:18" s="99" customFormat="1" ht="12.95" customHeight="1" x14ac:dyDescent="0.2">
      <c r="A28" s="517" t="s">
        <v>7</v>
      </c>
      <c r="B28" s="521">
        <f>SUM('New York Water Taxi'!D19)</f>
        <v>0</v>
      </c>
      <c r="C28" s="10"/>
      <c r="D28" s="517" t="s">
        <v>7</v>
      </c>
      <c r="E28" s="521">
        <f>SUM('New York Water Taxi'!D30)</f>
        <v>0</v>
      </c>
      <c r="F28" s="98"/>
      <c r="G28" s="517" t="s">
        <v>7</v>
      </c>
      <c r="H28" s="521">
        <f>SUM('New York Water Taxi'!D41)</f>
        <v>0</v>
      </c>
      <c r="I28" s="98"/>
      <c r="J28" s="517" t="s">
        <v>7</v>
      </c>
      <c r="K28" s="521">
        <f>SUM('New York Water Taxi'!D52)</f>
        <v>0</v>
      </c>
      <c r="L28" s="98"/>
      <c r="M28" s="517" t="s">
        <v>7</v>
      </c>
      <c r="N28" s="521">
        <f>SUM('New York Water Taxi'!D63)</f>
        <v>0</v>
      </c>
      <c r="P28" s="569" t="s">
        <v>107</v>
      </c>
      <c r="Q28" s="575">
        <f>Q22/Q26</f>
        <v>8096.409090909091</v>
      </c>
    </row>
    <row r="29" spans="1:18" s="99" customFormat="1" ht="12.95" customHeight="1" thickBot="1" x14ac:dyDescent="0.25">
      <c r="A29" s="523"/>
      <c r="B29" s="522"/>
      <c r="C29" s="93"/>
      <c r="D29" s="523"/>
      <c r="E29" s="553"/>
      <c r="F29" s="98"/>
      <c r="G29" s="523"/>
      <c r="H29" s="553"/>
      <c r="I29" s="98"/>
      <c r="J29" s="523"/>
      <c r="K29" s="553"/>
      <c r="L29" s="98"/>
      <c r="M29" s="523"/>
      <c r="N29" s="553"/>
      <c r="P29" s="570"/>
      <c r="Q29" s="576"/>
    </row>
    <row r="30" spans="1:18" ht="12.75" customHeight="1" thickBot="1" x14ac:dyDescent="0.3">
      <c r="A30" s="517" t="s">
        <v>93</v>
      </c>
      <c r="B30" s="521">
        <f>SUM('New York Water Taxi'!F19)</f>
        <v>0</v>
      </c>
      <c r="C30" s="85"/>
      <c r="D30" s="517" t="s">
        <v>93</v>
      </c>
      <c r="E30" s="521">
        <f>SUM('New York Water Taxi'!F30)</f>
        <v>0</v>
      </c>
      <c r="F30" s="85"/>
      <c r="G30" s="517" t="s">
        <v>93</v>
      </c>
      <c r="H30" s="521">
        <f>SUM('New York Water Taxi'!F41)</f>
        <v>0</v>
      </c>
      <c r="I30" s="85"/>
      <c r="J30" s="517" t="s">
        <v>93</v>
      </c>
      <c r="K30" s="521">
        <f>SUM('New York Water Taxi'!F52)</f>
        <v>0</v>
      </c>
      <c r="L30" s="85"/>
      <c r="M30" s="517" t="s">
        <v>93</v>
      </c>
      <c r="N30" s="521">
        <f>SUM('New York Water Taxi'!F63)</f>
        <v>0</v>
      </c>
      <c r="P30" s="571"/>
      <c r="Q30" s="577"/>
    </row>
    <row r="31" spans="1:18" ht="14.25" thickBot="1" x14ac:dyDescent="0.3">
      <c r="A31" s="523"/>
      <c r="B31" s="522"/>
      <c r="C31" s="85"/>
      <c r="D31" s="523"/>
      <c r="E31" s="525"/>
      <c r="F31" s="85"/>
      <c r="G31" s="523"/>
      <c r="H31" s="524"/>
      <c r="I31" s="85"/>
      <c r="J31" s="523"/>
      <c r="K31" s="525"/>
      <c r="L31" s="85"/>
      <c r="M31" s="523"/>
      <c r="N31" s="524"/>
    </row>
    <row r="32" spans="1:18" ht="12.75" customHeight="1" x14ac:dyDescent="0.25">
      <c r="A32" s="517" t="s">
        <v>90</v>
      </c>
      <c r="B32" s="521">
        <f>('New York Water Taxi'!G19)</f>
        <v>0</v>
      </c>
      <c r="C32" s="85"/>
      <c r="D32" s="517" t="s">
        <v>90</v>
      </c>
      <c r="E32" s="521">
        <f>'New York Water Taxi'!G30</f>
        <v>0</v>
      </c>
      <c r="F32" s="85"/>
      <c r="G32" s="517" t="s">
        <v>90</v>
      </c>
      <c r="H32" s="521">
        <f>'New York Water Taxi'!G41</f>
        <v>0</v>
      </c>
      <c r="I32" s="85"/>
      <c r="J32" s="517" t="s">
        <v>90</v>
      </c>
      <c r="K32" s="521">
        <f>'New York Water Taxi'!G52</f>
        <v>0</v>
      </c>
      <c r="L32" s="85"/>
      <c r="M32" s="517" t="s">
        <v>90</v>
      </c>
      <c r="N32" s="521">
        <f>SUM('New York Water Taxi'!G63)</f>
        <v>0</v>
      </c>
    </row>
    <row r="33" spans="1:14" ht="14.25" customHeight="1" thickBot="1" x14ac:dyDescent="0.3">
      <c r="A33" s="523"/>
      <c r="B33" s="522"/>
      <c r="C33" s="85"/>
      <c r="D33" s="523"/>
      <c r="E33" s="557"/>
      <c r="F33" s="85"/>
      <c r="G33" s="523"/>
      <c r="H33" s="527"/>
      <c r="I33" s="85"/>
      <c r="J33" s="523"/>
      <c r="K33" s="522"/>
      <c r="L33" s="85"/>
      <c r="M33" s="523"/>
      <c r="N33" s="522"/>
    </row>
    <row r="34" spans="1:14" x14ac:dyDescent="0.25">
      <c r="A34" s="519" t="s">
        <v>60</v>
      </c>
      <c r="B34" s="521">
        <f>SUM('NYC Ferry'!D14+'NYC Ferry'!N14,'New York Water Taxi'!E19)</f>
        <v>911</v>
      </c>
      <c r="C34" s="85"/>
      <c r="D34" s="519" t="s">
        <v>60</v>
      </c>
      <c r="E34" s="521">
        <f>SUM('NYC Ferry'!D25+'NYC Ferry'!N25,'New York Water Taxi'!E30)</f>
        <v>2018</v>
      </c>
      <c r="F34" s="85"/>
      <c r="G34" s="519" t="s">
        <v>60</v>
      </c>
      <c r="H34" s="521">
        <f>SUM('NYC Ferry'!D36+'NYC Ferry'!N36,'New York Water Taxi'!E41)</f>
        <v>1489</v>
      </c>
      <c r="I34" s="85"/>
      <c r="J34" s="519" t="s">
        <v>60</v>
      </c>
      <c r="K34" s="521">
        <f>SUM('NYC Ferry'!D47+'NYC Ferry'!N47,'New York Water Taxi'!E52)</f>
        <v>2714</v>
      </c>
      <c r="L34" s="85"/>
      <c r="M34" s="519" t="s">
        <v>60</v>
      </c>
      <c r="N34" s="521">
        <f>SUM('NYC Ferry'!D58,'NYC Ferry'!N58,'New York Water Taxi'!E63)</f>
        <v>930</v>
      </c>
    </row>
    <row r="35" spans="1:14" ht="14.25" thickBot="1" x14ac:dyDescent="0.3">
      <c r="A35" s="520"/>
      <c r="B35" s="522"/>
      <c r="C35" s="85"/>
      <c r="D35" s="520"/>
      <c r="E35" s="522"/>
      <c r="F35" s="85"/>
      <c r="G35" s="520"/>
      <c r="H35" s="522"/>
      <c r="I35" s="85"/>
      <c r="J35" s="520"/>
      <c r="K35" s="522"/>
      <c r="L35" s="85"/>
      <c r="M35" s="520"/>
      <c r="N35" s="522"/>
    </row>
    <row r="36" spans="1:14" ht="12.75" customHeight="1" x14ac:dyDescent="0.25">
      <c r="A36" s="519" t="s">
        <v>61</v>
      </c>
      <c r="B36" s="521">
        <f>SUM('NYC Ferry'!E14)</f>
        <v>578</v>
      </c>
      <c r="C36" s="85"/>
      <c r="D36" s="519" t="s">
        <v>61</v>
      </c>
      <c r="E36" s="521">
        <f>SUM('NYC Ferry'!E25)</f>
        <v>1129</v>
      </c>
      <c r="F36" s="85"/>
      <c r="G36" s="519" t="s">
        <v>61</v>
      </c>
      <c r="H36" s="521">
        <f>SUM('NYC Ferry'!E36)</f>
        <v>1204</v>
      </c>
      <c r="I36" s="85"/>
      <c r="J36" s="519" t="s">
        <v>61</v>
      </c>
      <c r="K36" s="521">
        <f>SUM('NYC Ferry'!E47)</f>
        <v>1677</v>
      </c>
      <c r="L36" s="85"/>
      <c r="M36" s="519" t="s">
        <v>61</v>
      </c>
      <c r="N36" s="521">
        <f>SUM('NYC Ferry'!E58)</f>
        <v>467</v>
      </c>
    </row>
    <row r="37" spans="1:14" ht="13.5" customHeight="1" thickBot="1" x14ac:dyDescent="0.3">
      <c r="A37" s="520"/>
      <c r="B37" s="522"/>
      <c r="C37" s="85"/>
      <c r="D37" s="520"/>
      <c r="E37" s="522"/>
      <c r="F37" s="85"/>
      <c r="G37" s="520"/>
      <c r="H37" s="522"/>
      <c r="I37" s="85"/>
      <c r="J37" s="520"/>
      <c r="K37" s="522"/>
      <c r="L37" s="85"/>
      <c r="M37" s="520"/>
      <c r="N37" s="522"/>
    </row>
    <row r="38" spans="1:14" ht="12.75" customHeight="1" x14ac:dyDescent="0.25">
      <c r="A38" s="519" t="s">
        <v>11</v>
      </c>
      <c r="B38" s="521">
        <f>SUM('NYC Ferry'!F14)</f>
        <v>881</v>
      </c>
      <c r="C38" s="85"/>
      <c r="D38" s="519" t="s">
        <v>11</v>
      </c>
      <c r="E38" s="521">
        <f>SUM('NYC Ferry'!F25)</f>
        <v>1447</v>
      </c>
      <c r="F38" s="85"/>
      <c r="G38" s="519" t="s">
        <v>11</v>
      </c>
      <c r="H38" s="521">
        <f>SUM('NYC Ferry'!F36)</f>
        <v>1807</v>
      </c>
      <c r="I38" s="85"/>
      <c r="J38" s="519" t="s">
        <v>11</v>
      </c>
      <c r="K38" s="521">
        <f>SUM('NYC Ferry'!F47)</f>
        <v>1936</v>
      </c>
      <c r="L38" s="85"/>
      <c r="M38" s="519" t="s">
        <v>11</v>
      </c>
      <c r="N38" s="521">
        <f>SUM('NYC Ferry'!F58)</f>
        <v>835</v>
      </c>
    </row>
    <row r="39" spans="1:14" ht="13.5" customHeight="1" thickBot="1" x14ac:dyDescent="0.3">
      <c r="A39" s="520"/>
      <c r="B39" s="522"/>
      <c r="C39" s="85"/>
      <c r="D39" s="520"/>
      <c r="E39" s="522"/>
      <c r="F39" s="85"/>
      <c r="G39" s="520"/>
      <c r="H39" s="522"/>
      <c r="I39" s="85"/>
      <c r="J39" s="520"/>
      <c r="K39" s="522"/>
      <c r="L39" s="85"/>
      <c r="M39" s="520"/>
      <c r="N39" s="522"/>
    </row>
    <row r="40" spans="1:14" ht="12.75" customHeight="1" x14ac:dyDescent="0.25">
      <c r="A40" s="519" t="s">
        <v>12</v>
      </c>
      <c r="B40" s="521">
        <f>SUM('NYC Ferry'!G14)</f>
        <v>708</v>
      </c>
      <c r="C40" s="85"/>
      <c r="D40" s="519" t="s">
        <v>12</v>
      </c>
      <c r="E40" s="521">
        <f>SUM('NYC Ferry'!G25)</f>
        <v>1099</v>
      </c>
      <c r="F40" s="85"/>
      <c r="G40" s="519" t="s">
        <v>12</v>
      </c>
      <c r="H40" s="521">
        <f>SUM('NYC Ferry'!G36)</f>
        <v>1150</v>
      </c>
      <c r="I40" s="85"/>
      <c r="J40" s="519" t="s">
        <v>12</v>
      </c>
      <c r="K40" s="521">
        <f>SUM('NYC Ferry'!G47)</f>
        <v>1412</v>
      </c>
      <c r="L40" s="85"/>
      <c r="M40" s="519" t="s">
        <v>12</v>
      </c>
      <c r="N40" s="521">
        <f>SUM('NYC Ferry'!G58)</f>
        <v>590</v>
      </c>
    </row>
    <row r="41" spans="1:14" ht="13.5" customHeight="1" thickBot="1" x14ac:dyDescent="0.3">
      <c r="A41" s="520"/>
      <c r="B41" s="522"/>
      <c r="C41" s="85"/>
      <c r="D41" s="520"/>
      <c r="E41" s="522"/>
      <c r="F41" s="85"/>
      <c r="G41" s="520"/>
      <c r="H41" s="522"/>
      <c r="I41" s="85"/>
      <c r="J41" s="520"/>
      <c r="K41" s="522"/>
      <c r="L41" s="85"/>
      <c r="M41" s="520"/>
      <c r="N41" s="522"/>
    </row>
    <row r="42" spans="1:14" ht="12.75" customHeight="1" x14ac:dyDescent="0.25">
      <c r="A42" s="519" t="s">
        <v>86</v>
      </c>
      <c r="B42" s="521">
        <f>SUM('NYC Ferry'!H14,)</f>
        <v>751</v>
      </c>
      <c r="C42" s="85"/>
      <c r="D42" s="519" t="s">
        <v>86</v>
      </c>
      <c r="E42" s="521">
        <f>SUM('NYC Ferry'!H25)</f>
        <v>1459</v>
      </c>
      <c r="F42" s="85"/>
      <c r="G42" s="519" t="s">
        <v>86</v>
      </c>
      <c r="H42" s="521">
        <f>SUM('NYC Ferry'!H36)</f>
        <v>1569</v>
      </c>
      <c r="I42" s="85"/>
      <c r="J42" s="519" t="s">
        <v>86</v>
      </c>
      <c r="K42" s="521">
        <f>SUM('NYC Ferry'!H47)</f>
        <v>1769</v>
      </c>
      <c r="L42" s="85"/>
      <c r="M42" s="519" t="s">
        <v>86</v>
      </c>
      <c r="N42" s="521">
        <f>SUM('NYC Ferry'!H58,)</f>
        <v>705</v>
      </c>
    </row>
    <row r="43" spans="1:14" ht="13.5" customHeight="1" thickBot="1" x14ac:dyDescent="0.3">
      <c r="A43" s="520"/>
      <c r="B43" s="522"/>
      <c r="C43" s="85"/>
      <c r="D43" s="520"/>
      <c r="E43" s="522"/>
      <c r="F43" s="85"/>
      <c r="G43" s="520"/>
      <c r="H43" s="522"/>
      <c r="I43" s="85"/>
      <c r="J43" s="520"/>
      <c r="K43" s="522"/>
      <c r="L43" s="85"/>
      <c r="M43" s="520"/>
      <c r="N43" s="522"/>
    </row>
    <row r="44" spans="1:14" ht="12.75" customHeight="1" x14ac:dyDescent="0.25">
      <c r="A44" s="519" t="s">
        <v>74</v>
      </c>
      <c r="B44" s="521">
        <f>SUM('NYC Ferry'!P14)</f>
        <v>167</v>
      </c>
      <c r="C44" s="85"/>
      <c r="D44" s="519" t="s">
        <v>74</v>
      </c>
      <c r="E44" s="521">
        <f>SUM('NYC Ferry'!P25)</f>
        <v>293</v>
      </c>
      <c r="F44" s="85"/>
      <c r="G44" s="519" t="s">
        <v>74</v>
      </c>
      <c r="H44" s="521">
        <f>SUM('NYC Ferry'!P36)</f>
        <v>262</v>
      </c>
      <c r="I44" s="85"/>
      <c r="J44" s="519" t="s">
        <v>74</v>
      </c>
      <c r="K44" s="521">
        <f>SUM('NYC Ferry'!P47)</f>
        <v>341</v>
      </c>
      <c r="L44" s="85"/>
      <c r="M44" s="519" t="s">
        <v>74</v>
      </c>
      <c r="N44" s="521">
        <f>SUM('NYC Ferry'!P58)</f>
        <v>144</v>
      </c>
    </row>
    <row r="45" spans="1:14" ht="13.5" customHeight="1" thickBot="1" x14ac:dyDescent="0.3">
      <c r="A45" s="520"/>
      <c r="B45" s="522"/>
      <c r="C45" s="85"/>
      <c r="D45" s="520"/>
      <c r="E45" s="522"/>
      <c r="F45" s="85"/>
      <c r="G45" s="520"/>
      <c r="H45" s="522"/>
      <c r="I45" s="85"/>
      <c r="J45" s="520"/>
      <c r="K45" s="522"/>
      <c r="L45" s="85"/>
      <c r="M45" s="520"/>
      <c r="N45" s="522"/>
    </row>
    <row r="46" spans="1:14" ht="13.5" customHeight="1" x14ac:dyDescent="0.25">
      <c r="A46" s="519" t="s">
        <v>99</v>
      </c>
      <c r="B46" s="521">
        <f>'New York Water Taxi'!K19</f>
        <v>0</v>
      </c>
      <c r="C46" s="85"/>
      <c r="D46" s="519" t="s">
        <v>99</v>
      </c>
      <c r="E46" s="521">
        <f>'New York Water Taxi'!K30</f>
        <v>0</v>
      </c>
      <c r="F46" s="85"/>
      <c r="G46" s="519" t="s">
        <v>99</v>
      </c>
      <c r="H46" s="521">
        <f>SUM('New York Water Taxi'!K41)</f>
        <v>0</v>
      </c>
      <c r="I46" s="85"/>
      <c r="J46" s="519" t="s">
        <v>99</v>
      </c>
      <c r="K46" s="521">
        <f>'New York Water Taxi'!K52</f>
        <v>0</v>
      </c>
      <c r="L46" s="85"/>
      <c r="M46" s="519" t="s">
        <v>99</v>
      </c>
      <c r="N46" s="521">
        <f>SUM('New York Water Taxi'!K63)</f>
        <v>0</v>
      </c>
    </row>
    <row r="47" spans="1:14" ht="13.5" customHeight="1" thickBot="1" x14ac:dyDescent="0.3">
      <c r="A47" s="520"/>
      <c r="B47" s="522"/>
      <c r="C47" s="85"/>
      <c r="D47" s="520"/>
      <c r="E47" s="522"/>
      <c r="F47" s="85"/>
      <c r="G47" s="520"/>
      <c r="H47" s="562"/>
      <c r="I47" s="85"/>
      <c r="J47" s="520"/>
      <c r="K47" s="562"/>
      <c r="L47" s="85"/>
      <c r="M47" s="520"/>
      <c r="N47" s="562"/>
    </row>
    <row r="48" spans="1:14" ht="13.5" customHeight="1" x14ac:dyDescent="0.25">
      <c r="A48" s="555" t="s">
        <v>105</v>
      </c>
      <c r="B48" s="521">
        <f>SUM('NYC Ferry'!K14,'NYC Ferry'!Q14,'New York Water Taxi'!I19)</f>
        <v>1276</v>
      </c>
      <c r="C48" s="85"/>
      <c r="D48" s="555" t="s">
        <v>105</v>
      </c>
      <c r="E48" s="521">
        <f>SUM('NYC Ferry'!K25,'NYC Ferry'!Q25,'New York Water Taxi'!I30)</f>
        <v>1675</v>
      </c>
      <c r="F48" s="85"/>
      <c r="G48" s="555" t="s">
        <v>105</v>
      </c>
      <c r="H48" s="521">
        <f>SUM('NYC Ferry'!K36,'NYC Ferry'!Q36,'New York Water Taxi'!I41)</f>
        <v>1877</v>
      </c>
      <c r="I48" s="85"/>
      <c r="J48" s="555" t="s">
        <v>105</v>
      </c>
      <c r="K48" s="521">
        <f>SUM('NYC Ferry'!K47,'NYC Ferry'!Q47,'New York Water Taxi'!I52)</f>
        <v>2251</v>
      </c>
      <c r="L48" s="85"/>
      <c r="M48" s="555" t="s">
        <v>105</v>
      </c>
      <c r="N48" s="521">
        <f>SUM('NYC Ferry'!K58,'NYC Ferry'!Q58,'New York Water Taxi'!I63)</f>
        <v>886</v>
      </c>
    </row>
    <row r="49" spans="1:14" ht="13.5" customHeight="1" thickBot="1" x14ac:dyDescent="0.3">
      <c r="A49" s="556"/>
      <c r="B49" s="522"/>
      <c r="C49" s="85"/>
      <c r="D49" s="556"/>
      <c r="E49" s="522"/>
      <c r="F49" s="85"/>
      <c r="G49" s="556"/>
      <c r="H49" s="527"/>
      <c r="I49" s="85"/>
      <c r="J49" s="556"/>
      <c r="K49" s="527"/>
      <c r="L49" s="85"/>
      <c r="M49" s="556"/>
      <c r="N49" s="527"/>
    </row>
    <row r="50" spans="1:14" ht="13.5" customHeight="1" x14ac:dyDescent="0.25">
      <c r="A50" s="519" t="s">
        <v>80</v>
      </c>
      <c r="B50" s="521">
        <f>SUM('NYC Ferry'!AG14,'NYC Ferry'!AD14)</f>
        <v>206</v>
      </c>
      <c r="C50" s="85"/>
      <c r="D50" s="519" t="s">
        <v>80</v>
      </c>
      <c r="E50" s="521">
        <f>SUM('NYC Ferry'!AG25,'NYC Ferry'!AD25)</f>
        <v>439</v>
      </c>
      <c r="F50" s="85"/>
      <c r="G50" s="519" t="s">
        <v>80</v>
      </c>
      <c r="H50" s="526">
        <f>SUM('NYC Ferry'!AG36,'NYC Ferry'!AD36,)</f>
        <v>489</v>
      </c>
      <c r="I50" s="85"/>
      <c r="J50" s="519" t="s">
        <v>80</v>
      </c>
      <c r="K50" s="526">
        <f>SUM('NYC Ferry'!AG47,'NYC Ferry'!AD47,)</f>
        <v>502</v>
      </c>
      <c r="L50" s="85"/>
      <c r="M50" s="519" t="s">
        <v>80</v>
      </c>
      <c r="N50" s="526">
        <f>SUM('NYC Ferry'!AG58,'NYC Ferry'!AD58,)</f>
        <v>195</v>
      </c>
    </row>
    <row r="51" spans="1:14" ht="13.5" customHeight="1" thickBot="1" x14ac:dyDescent="0.3">
      <c r="A51" s="520"/>
      <c r="B51" s="522"/>
      <c r="C51" s="85"/>
      <c r="D51" s="520"/>
      <c r="E51" s="522"/>
      <c r="F51" s="85"/>
      <c r="G51" s="520"/>
      <c r="H51" s="527"/>
      <c r="I51" s="85"/>
      <c r="J51" s="520"/>
      <c r="K51" s="527"/>
      <c r="L51" s="85"/>
      <c r="M51" s="520"/>
      <c r="N51" s="527"/>
    </row>
    <row r="52" spans="1:14" ht="13.5" customHeight="1" x14ac:dyDescent="0.25">
      <c r="A52" s="519" t="s">
        <v>81</v>
      </c>
      <c r="B52" s="521">
        <f>SUM('NYC Ferry'!AF14,'NYC Ferry'!S14)</f>
        <v>146</v>
      </c>
      <c r="C52" s="85"/>
      <c r="D52" s="519" t="s">
        <v>81</v>
      </c>
      <c r="E52" s="521">
        <f>SUM('NYC Ferry'!AF25,'NYC Ferry'!S25)</f>
        <v>327</v>
      </c>
      <c r="F52" s="85"/>
      <c r="G52" s="519" t="s">
        <v>81</v>
      </c>
      <c r="H52" s="526">
        <f>SUM('NYC Ferry'!AF36,'NYC Ferry'!S36,)</f>
        <v>425</v>
      </c>
      <c r="I52" s="85"/>
      <c r="J52" s="519" t="s">
        <v>81</v>
      </c>
      <c r="K52" s="526">
        <f>SUM('NYC Ferry'!AF47,'NYC Ferry'!S47,)</f>
        <v>408</v>
      </c>
      <c r="L52" s="85"/>
      <c r="M52" s="519" t="s">
        <v>81</v>
      </c>
      <c r="N52" s="526">
        <f>SUM('NYC Ferry'!AF58,'NYC Ferry'!S58,)</f>
        <v>140</v>
      </c>
    </row>
    <row r="53" spans="1:14" ht="13.5" customHeight="1" thickBot="1" x14ac:dyDescent="0.3">
      <c r="A53" s="520"/>
      <c r="B53" s="522"/>
      <c r="C53" s="85"/>
      <c r="D53" s="520"/>
      <c r="E53" s="522"/>
      <c r="F53" s="85"/>
      <c r="G53" s="520"/>
      <c r="H53" s="527"/>
      <c r="I53" s="85"/>
      <c r="J53" s="520"/>
      <c r="K53" s="527"/>
      <c r="L53" s="85"/>
      <c r="M53" s="520"/>
      <c r="N53" s="527"/>
    </row>
    <row r="54" spans="1:14" ht="13.5" customHeight="1" x14ac:dyDescent="0.25">
      <c r="A54" s="519" t="s">
        <v>83</v>
      </c>
      <c r="B54" s="521">
        <f>SUM('NYC Ferry'!AC14)</f>
        <v>933</v>
      </c>
      <c r="C54" s="85"/>
      <c r="D54" s="519" t="s">
        <v>83</v>
      </c>
      <c r="E54" s="521">
        <f>SUM('NYC Ferry'!AC25)</f>
        <v>1640</v>
      </c>
      <c r="F54" s="85"/>
      <c r="G54" s="519" t="s">
        <v>83</v>
      </c>
      <c r="H54" s="526">
        <f>SUM('NYC Ferry'!AC36)</f>
        <v>1808</v>
      </c>
      <c r="I54" s="85"/>
      <c r="J54" s="519" t="s">
        <v>83</v>
      </c>
      <c r="K54" s="526">
        <f>SUM('NYC Ferry'!AC47)</f>
        <v>2060</v>
      </c>
      <c r="L54" s="85"/>
      <c r="M54" s="519" t="s">
        <v>83</v>
      </c>
      <c r="N54" s="526">
        <f>SUM('NYC Ferry'!AC58)</f>
        <v>806</v>
      </c>
    </row>
    <row r="55" spans="1:14" ht="13.5" customHeight="1" thickBot="1" x14ac:dyDescent="0.3">
      <c r="A55" s="520"/>
      <c r="B55" s="522"/>
      <c r="C55" s="85"/>
      <c r="D55" s="520"/>
      <c r="E55" s="522"/>
      <c r="F55" s="85"/>
      <c r="G55" s="520"/>
      <c r="H55" s="527"/>
      <c r="I55" s="85"/>
      <c r="J55" s="520"/>
      <c r="K55" s="527"/>
      <c r="L55" s="85"/>
      <c r="M55" s="520"/>
      <c r="N55" s="527"/>
    </row>
    <row r="56" spans="1:14" ht="13.5" customHeight="1" x14ac:dyDescent="0.25">
      <c r="A56" s="519" t="s">
        <v>82</v>
      </c>
      <c r="B56" s="521">
        <f>SUM('NYC Ferry'!AB14)</f>
        <v>638</v>
      </c>
      <c r="C56" s="85"/>
      <c r="D56" s="519" t="s">
        <v>82</v>
      </c>
      <c r="E56" s="521">
        <f>SUM('NYC Ferry'!AB25)</f>
        <v>1261</v>
      </c>
      <c r="F56" s="85"/>
      <c r="G56" s="519" t="s">
        <v>82</v>
      </c>
      <c r="H56" s="526">
        <f>SUM('NYC Ferry'!AB36)</f>
        <v>1392</v>
      </c>
      <c r="I56" s="85"/>
      <c r="J56" s="519" t="s">
        <v>82</v>
      </c>
      <c r="K56" s="526">
        <f>SUM('NYC Ferry'!AB47)</f>
        <v>1736</v>
      </c>
      <c r="L56" s="85"/>
      <c r="M56" s="519" t="s">
        <v>82</v>
      </c>
      <c r="N56" s="526">
        <f>SUM('NYC Ferry'!AB58)</f>
        <v>656</v>
      </c>
    </row>
    <row r="57" spans="1:14" ht="13.5" customHeight="1" thickBot="1" x14ac:dyDescent="0.3">
      <c r="A57" s="520"/>
      <c r="B57" s="522"/>
      <c r="C57" s="85"/>
      <c r="D57" s="520"/>
      <c r="E57" s="522"/>
      <c r="F57" s="85"/>
      <c r="G57" s="520"/>
      <c r="H57" s="527"/>
      <c r="I57" s="85"/>
      <c r="J57" s="520"/>
      <c r="K57" s="527"/>
      <c r="L57" s="85"/>
      <c r="M57" s="520"/>
      <c r="N57" s="527"/>
    </row>
    <row r="58" spans="1:14" ht="12.75" customHeight="1" x14ac:dyDescent="0.25">
      <c r="A58" s="519" t="s">
        <v>13</v>
      </c>
      <c r="B58" s="521">
        <f>SUM('NYC Ferry'!O14)</f>
        <v>208</v>
      </c>
      <c r="C58" s="85"/>
      <c r="D58" s="519" t="s">
        <v>13</v>
      </c>
      <c r="E58" s="521">
        <f>'NYC Ferry'!O25</f>
        <v>420</v>
      </c>
      <c r="F58" s="85"/>
      <c r="G58" s="519" t="s">
        <v>13</v>
      </c>
      <c r="H58" s="521">
        <f>'NYC Ferry'!O36</f>
        <v>689</v>
      </c>
      <c r="I58" s="85"/>
      <c r="J58" s="519" t="s">
        <v>13</v>
      </c>
      <c r="K58" s="521">
        <f>'NYC Ferry'!O47</f>
        <v>653</v>
      </c>
      <c r="L58" s="85"/>
      <c r="M58" s="519" t="s">
        <v>13</v>
      </c>
      <c r="N58" s="521">
        <f>SUM('NYC Ferry'!O58)</f>
        <v>326</v>
      </c>
    </row>
    <row r="59" spans="1:14" ht="13.5" customHeight="1" thickBot="1" x14ac:dyDescent="0.3">
      <c r="A59" s="520"/>
      <c r="B59" s="522"/>
      <c r="C59" s="85"/>
      <c r="D59" s="520"/>
      <c r="E59" s="522"/>
      <c r="F59" s="85"/>
      <c r="G59" s="520"/>
      <c r="H59" s="522"/>
      <c r="I59" s="85"/>
      <c r="J59" s="520"/>
      <c r="K59" s="522"/>
      <c r="L59" s="85"/>
      <c r="M59" s="520"/>
      <c r="N59" s="522"/>
    </row>
    <row r="60" spans="1:14" ht="13.5" customHeight="1" x14ac:dyDescent="0.25">
      <c r="A60" s="558" t="s">
        <v>31</v>
      </c>
      <c r="B60" s="521">
        <f>'NYC Ferry'!AK14</f>
        <v>0</v>
      </c>
      <c r="C60" s="85"/>
      <c r="D60" s="558" t="s">
        <v>31</v>
      </c>
      <c r="E60" s="521">
        <f>'NYC Ferry'!AK25</f>
        <v>0</v>
      </c>
      <c r="F60" s="85"/>
      <c r="G60" s="558" t="s">
        <v>31</v>
      </c>
      <c r="H60" s="562">
        <f>'NYC Ferry'!AK36</f>
        <v>0</v>
      </c>
      <c r="I60" s="85"/>
      <c r="J60" s="558" t="s">
        <v>31</v>
      </c>
      <c r="K60" s="562">
        <f>'NYC Ferry'!AK47</f>
        <v>0</v>
      </c>
      <c r="L60" s="85"/>
      <c r="M60" s="558" t="s">
        <v>31</v>
      </c>
      <c r="N60" s="562">
        <f>SUM('NYC Ferry'!AK58)</f>
        <v>0</v>
      </c>
    </row>
    <row r="61" spans="1:14" ht="13.5" customHeight="1" thickBot="1" x14ac:dyDescent="0.3">
      <c r="A61" s="520"/>
      <c r="B61" s="522"/>
      <c r="C61" s="85"/>
      <c r="D61" s="520"/>
      <c r="E61" s="522"/>
      <c r="F61" s="85"/>
      <c r="G61" s="520"/>
      <c r="H61" s="522"/>
      <c r="I61" s="85"/>
      <c r="J61" s="520"/>
      <c r="K61" s="522"/>
      <c r="L61" s="85"/>
      <c r="M61" s="520"/>
      <c r="N61" s="522"/>
    </row>
    <row r="62" spans="1:14" ht="13.5" customHeight="1" x14ac:dyDescent="0.25">
      <c r="A62" s="519" t="s">
        <v>73</v>
      </c>
      <c r="B62" s="521">
        <f>'NYC Ferry'!R14</f>
        <v>350</v>
      </c>
      <c r="C62" s="85"/>
      <c r="D62" s="519" t="s">
        <v>73</v>
      </c>
      <c r="E62" s="521">
        <f>'NYC Ferry'!R25</f>
        <v>716</v>
      </c>
      <c r="F62" s="85"/>
      <c r="G62" s="519" t="s">
        <v>73</v>
      </c>
      <c r="H62" s="562">
        <f>'NYC Ferry'!R36</f>
        <v>982</v>
      </c>
      <c r="I62" s="85"/>
      <c r="J62" s="519" t="s">
        <v>73</v>
      </c>
      <c r="K62" s="562">
        <f>'NYC Ferry'!R47</f>
        <v>1069</v>
      </c>
      <c r="L62" s="85"/>
      <c r="M62" s="519" t="s">
        <v>73</v>
      </c>
      <c r="N62" s="562">
        <f>SUM('NYC Ferry'!R58)</f>
        <v>428</v>
      </c>
    </row>
    <row r="63" spans="1:14" ht="13.5" customHeight="1" thickBot="1" x14ac:dyDescent="0.3">
      <c r="A63" s="520"/>
      <c r="B63" s="522"/>
      <c r="C63" s="85"/>
      <c r="D63" s="520"/>
      <c r="E63" s="522"/>
      <c r="F63" s="85"/>
      <c r="G63" s="520"/>
      <c r="H63" s="522"/>
      <c r="I63" s="85"/>
      <c r="J63" s="520"/>
      <c r="K63" s="522"/>
      <c r="L63" s="85"/>
      <c r="M63" s="520"/>
      <c r="N63" s="522"/>
    </row>
    <row r="64" spans="1:14" ht="13.5" customHeight="1" x14ac:dyDescent="0.25">
      <c r="A64" s="558" t="s">
        <v>68</v>
      </c>
      <c r="B64" s="521">
        <f>'NYC Ferry'!L14</f>
        <v>1050</v>
      </c>
      <c r="C64" s="85"/>
      <c r="D64" s="558" t="s">
        <v>68</v>
      </c>
      <c r="E64" s="521">
        <f>'NYC Ferry'!L25</f>
        <v>2707</v>
      </c>
      <c r="F64" s="85"/>
      <c r="G64" s="558" t="s">
        <v>68</v>
      </c>
      <c r="H64" s="562">
        <f>'NYC Ferry'!L36</f>
        <v>2522</v>
      </c>
      <c r="I64" s="85"/>
      <c r="J64" s="558" t="s">
        <v>68</v>
      </c>
      <c r="K64" s="562">
        <f>'NYC Ferry'!L47</f>
        <v>3961</v>
      </c>
      <c r="L64" s="85"/>
      <c r="M64" s="558" t="s">
        <v>68</v>
      </c>
      <c r="N64" s="562">
        <f>SUM('NYC Ferry'!L58)</f>
        <v>1494</v>
      </c>
    </row>
    <row r="65" spans="1:14" ht="13.5" customHeight="1" thickBot="1" x14ac:dyDescent="0.3">
      <c r="A65" s="520"/>
      <c r="B65" s="522"/>
      <c r="C65" s="85"/>
      <c r="D65" s="520"/>
      <c r="E65" s="522"/>
      <c r="F65" s="85"/>
      <c r="G65" s="520"/>
      <c r="H65" s="522"/>
      <c r="I65" s="85"/>
      <c r="J65" s="520"/>
      <c r="K65" s="522"/>
      <c r="L65" s="85"/>
      <c r="M65" s="520"/>
      <c r="N65" s="522"/>
    </row>
    <row r="66" spans="1:14" ht="13.5" customHeight="1" x14ac:dyDescent="0.25">
      <c r="A66" s="558" t="s">
        <v>75</v>
      </c>
      <c r="B66" s="521">
        <f>SUM('NYC Ferry'!Y14)</f>
        <v>765</v>
      </c>
      <c r="C66" s="85"/>
      <c r="D66" s="558" t="s">
        <v>75</v>
      </c>
      <c r="E66" s="521">
        <f>SUM('NYC Ferry'!Y25)</f>
        <v>1518</v>
      </c>
      <c r="F66" s="85"/>
      <c r="G66" s="558" t="s">
        <v>75</v>
      </c>
      <c r="H66" s="562">
        <f>SUM('NYC Ferry'!Y36)</f>
        <v>1660</v>
      </c>
      <c r="I66" s="85"/>
      <c r="J66" s="558" t="s">
        <v>75</v>
      </c>
      <c r="K66" s="562">
        <f>SUM('NYC Ferry'!Y47)</f>
        <v>1867</v>
      </c>
      <c r="L66" s="85"/>
      <c r="M66" s="558" t="s">
        <v>75</v>
      </c>
      <c r="N66" s="562">
        <f>SUM('NYC Ferry'!Y58)</f>
        <v>634</v>
      </c>
    </row>
    <row r="67" spans="1:14" ht="13.5" customHeight="1" thickBot="1" x14ac:dyDescent="0.3">
      <c r="A67" s="520"/>
      <c r="B67" s="522"/>
      <c r="C67" s="85"/>
      <c r="D67" s="520"/>
      <c r="E67" s="522"/>
      <c r="F67" s="85"/>
      <c r="G67" s="520"/>
      <c r="H67" s="522"/>
      <c r="I67" s="85"/>
      <c r="J67" s="520"/>
      <c r="K67" s="522"/>
      <c r="L67" s="85"/>
      <c r="M67" s="520"/>
      <c r="N67" s="522"/>
    </row>
    <row r="68" spans="1:14" ht="13.5" customHeight="1" x14ac:dyDescent="0.25">
      <c r="A68" s="558" t="s">
        <v>76</v>
      </c>
      <c r="B68" s="521">
        <f>SUM('NYC Ferry'!X14)</f>
        <v>396</v>
      </c>
      <c r="C68" s="85"/>
      <c r="D68" s="558" t="s">
        <v>76</v>
      </c>
      <c r="E68" s="521">
        <f>SUM('NYC Ferry'!X25)</f>
        <v>686</v>
      </c>
      <c r="F68" s="85"/>
      <c r="G68" s="558" t="s">
        <v>76</v>
      </c>
      <c r="H68" s="562">
        <f>SUM('NYC Ferry'!X36)</f>
        <v>900</v>
      </c>
      <c r="I68" s="85"/>
      <c r="J68" s="558" t="s">
        <v>76</v>
      </c>
      <c r="K68" s="562">
        <f>SUM('NYC Ferry'!X47)</f>
        <v>914</v>
      </c>
      <c r="L68" s="85"/>
      <c r="M68" s="558" t="s">
        <v>76</v>
      </c>
      <c r="N68" s="562">
        <f>SUM('NYC Ferry'!X58)</f>
        <v>467</v>
      </c>
    </row>
    <row r="69" spans="1:14" ht="13.5" customHeight="1" thickBot="1" x14ac:dyDescent="0.3">
      <c r="A69" s="520"/>
      <c r="B69" s="522"/>
      <c r="C69" s="85"/>
      <c r="D69" s="520"/>
      <c r="E69" s="522"/>
      <c r="F69" s="85"/>
      <c r="G69" s="520"/>
      <c r="H69" s="522"/>
      <c r="I69" s="85"/>
      <c r="J69" s="520"/>
      <c r="K69" s="522"/>
      <c r="L69" s="85"/>
      <c r="M69" s="520"/>
      <c r="N69" s="522"/>
    </row>
    <row r="70" spans="1:14" ht="13.5" customHeight="1" x14ac:dyDescent="0.25">
      <c r="A70" s="519" t="s">
        <v>103</v>
      </c>
      <c r="B70" s="521">
        <f>'NYC Ferry'!U14</f>
        <v>310</v>
      </c>
      <c r="C70" s="85"/>
      <c r="D70" s="519" t="s">
        <v>103</v>
      </c>
      <c r="E70" s="521">
        <f>'NYC Ferry'!U25</f>
        <v>470</v>
      </c>
      <c r="F70" s="85"/>
      <c r="G70" s="519" t="s">
        <v>103</v>
      </c>
      <c r="H70" s="521">
        <f>'NYC Ferry'!U36</f>
        <v>626</v>
      </c>
      <c r="I70" s="85"/>
      <c r="J70" s="519" t="s">
        <v>103</v>
      </c>
      <c r="K70" s="521">
        <f>'NYC Ferry'!U47</f>
        <v>658</v>
      </c>
      <c r="L70" s="85"/>
      <c r="M70" s="519" t="s">
        <v>103</v>
      </c>
      <c r="N70" s="521">
        <f>SUM('NYC Ferry'!U58)</f>
        <v>267</v>
      </c>
    </row>
    <row r="71" spans="1:14" ht="13.5" customHeight="1" thickBot="1" x14ac:dyDescent="0.3">
      <c r="A71" s="520"/>
      <c r="B71" s="522"/>
      <c r="C71" s="85"/>
      <c r="D71" s="520"/>
      <c r="E71" s="522"/>
      <c r="F71" s="85"/>
      <c r="G71" s="520"/>
      <c r="H71" s="522"/>
      <c r="I71" s="85"/>
      <c r="J71" s="520"/>
      <c r="K71" s="522"/>
      <c r="L71" s="85"/>
      <c r="M71" s="520"/>
      <c r="N71" s="522"/>
    </row>
    <row r="72" spans="1:14" ht="13.5" customHeight="1" x14ac:dyDescent="0.25">
      <c r="A72" s="519" t="s">
        <v>62</v>
      </c>
      <c r="B72" s="521">
        <f>SUM('NYC Ferry'!W14,'NYC Ferry'!AI14)</f>
        <v>1000</v>
      </c>
      <c r="C72" s="85"/>
      <c r="D72" s="519" t="s">
        <v>62</v>
      </c>
      <c r="E72" s="521">
        <f>SUM(,'NYC Ferry'!W25, 'NYC Ferry'!AI25)</f>
        <v>1609</v>
      </c>
      <c r="F72" s="85"/>
      <c r="G72" s="519" t="s">
        <v>62</v>
      </c>
      <c r="H72" s="521">
        <f>SUM(,'NYC Ferry'!W36,'NYC Ferry'!AI36)</f>
        <v>1764</v>
      </c>
      <c r="I72" s="85"/>
      <c r="J72" s="519" t="s">
        <v>62</v>
      </c>
      <c r="K72" s="521">
        <f>SUM('NYC Ferry'!W47,'NYC Ferry'!AI47)</f>
        <v>1973</v>
      </c>
      <c r="L72" s="85"/>
      <c r="M72" s="519" t="s">
        <v>62</v>
      </c>
      <c r="N72" s="521">
        <f>SUM('NYC Ferry'!W58,'NYC Ferry'!AI58)</f>
        <v>697</v>
      </c>
    </row>
    <row r="73" spans="1:14" ht="13.5" customHeight="1" thickBot="1" x14ac:dyDescent="0.3">
      <c r="A73" s="520"/>
      <c r="B73" s="522"/>
      <c r="C73" s="85"/>
      <c r="D73" s="520"/>
      <c r="E73" s="522"/>
      <c r="F73" s="85"/>
      <c r="G73" s="520"/>
      <c r="H73" s="522"/>
      <c r="I73" s="85"/>
      <c r="J73" s="520"/>
      <c r="K73" s="522"/>
      <c r="L73" s="85"/>
      <c r="M73" s="520"/>
      <c r="N73" s="522"/>
    </row>
    <row r="74" spans="1:14" ht="13.5" customHeight="1" x14ac:dyDescent="0.25">
      <c r="A74" s="559" t="s">
        <v>19</v>
      </c>
      <c r="B74" s="546">
        <f>SUM(B18:B73)</f>
        <v>20985</v>
      </c>
      <c r="C74" s="85"/>
      <c r="D74" s="559" t="s">
        <v>19</v>
      </c>
      <c r="E74" s="546">
        <f>SUM(E18:E73)</f>
        <v>38310</v>
      </c>
      <c r="F74" s="85"/>
      <c r="G74" s="559" t="s">
        <v>19</v>
      </c>
      <c r="H74" s="546">
        <f>SUM(H18:H73)</f>
        <v>42253</v>
      </c>
      <c r="I74" s="85"/>
      <c r="J74" s="561" t="s">
        <v>19</v>
      </c>
      <c r="K74" s="546">
        <f>SUM(K18:K73)</f>
        <v>51904</v>
      </c>
      <c r="L74" s="85"/>
      <c r="M74" s="561" t="s">
        <v>19</v>
      </c>
      <c r="N74" s="546">
        <f>SUM(N18:N73)</f>
        <v>22051</v>
      </c>
    </row>
    <row r="75" spans="1:14" ht="13.5" customHeight="1" thickBot="1" x14ac:dyDescent="0.3">
      <c r="A75" s="560"/>
      <c r="B75" s="547"/>
      <c r="C75" s="85"/>
      <c r="D75" s="560"/>
      <c r="E75" s="547"/>
      <c r="F75" s="85"/>
      <c r="G75" s="560"/>
      <c r="H75" s="547"/>
      <c r="I75" s="85"/>
      <c r="J75" s="560"/>
      <c r="K75" s="547"/>
      <c r="L75" s="85"/>
      <c r="M75" s="560"/>
      <c r="N75" s="547"/>
    </row>
    <row r="76" spans="1:14" x14ac:dyDescent="0.25">
      <c r="C76" s="85"/>
      <c r="F76" s="85"/>
      <c r="I76" s="85"/>
      <c r="L76" s="85"/>
    </row>
    <row r="77" spans="1:14" x14ac:dyDescent="0.25">
      <c r="C77" s="85"/>
      <c r="F77" s="85"/>
      <c r="I77" s="85"/>
      <c r="L77" s="85"/>
    </row>
  </sheetData>
  <mergeCells count="378">
    <mergeCell ref="M72:M73"/>
    <mergeCell ref="N72:N73"/>
    <mergeCell ref="M74:M75"/>
    <mergeCell ref="N74:N75"/>
    <mergeCell ref="M60:M61"/>
    <mergeCell ref="N60:N61"/>
    <mergeCell ref="M62:M63"/>
    <mergeCell ref="N62:N63"/>
    <mergeCell ref="M64:M65"/>
    <mergeCell ref="N64:N65"/>
    <mergeCell ref="M66:M67"/>
    <mergeCell ref="N66:N67"/>
    <mergeCell ref="M68:M69"/>
    <mergeCell ref="N68:N69"/>
    <mergeCell ref="M52:M53"/>
    <mergeCell ref="N52:N53"/>
    <mergeCell ref="M54:M55"/>
    <mergeCell ref="N54:N55"/>
    <mergeCell ref="M56:M57"/>
    <mergeCell ref="N56:N57"/>
    <mergeCell ref="M58:M59"/>
    <mergeCell ref="N58:N59"/>
    <mergeCell ref="M70:M71"/>
    <mergeCell ref="N70:N71"/>
    <mergeCell ref="M42:M43"/>
    <mergeCell ref="N42:N43"/>
    <mergeCell ref="M44:M45"/>
    <mergeCell ref="N44:N45"/>
    <mergeCell ref="M46:M47"/>
    <mergeCell ref="N46:N47"/>
    <mergeCell ref="M48:M49"/>
    <mergeCell ref="N48:N49"/>
    <mergeCell ref="M50:M51"/>
    <mergeCell ref="N50:N51"/>
    <mergeCell ref="M32:M33"/>
    <mergeCell ref="N32:N33"/>
    <mergeCell ref="M34:M35"/>
    <mergeCell ref="N34:N35"/>
    <mergeCell ref="M36:M37"/>
    <mergeCell ref="N36:N37"/>
    <mergeCell ref="M38:M39"/>
    <mergeCell ref="N38:N39"/>
    <mergeCell ref="M40:M41"/>
    <mergeCell ref="N40:N41"/>
    <mergeCell ref="M20:M21"/>
    <mergeCell ref="N20:N21"/>
    <mergeCell ref="M22:M23"/>
    <mergeCell ref="M24:M25"/>
    <mergeCell ref="N24:N25"/>
    <mergeCell ref="M26:M27"/>
    <mergeCell ref="M28:M29"/>
    <mergeCell ref="N28:N29"/>
    <mergeCell ref="M30:M31"/>
    <mergeCell ref="N30:N31"/>
    <mergeCell ref="M10:M11"/>
    <mergeCell ref="N10:N11"/>
    <mergeCell ref="M12:M13"/>
    <mergeCell ref="N12:N13"/>
    <mergeCell ref="M14:M15"/>
    <mergeCell ref="N14:N15"/>
    <mergeCell ref="M17:N17"/>
    <mergeCell ref="M18:M19"/>
    <mergeCell ref="N18:N19"/>
    <mergeCell ref="M1:N1"/>
    <mergeCell ref="M2:N2"/>
    <mergeCell ref="M3:N3"/>
    <mergeCell ref="M4:M5"/>
    <mergeCell ref="N4:N5"/>
    <mergeCell ref="M6:M7"/>
    <mergeCell ref="N6:N7"/>
    <mergeCell ref="M8:M9"/>
    <mergeCell ref="N8:N9"/>
    <mergeCell ref="P13:P16"/>
    <mergeCell ref="Q13:Q16"/>
    <mergeCell ref="P18:P20"/>
    <mergeCell ref="Q18:Q20"/>
    <mergeCell ref="P22:P24"/>
    <mergeCell ref="Q22:Q24"/>
    <mergeCell ref="P28:P30"/>
    <mergeCell ref="Q28:Q30"/>
    <mergeCell ref="N22:N23"/>
    <mergeCell ref="N26:N27"/>
    <mergeCell ref="K70:K71"/>
    <mergeCell ref="H70:H71"/>
    <mergeCell ref="E70:E71"/>
    <mergeCell ref="H60:H61"/>
    <mergeCell ref="J60:J61"/>
    <mergeCell ref="K60:K61"/>
    <mergeCell ref="G60:G61"/>
    <mergeCell ref="K62:K63"/>
    <mergeCell ref="K66:K67"/>
    <mergeCell ref="H22:H23"/>
    <mergeCell ref="J22:J23"/>
    <mergeCell ref="K22:K23"/>
    <mergeCell ref="H32:H33"/>
    <mergeCell ref="K32:K33"/>
    <mergeCell ref="B70:B71"/>
    <mergeCell ref="G44:G45"/>
    <mergeCell ref="J44:J45"/>
    <mergeCell ref="H44:H45"/>
    <mergeCell ref="K44:K45"/>
    <mergeCell ref="G50:G51"/>
    <mergeCell ref="J50:J51"/>
    <mergeCell ref="B50:B51"/>
    <mergeCell ref="E50:E51"/>
    <mergeCell ref="H50:H51"/>
    <mergeCell ref="K50:K51"/>
    <mergeCell ref="K48:K49"/>
    <mergeCell ref="K46:K47"/>
    <mergeCell ref="B56:B57"/>
    <mergeCell ref="D54:D55"/>
    <mergeCell ref="D56:D57"/>
    <mergeCell ref="E54:E55"/>
    <mergeCell ref="E56:E57"/>
    <mergeCell ref="G54:G55"/>
    <mergeCell ref="A72:A73"/>
    <mergeCell ref="D72:D73"/>
    <mergeCell ref="G72:G73"/>
    <mergeCell ref="J72:J73"/>
    <mergeCell ref="G62:G63"/>
    <mergeCell ref="H62:H63"/>
    <mergeCell ref="J62:J63"/>
    <mergeCell ref="D64:D65"/>
    <mergeCell ref="E64:E65"/>
    <mergeCell ref="G64:G65"/>
    <mergeCell ref="J66:J67"/>
    <mergeCell ref="D70:D71"/>
    <mergeCell ref="G70:G71"/>
    <mergeCell ref="J70:J71"/>
    <mergeCell ref="K72:K73"/>
    <mergeCell ref="H72:H73"/>
    <mergeCell ref="E72:E73"/>
    <mergeCell ref="B72:B73"/>
    <mergeCell ref="A52:A53"/>
    <mergeCell ref="G52:G53"/>
    <mergeCell ref="J52:J53"/>
    <mergeCell ref="D52:D53"/>
    <mergeCell ref="H52:H53"/>
    <mergeCell ref="A70:A71"/>
    <mergeCell ref="H64:H65"/>
    <mergeCell ref="J64:J65"/>
    <mergeCell ref="K52:K53"/>
    <mergeCell ref="K54:K55"/>
    <mergeCell ref="K56:K57"/>
    <mergeCell ref="E52:E53"/>
    <mergeCell ref="B52:B53"/>
    <mergeCell ref="A54:A55"/>
    <mergeCell ref="A56:A57"/>
    <mergeCell ref="B54:B55"/>
    <mergeCell ref="A62:A63"/>
    <mergeCell ref="B62:B63"/>
    <mergeCell ref="D62:D63"/>
    <mergeCell ref="E62:E63"/>
    <mergeCell ref="A50:A51"/>
    <mergeCell ref="D50:D51"/>
    <mergeCell ref="A46:A47"/>
    <mergeCell ref="D46:D47"/>
    <mergeCell ref="G46:G47"/>
    <mergeCell ref="J46:J47"/>
    <mergeCell ref="B46:B47"/>
    <mergeCell ref="E46:E47"/>
    <mergeCell ref="H46:H47"/>
    <mergeCell ref="G48:G49"/>
    <mergeCell ref="H48:H49"/>
    <mergeCell ref="J48:J49"/>
    <mergeCell ref="A74:A75"/>
    <mergeCell ref="B74:B75"/>
    <mergeCell ref="D74:D75"/>
    <mergeCell ref="E74:E75"/>
    <mergeCell ref="G74:G75"/>
    <mergeCell ref="H74:H75"/>
    <mergeCell ref="J74:J75"/>
    <mergeCell ref="K74:K75"/>
    <mergeCell ref="K64:K65"/>
    <mergeCell ref="A64:A65"/>
    <mergeCell ref="A68:A69"/>
    <mergeCell ref="B68:B69"/>
    <mergeCell ref="D68:D69"/>
    <mergeCell ref="E68:E69"/>
    <mergeCell ref="G68:G69"/>
    <mergeCell ref="H68:H69"/>
    <mergeCell ref="J68:J69"/>
    <mergeCell ref="K68:K69"/>
    <mergeCell ref="A66:A67"/>
    <mergeCell ref="B66:B67"/>
    <mergeCell ref="D66:D67"/>
    <mergeCell ref="E66:E67"/>
    <mergeCell ref="G66:G67"/>
    <mergeCell ref="H66:H67"/>
    <mergeCell ref="A30:A31"/>
    <mergeCell ref="B30:B31"/>
    <mergeCell ref="D30:D31"/>
    <mergeCell ref="E30:E31"/>
    <mergeCell ref="B64:B65"/>
    <mergeCell ref="D48:D49"/>
    <mergeCell ref="E48:E49"/>
    <mergeCell ref="A44:A45"/>
    <mergeCell ref="B44:B45"/>
    <mergeCell ref="A48:A49"/>
    <mergeCell ref="B48:B49"/>
    <mergeCell ref="A32:A33"/>
    <mergeCell ref="D32:D33"/>
    <mergeCell ref="B32:B33"/>
    <mergeCell ref="E32:E33"/>
    <mergeCell ref="A60:A61"/>
    <mergeCell ref="B60:B61"/>
    <mergeCell ref="D60:D61"/>
    <mergeCell ref="E60:E61"/>
    <mergeCell ref="A58:A59"/>
    <mergeCell ref="B58:B59"/>
    <mergeCell ref="D58:D59"/>
    <mergeCell ref="D44:D45"/>
    <mergeCell ref="E44:E45"/>
    <mergeCell ref="A34:A35"/>
    <mergeCell ref="B34:B35"/>
    <mergeCell ref="D34:D35"/>
    <mergeCell ref="E34:E35"/>
    <mergeCell ref="G34:G35"/>
    <mergeCell ref="H34:H35"/>
    <mergeCell ref="A36:A37"/>
    <mergeCell ref="B36:B37"/>
    <mergeCell ref="D36:D37"/>
    <mergeCell ref="E36:E37"/>
    <mergeCell ref="A42:A43"/>
    <mergeCell ref="B42:B43"/>
    <mergeCell ref="D42:D43"/>
    <mergeCell ref="E42:E43"/>
    <mergeCell ref="G42:G43"/>
    <mergeCell ref="H42:H43"/>
    <mergeCell ref="J42:J43"/>
    <mergeCell ref="K42:K43"/>
    <mergeCell ref="K36:K37"/>
    <mergeCell ref="A24:A25"/>
    <mergeCell ref="B24:B25"/>
    <mergeCell ref="D24:D25"/>
    <mergeCell ref="E24:E25"/>
    <mergeCell ref="G24:G25"/>
    <mergeCell ref="H24:H25"/>
    <mergeCell ref="J24:J25"/>
    <mergeCell ref="K24:K25"/>
    <mergeCell ref="A40:A41"/>
    <mergeCell ref="B40:B41"/>
    <mergeCell ref="D40:D41"/>
    <mergeCell ref="E40:E41"/>
    <mergeCell ref="G40:G41"/>
    <mergeCell ref="G36:G37"/>
    <mergeCell ref="A38:A39"/>
    <mergeCell ref="B38:B39"/>
    <mergeCell ref="D38:D39"/>
    <mergeCell ref="E38:E39"/>
    <mergeCell ref="G38:G39"/>
    <mergeCell ref="H38:H39"/>
    <mergeCell ref="J38:J39"/>
    <mergeCell ref="K38:K39"/>
    <mergeCell ref="H40:H41"/>
    <mergeCell ref="J40:J41"/>
    <mergeCell ref="A28:A29"/>
    <mergeCell ref="B28:B29"/>
    <mergeCell ref="D28:D29"/>
    <mergeCell ref="E28:E29"/>
    <mergeCell ref="G28:G29"/>
    <mergeCell ref="H28:H29"/>
    <mergeCell ref="J28:J29"/>
    <mergeCell ref="K28:K29"/>
    <mergeCell ref="A26:A27"/>
    <mergeCell ref="B26:B27"/>
    <mergeCell ref="D26:D27"/>
    <mergeCell ref="E26:E27"/>
    <mergeCell ref="G26:G27"/>
    <mergeCell ref="H26:H27"/>
    <mergeCell ref="J26:J27"/>
    <mergeCell ref="K26:K27"/>
    <mergeCell ref="A17:B17"/>
    <mergeCell ref="D17:E17"/>
    <mergeCell ref="G17:H17"/>
    <mergeCell ref="J17:K17"/>
    <mergeCell ref="B18:B19"/>
    <mergeCell ref="D18:D19"/>
    <mergeCell ref="E18:E19"/>
    <mergeCell ref="G18:G19"/>
    <mergeCell ref="H18:H19"/>
    <mergeCell ref="J18:J19"/>
    <mergeCell ref="K18:K19"/>
    <mergeCell ref="A18:A19"/>
    <mergeCell ref="A20:A21"/>
    <mergeCell ref="D20:D21"/>
    <mergeCell ref="G20:G21"/>
    <mergeCell ref="B20:B21"/>
    <mergeCell ref="A22:A23"/>
    <mergeCell ref="B22:B23"/>
    <mergeCell ref="D22:D23"/>
    <mergeCell ref="E22:E23"/>
    <mergeCell ref="G22:G23"/>
    <mergeCell ref="E20:E21"/>
    <mergeCell ref="A14:A15"/>
    <mergeCell ref="B14:B15"/>
    <mergeCell ref="D14:D15"/>
    <mergeCell ref="E14:E15"/>
    <mergeCell ref="G14:G15"/>
    <mergeCell ref="H14:H15"/>
    <mergeCell ref="K14:K15"/>
    <mergeCell ref="J14:J15"/>
    <mergeCell ref="A10:A11"/>
    <mergeCell ref="B10:B11"/>
    <mergeCell ref="D10:D11"/>
    <mergeCell ref="E10:E11"/>
    <mergeCell ref="G10:G11"/>
    <mergeCell ref="H10:H11"/>
    <mergeCell ref="J10:J11"/>
    <mergeCell ref="K10:K11"/>
    <mergeCell ref="A12:A13"/>
    <mergeCell ref="B12:B13"/>
    <mergeCell ref="D12:D13"/>
    <mergeCell ref="E12:E13"/>
    <mergeCell ref="K12:K13"/>
    <mergeCell ref="G12:G13"/>
    <mergeCell ref="H12:H13"/>
    <mergeCell ref="J12:J13"/>
    <mergeCell ref="A6:A7"/>
    <mergeCell ref="B6:B7"/>
    <mergeCell ref="D6:D7"/>
    <mergeCell ref="E6:E7"/>
    <mergeCell ref="G6:G7"/>
    <mergeCell ref="H6:H7"/>
    <mergeCell ref="J6:J7"/>
    <mergeCell ref="K6:K7"/>
    <mergeCell ref="A8:A9"/>
    <mergeCell ref="B8:B9"/>
    <mergeCell ref="D8:D9"/>
    <mergeCell ref="E8:E9"/>
    <mergeCell ref="G8:G9"/>
    <mergeCell ref="H8:H9"/>
    <mergeCell ref="J8:J9"/>
    <mergeCell ref="K8:K9"/>
    <mergeCell ref="J4:J5"/>
    <mergeCell ref="K4:K5"/>
    <mergeCell ref="A4:A5"/>
    <mergeCell ref="B4:B5"/>
    <mergeCell ref="D4:D5"/>
    <mergeCell ref="G4:G5"/>
    <mergeCell ref="H4:H5"/>
    <mergeCell ref="E4:E5"/>
    <mergeCell ref="A1:B1"/>
    <mergeCell ref="D1:E1"/>
    <mergeCell ref="G1:H1"/>
    <mergeCell ref="J1:K1"/>
    <mergeCell ref="A2:B2"/>
    <mergeCell ref="D2:E2"/>
    <mergeCell ref="A3:B3"/>
    <mergeCell ref="D3:E3"/>
    <mergeCell ref="G3:H3"/>
    <mergeCell ref="J3:K3"/>
    <mergeCell ref="G2:H2"/>
    <mergeCell ref="J2:K2"/>
    <mergeCell ref="H20:H21"/>
    <mergeCell ref="J20:J21"/>
    <mergeCell ref="K20:K21"/>
    <mergeCell ref="J34:J35"/>
    <mergeCell ref="K34:K35"/>
    <mergeCell ref="E58:E59"/>
    <mergeCell ref="G58:G59"/>
    <mergeCell ref="H58:H59"/>
    <mergeCell ref="J58:J59"/>
    <mergeCell ref="K58:K59"/>
    <mergeCell ref="G30:G31"/>
    <mergeCell ref="H30:H31"/>
    <mergeCell ref="J30:J31"/>
    <mergeCell ref="K30:K31"/>
    <mergeCell ref="K40:K41"/>
    <mergeCell ref="H36:H37"/>
    <mergeCell ref="J36:J37"/>
    <mergeCell ref="G32:G33"/>
    <mergeCell ref="J32:J33"/>
    <mergeCell ref="G56:G57"/>
    <mergeCell ref="H54:H55"/>
    <mergeCell ref="H56:H57"/>
    <mergeCell ref="J54:J55"/>
    <mergeCell ref="J56:J57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16:L17 A14 C14:D14 F14:G14 I14:J14 L14 A35 L34 A37 C36 L36 A39 A38 L38 A41 A40 L40 A43 C42 L42 A19 A18 L18 A25:A29 L24 A59 A58 A75:D75 A60 C18:D18 C24:D24 C34 E35:F35 E37:F37 F36 E39:F39 F38 E41:F41 F40 E43:F43 F42 A33 E33:F33 F34 H35:I35 H37:I37 I36 H39:I39 I38 H41:I41 I40 H43:I43 I42 H33:I33 I34 K35:L35 K37:L37 K39:L39 K41:L41 K43:L43 K33:L33 C38 C40 C58:D58 C60:D60 F18:G18 F24:G24 F58:G58 F60:G60 I18:J18 I24:J24 I58:J58 I60:J60 L58 L60 A61 I61:L61 A15 I15:L15 I75:J75 A23 A22 C22:D22 F22:G22 I22:J22 L22 C15:G15 A74 C74:D74 F74:G74 I74:J74 L74 C35 C37 C39 C41 C43 C19:L19 C25:L25 C59 C32:C33 C61:G61 C23:L23 C27:L27 C26:D26 F26:G26 C29:L29 C28:D28 F28:G28 I28:L28 F75:G75 L75 L26 I26:J26 E59:L59 F32 I32 L32 A31 C30:C31 E31:F31 H31:I31 K31:L31 F30 I30 L30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4" sqref="A54:B54"/>
    </sheetView>
  </sheetViews>
  <sheetFormatPr defaultRowHeight="13.5" outlineLevelRow="1" x14ac:dyDescent="0.25"/>
  <cols>
    <col min="1" max="1" width="18.7109375" style="63" bestFit="1" customWidth="1"/>
    <col min="2" max="2" width="10.140625" style="63" bestFit="1" customWidth="1"/>
    <col min="3" max="7" width="15.7109375" style="63" customWidth="1"/>
    <col min="8" max="8" width="16.28515625" style="63" bestFit="1" customWidth="1"/>
    <col min="9" max="16384" width="9.140625" style="63"/>
  </cols>
  <sheetData>
    <row r="1" spans="1:7" ht="15" customHeight="1" x14ac:dyDescent="0.25">
      <c r="B1" s="129"/>
      <c r="C1" s="669" t="s">
        <v>46</v>
      </c>
      <c r="D1" s="659"/>
      <c r="E1" s="669"/>
      <c r="F1" s="660"/>
      <c r="G1" s="652" t="s">
        <v>19</v>
      </c>
    </row>
    <row r="2" spans="1:7" ht="15" customHeight="1" thickBot="1" x14ac:dyDescent="0.3">
      <c r="B2" s="129"/>
      <c r="C2" s="692"/>
      <c r="D2" s="720"/>
      <c r="E2" s="692"/>
      <c r="F2" s="693"/>
      <c r="G2" s="653"/>
    </row>
    <row r="3" spans="1:7" x14ac:dyDescent="0.25">
      <c r="A3" s="663" t="s">
        <v>51</v>
      </c>
      <c r="B3" s="722" t="s">
        <v>52</v>
      </c>
      <c r="C3" s="719" t="s">
        <v>49</v>
      </c>
      <c r="D3" s="721" t="s">
        <v>50</v>
      </c>
      <c r="E3" s="719"/>
      <c r="F3" s="721"/>
      <c r="G3" s="653"/>
    </row>
    <row r="4" spans="1:7" ht="14.25" customHeight="1" thickBot="1" x14ac:dyDescent="0.3">
      <c r="A4" s="664"/>
      <c r="B4" s="723"/>
      <c r="C4" s="664"/>
      <c r="D4" s="666"/>
      <c r="E4" s="664"/>
      <c r="F4" s="666"/>
      <c r="G4" s="653"/>
    </row>
    <row r="5" spans="1:7" s="69" customFormat="1" ht="12.75" customHeight="1" thickBot="1" x14ac:dyDescent="0.3">
      <c r="A5" s="143"/>
      <c r="B5" s="126"/>
      <c r="C5" s="64"/>
      <c r="D5" s="65"/>
      <c r="E5" s="66"/>
      <c r="F5" s="67"/>
      <c r="G5" s="68"/>
    </row>
    <row r="6" spans="1:7" s="69" customFormat="1" ht="12.75" customHeight="1" thickBot="1" x14ac:dyDescent="0.3">
      <c r="A6" s="143"/>
      <c r="B6" s="119"/>
      <c r="C6" s="64"/>
      <c r="D6" s="65"/>
      <c r="E6" s="66"/>
      <c r="F6" s="67"/>
      <c r="G6" s="68"/>
    </row>
    <row r="7" spans="1:7" s="69" customFormat="1" ht="12.75" customHeight="1" thickBot="1" x14ac:dyDescent="0.3">
      <c r="A7" s="143"/>
      <c r="B7" s="119"/>
      <c r="C7" s="64"/>
      <c r="D7" s="65"/>
      <c r="E7" s="66"/>
      <c r="F7" s="67"/>
      <c r="G7" s="68"/>
    </row>
    <row r="8" spans="1:7" s="69" customFormat="1" ht="12.75" customHeight="1" thickBot="1" x14ac:dyDescent="0.3">
      <c r="A8" s="148"/>
      <c r="B8" s="119"/>
      <c r="C8" s="64"/>
      <c r="D8" s="65"/>
      <c r="E8" s="66"/>
      <c r="F8" s="67"/>
      <c r="G8" s="68"/>
    </row>
    <row r="9" spans="1:7" s="69" customFormat="1" ht="12.75" customHeight="1" thickBot="1" x14ac:dyDescent="0.3">
      <c r="A9" s="148"/>
      <c r="B9" s="119"/>
      <c r="C9" s="64"/>
      <c r="D9" s="65"/>
      <c r="E9" s="66"/>
      <c r="F9" s="67"/>
      <c r="G9" s="68"/>
    </row>
    <row r="10" spans="1:7" s="69" customFormat="1" ht="12.75" customHeight="1" outlineLevel="1" thickBot="1" x14ac:dyDescent="0.3">
      <c r="A10" s="148"/>
      <c r="B10" s="152"/>
      <c r="C10" s="66"/>
      <c r="D10" s="70"/>
      <c r="E10" s="66"/>
      <c r="F10" s="67"/>
      <c r="G10" s="68">
        <f>SUM(C10:F10)</f>
        <v>0</v>
      </c>
    </row>
    <row r="11" spans="1:7" s="69" customFormat="1" ht="14.25" outlineLevel="1" thickBot="1" x14ac:dyDescent="0.3">
      <c r="A11" s="148"/>
      <c r="B11" s="119"/>
      <c r="C11" s="71"/>
      <c r="D11" s="72"/>
      <c r="E11" s="71"/>
      <c r="F11" s="73"/>
      <c r="G11" s="68">
        <f>SUM(C11:F11)</f>
        <v>0</v>
      </c>
    </row>
    <row r="12" spans="1:7" s="75" customFormat="1" ht="14.25" customHeight="1" outlineLevel="1" thickBot="1" x14ac:dyDescent="0.3">
      <c r="A12" s="104" t="s">
        <v>21</v>
      </c>
      <c r="B12" s="677" t="s">
        <v>24</v>
      </c>
      <c r="C12" s="115">
        <f>SUM(C5:C11)</f>
        <v>0</v>
      </c>
      <c r="D12" s="115">
        <f>SUM(D5:D11)</f>
        <v>0</v>
      </c>
      <c r="E12" s="115">
        <f>SUM(E5:E11)</f>
        <v>0</v>
      </c>
      <c r="F12" s="115">
        <f>SUM(F5:F11)</f>
        <v>0</v>
      </c>
      <c r="G12" s="115">
        <f>SUM(G5:G11)</f>
        <v>0</v>
      </c>
    </row>
    <row r="13" spans="1:7" s="75" customFormat="1" ht="14.25" customHeight="1" outlineLevel="1" thickBot="1" x14ac:dyDescent="0.3">
      <c r="A13" s="105" t="s">
        <v>23</v>
      </c>
      <c r="B13" s="678"/>
      <c r="C13" s="116" t="e">
        <f>AVERAGE(C5:C11)</f>
        <v>#DIV/0!</v>
      </c>
      <c r="D13" s="116" t="e">
        <f>AVERAGE(D5:D11)</f>
        <v>#DIV/0!</v>
      </c>
      <c r="E13" s="116" t="e">
        <f>AVERAGE(E5:E11)</f>
        <v>#DIV/0!</v>
      </c>
      <c r="F13" s="116" t="e">
        <f>AVERAGE(F5:F11)</f>
        <v>#DIV/0!</v>
      </c>
      <c r="G13" s="116">
        <f>AVERAGE(G5:G11)</f>
        <v>0</v>
      </c>
    </row>
    <row r="14" spans="1:7" s="75" customFormat="1" ht="14.25" customHeight="1" thickBot="1" x14ac:dyDescent="0.3">
      <c r="A14" s="26" t="s">
        <v>20</v>
      </c>
      <c r="B14" s="678"/>
      <c r="C14" s="82">
        <f>SUM(C5:C9)</f>
        <v>0</v>
      </c>
      <c r="D14" s="82">
        <f>SUM(D5:D9)</f>
        <v>0</v>
      </c>
      <c r="E14" s="82">
        <f>SUM(E5:E9)</f>
        <v>0</v>
      </c>
      <c r="F14" s="82">
        <f>SUM(F5:F9)</f>
        <v>0</v>
      </c>
      <c r="G14" s="82">
        <f>SUM(G5:G9)</f>
        <v>0</v>
      </c>
    </row>
    <row r="15" spans="1:7" s="75" customFormat="1" ht="14.25" customHeight="1" thickBot="1" x14ac:dyDescent="0.3">
      <c r="A15" s="26" t="s">
        <v>22</v>
      </c>
      <c r="B15" s="679"/>
      <c r="C15" s="83" t="e">
        <f>AVERAGE(C5:C9)</f>
        <v>#DIV/0!</v>
      </c>
      <c r="D15" s="83" t="e">
        <f>AVERAGE(D5:D9)</f>
        <v>#DIV/0!</v>
      </c>
      <c r="E15" s="83" t="e">
        <f>AVERAGE(E5:E9)</f>
        <v>#DIV/0!</v>
      </c>
      <c r="F15" s="83" t="e">
        <f>AVERAGE(F5:F9)</f>
        <v>#DIV/0!</v>
      </c>
      <c r="G15" s="83" t="e">
        <f>AVERAGE(G5:G9)</f>
        <v>#DIV/0!</v>
      </c>
    </row>
    <row r="16" spans="1:7" s="75" customFormat="1" ht="13.5" customHeight="1" thickBot="1" x14ac:dyDescent="0.3">
      <c r="A16" s="25"/>
      <c r="B16" s="120"/>
      <c r="C16" s="64"/>
      <c r="D16" s="65"/>
      <c r="E16" s="64"/>
      <c r="F16" s="76"/>
      <c r="G16" s="150"/>
    </row>
    <row r="17" spans="1:7" s="75" customFormat="1" ht="13.5" customHeight="1" thickBot="1" x14ac:dyDescent="0.3">
      <c r="A17" s="25"/>
      <c r="B17" s="121"/>
      <c r="C17" s="64"/>
      <c r="D17" s="65"/>
      <c r="E17" s="66"/>
      <c r="F17" s="67"/>
      <c r="G17" s="150"/>
    </row>
    <row r="18" spans="1:7" s="75" customFormat="1" ht="15" customHeight="1" thickBot="1" x14ac:dyDescent="0.3">
      <c r="A18" s="25"/>
      <c r="B18" s="121"/>
      <c r="C18" s="64"/>
      <c r="D18" s="65"/>
      <c r="E18" s="66"/>
      <c r="F18" s="67"/>
      <c r="G18" s="150"/>
    </row>
    <row r="19" spans="1:7" s="75" customFormat="1" ht="14.25" customHeight="1" thickBot="1" x14ac:dyDescent="0.3">
      <c r="A19" s="25"/>
      <c r="B19" s="121"/>
      <c r="C19" s="64"/>
      <c r="D19" s="65"/>
      <c r="E19" s="66"/>
      <c r="F19" s="67"/>
      <c r="G19" s="150"/>
    </row>
    <row r="20" spans="1:7" s="75" customFormat="1" ht="14.25" customHeight="1" thickBot="1" x14ac:dyDescent="0.3">
      <c r="A20" s="25"/>
      <c r="B20" s="121"/>
      <c r="C20" s="64"/>
      <c r="D20" s="65"/>
      <c r="E20" s="66"/>
      <c r="F20" s="67"/>
      <c r="G20" s="150"/>
    </row>
    <row r="21" spans="1:7" s="75" customFormat="1" ht="14.25" customHeight="1" outlineLevel="1" thickBot="1" x14ac:dyDescent="0.3">
      <c r="A21" s="145"/>
      <c r="B21" s="121"/>
      <c r="C21" s="66"/>
      <c r="D21" s="70"/>
      <c r="E21" s="66"/>
      <c r="F21" s="67"/>
      <c r="G21" s="150">
        <f>SUM(C21:F21)</f>
        <v>0</v>
      </c>
    </row>
    <row r="22" spans="1:7" s="75" customFormat="1" ht="14.25" customHeight="1" outlineLevel="1" thickBot="1" x14ac:dyDescent="0.3">
      <c r="A22" s="145"/>
      <c r="B22" s="121"/>
      <c r="C22" s="71"/>
      <c r="D22" s="72"/>
      <c r="E22" s="71"/>
      <c r="F22" s="73"/>
      <c r="G22" s="150">
        <f>SUM(C22:F22)</f>
        <v>0</v>
      </c>
    </row>
    <row r="23" spans="1:7" s="75" customFormat="1" ht="14.25" customHeight="1" outlineLevel="1" thickBot="1" x14ac:dyDescent="0.3">
      <c r="A23" s="104" t="s">
        <v>21</v>
      </c>
      <c r="B23" s="677" t="s">
        <v>25</v>
      </c>
      <c r="C23" s="115">
        <f>SUM(C16:C22)</f>
        <v>0</v>
      </c>
      <c r="D23" s="115">
        <f>SUM(D16:D22)</f>
        <v>0</v>
      </c>
      <c r="E23" s="115">
        <f>SUM(E16:E22)</f>
        <v>0</v>
      </c>
      <c r="F23" s="115">
        <f>SUM(F16:F22)</f>
        <v>0</v>
      </c>
      <c r="G23" s="115">
        <f>SUM(G16:G22)</f>
        <v>0</v>
      </c>
    </row>
    <row r="24" spans="1:7" s="75" customFormat="1" ht="14.25" customHeight="1" outlineLevel="1" thickBot="1" x14ac:dyDescent="0.3">
      <c r="A24" s="105" t="s">
        <v>23</v>
      </c>
      <c r="B24" s="678"/>
      <c r="C24" s="116" t="e">
        <f>AVERAGE(C16:C22)</f>
        <v>#DIV/0!</v>
      </c>
      <c r="D24" s="116" t="e">
        <f>AVERAGE(D16:D22)</f>
        <v>#DIV/0!</v>
      </c>
      <c r="E24" s="116" t="e">
        <f>AVERAGE(E16:E22)</f>
        <v>#DIV/0!</v>
      </c>
      <c r="F24" s="116" t="e">
        <f>AVERAGE(F16:F22)</f>
        <v>#DIV/0!</v>
      </c>
      <c r="G24" s="116">
        <f>AVERAGE(G16:G22)</f>
        <v>0</v>
      </c>
    </row>
    <row r="25" spans="1:7" s="75" customFormat="1" ht="14.25" customHeight="1" thickBot="1" x14ac:dyDescent="0.3">
      <c r="A25" s="26" t="s">
        <v>20</v>
      </c>
      <c r="B25" s="678"/>
      <c r="C25" s="82">
        <f>SUM(C16:C20)</f>
        <v>0</v>
      </c>
      <c r="D25" s="82">
        <f>SUM(D16:D20)</f>
        <v>0</v>
      </c>
      <c r="E25" s="82">
        <f>SUM(E16:E20)</f>
        <v>0</v>
      </c>
      <c r="F25" s="82">
        <f>SUM(F16:F20)</f>
        <v>0</v>
      </c>
      <c r="G25" s="82">
        <f>SUM(G16:G20)</f>
        <v>0</v>
      </c>
    </row>
    <row r="26" spans="1:7" s="75" customFormat="1" ht="14.25" customHeight="1" thickBot="1" x14ac:dyDescent="0.3">
      <c r="A26" s="26" t="s">
        <v>22</v>
      </c>
      <c r="B26" s="679"/>
      <c r="C26" s="83" t="e">
        <f>AVERAGE(C16:C20)</f>
        <v>#DIV/0!</v>
      </c>
      <c r="D26" s="83" t="e">
        <f>AVERAGE(D16:D20)</f>
        <v>#DIV/0!</v>
      </c>
      <c r="E26" s="83" t="e">
        <f>AVERAGE(E16:E20)</f>
        <v>#DIV/0!</v>
      </c>
      <c r="F26" s="83" t="e">
        <f>AVERAGE(F16:F20)</f>
        <v>#DIV/0!</v>
      </c>
      <c r="G26" s="83" t="e">
        <f>AVERAGE(G16:G20)</f>
        <v>#DIV/0!</v>
      </c>
    </row>
    <row r="27" spans="1:7" s="75" customFormat="1" ht="14.25" customHeight="1" thickBot="1" x14ac:dyDescent="0.3">
      <c r="A27" s="25"/>
      <c r="B27" s="144"/>
      <c r="C27" s="64"/>
      <c r="D27" s="65"/>
      <c r="E27" s="64"/>
      <c r="F27" s="76"/>
      <c r="G27" s="150"/>
    </row>
    <row r="28" spans="1:7" s="75" customFormat="1" ht="15.75" customHeight="1" thickBot="1" x14ac:dyDescent="0.3">
      <c r="A28" s="25"/>
      <c r="B28" s="123"/>
      <c r="C28" s="64"/>
      <c r="D28" s="65"/>
      <c r="E28" s="66"/>
      <c r="F28" s="67"/>
      <c r="G28" s="150"/>
    </row>
    <row r="29" spans="1:7" s="75" customFormat="1" ht="13.5" customHeight="1" thickBot="1" x14ac:dyDescent="0.3">
      <c r="A29" s="25"/>
      <c r="B29" s="123"/>
      <c r="C29" s="64"/>
      <c r="D29" s="65"/>
      <c r="E29" s="66"/>
      <c r="F29" s="67"/>
      <c r="G29" s="150"/>
    </row>
    <row r="30" spans="1:7" s="75" customFormat="1" ht="12.75" customHeight="1" thickBot="1" x14ac:dyDescent="0.3">
      <c r="A30" s="25"/>
      <c r="B30" s="123"/>
      <c r="C30" s="64"/>
      <c r="D30" s="65"/>
      <c r="E30" s="66"/>
      <c r="F30" s="67"/>
      <c r="G30" s="150"/>
    </row>
    <row r="31" spans="1:7" s="75" customFormat="1" ht="14.25" thickBot="1" x14ac:dyDescent="0.3">
      <c r="A31" s="25"/>
      <c r="B31" s="123"/>
      <c r="C31" s="64"/>
      <c r="D31" s="65"/>
      <c r="E31" s="66"/>
      <c r="F31" s="67"/>
      <c r="G31" s="150"/>
    </row>
    <row r="32" spans="1:7" s="75" customFormat="1" ht="14.25" customHeight="1" outlineLevel="1" thickBot="1" x14ac:dyDescent="0.3">
      <c r="A32" s="145"/>
      <c r="B32" s="121"/>
      <c r="C32" s="66"/>
      <c r="D32" s="70"/>
      <c r="E32" s="66"/>
      <c r="F32" s="67"/>
      <c r="G32" s="150">
        <f>SUM(C32:F32)</f>
        <v>0</v>
      </c>
    </row>
    <row r="33" spans="1:8" s="75" customFormat="1" ht="14.25" customHeight="1" outlineLevel="1" thickBot="1" x14ac:dyDescent="0.3">
      <c r="A33" s="145"/>
      <c r="B33" s="121"/>
      <c r="C33" s="71"/>
      <c r="D33" s="72"/>
      <c r="E33" s="71"/>
      <c r="F33" s="73"/>
      <c r="G33" s="150">
        <f>SUM(C33:F33)</f>
        <v>0</v>
      </c>
    </row>
    <row r="34" spans="1:8" s="75" customFormat="1" ht="14.25" customHeight="1" outlineLevel="1" thickBot="1" x14ac:dyDescent="0.3">
      <c r="A34" s="104" t="s">
        <v>21</v>
      </c>
      <c r="B34" s="677" t="s">
        <v>26</v>
      </c>
      <c r="C34" s="115">
        <f>SUM(C27:C33)</f>
        <v>0</v>
      </c>
      <c r="D34" s="115">
        <f>SUM(D27:D33)</f>
        <v>0</v>
      </c>
      <c r="E34" s="115">
        <f>SUM(E27:E33)</f>
        <v>0</v>
      </c>
      <c r="F34" s="115">
        <f>SUM(F27:F33)</f>
        <v>0</v>
      </c>
      <c r="G34" s="115">
        <f>SUM(G27:G33)</f>
        <v>0</v>
      </c>
    </row>
    <row r="35" spans="1:8" s="75" customFormat="1" ht="14.25" customHeight="1" outlineLevel="1" thickBot="1" x14ac:dyDescent="0.3">
      <c r="A35" s="105" t="s">
        <v>23</v>
      </c>
      <c r="B35" s="678"/>
      <c r="C35" s="116" t="e">
        <f>AVERAGE(C27:C33)</f>
        <v>#DIV/0!</v>
      </c>
      <c r="D35" s="116" t="e">
        <f>AVERAGE(D27:D33)</f>
        <v>#DIV/0!</v>
      </c>
      <c r="E35" s="116" t="e">
        <f>AVERAGE(E27:E33)</f>
        <v>#DIV/0!</v>
      </c>
      <c r="F35" s="116" t="e">
        <f>AVERAGE(F27:F33)</f>
        <v>#DIV/0!</v>
      </c>
      <c r="G35" s="116">
        <f>AVERAGE(G27:G33)</f>
        <v>0</v>
      </c>
    </row>
    <row r="36" spans="1:8" s="75" customFormat="1" ht="14.25" customHeight="1" thickBot="1" x14ac:dyDescent="0.3">
      <c r="A36" s="26" t="s">
        <v>20</v>
      </c>
      <c r="B36" s="678"/>
      <c r="C36" s="82">
        <f>SUM(C27:C31)</f>
        <v>0</v>
      </c>
      <c r="D36" s="82">
        <f>SUM(D27:D31)</f>
        <v>0</v>
      </c>
      <c r="E36" s="82">
        <f>SUM(E27:E31)</f>
        <v>0</v>
      </c>
      <c r="F36" s="82">
        <f>SUM(F27:F31)</f>
        <v>0</v>
      </c>
      <c r="G36" s="82">
        <f>SUM(G27:G31)</f>
        <v>0</v>
      </c>
    </row>
    <row r="37" spans="1:8" s="75" customFormat="1" ht="15.75" customHeight="1" thickBot="1" x14ac:dyDescent="0.3">
      <c r="A37" s="26" t="s">
        <v>22</v>
      </c>
      <c r="B37" s="679"/>
      <c r="C37" s="83" t="e">
        <f>AVERAGE(C27:C31)</f>
        <v>#DIV/0!</v>
      </c>
      <c r="D37" s="83" t="e">
        <f>AVERAGE(D27:D31)</f>
        <v>#DIV/0!</v>
      </c>
      <c r="E37" s="83" t="e">
        <f>AVERAGE(E27:E31)</f>
        <v>#DIV/0!</v>
      </c>
      <c r="F37" s="83" t="e">
        <f>AVERAGE(F27:F31)</f>
        <v>#DIV/0!</v>
      </c>
      <c r="G37" s="83" t="e">
        <f>AVERAGE(G27:G31)</f>
        <v>#DIV/0!</v>
      </c>
    </row>
    <row r="38" spans="1:8" s="75" customFormat="1" ht="12.75" customHeight="1" thickBot="1" x14ac:dyDescent="0.3">
      <c r="A38" s="25"/>
      <c r="B38" s="144"/>
      <c r="C38" s="64"/>
      <c r="D38" s="65"/>
      <c r="E38" s="64"/>
      <c r="F38" s="76"/>
      <c r="G38" s="77"/>
    </row>
    <row r="39" spans="1:8" s="75" customFormat="1" ht="15.75" customHeight="1" thickBot="1" x14ac:dyDescent="0.3">
      <c r="A39" s="25"/>
      <c r="B39" s="123"/>
      <c r="C39" s="64"/>
      <c r="D39" s="65"/>
      <c r="E39" s="66"/>
      <c r="F39" s="67"/>
      <c r="G39" s="68"/>
    </row>
    <row r="40" spans="1:8" s="75" customFormat="1" ht="17.25" customHeight="1" thickBot="1" x14ac:dyDescent="0.3">
      <c r="A40" s="25"/>
      <c r="B40" s="123"/>
      <c r="C40" s="64"/>
      <c r="D40" s="65"/>
      <c r="E40" s="66"/>
      <c r="F40" s="67"/>
      <c r="G40" s="68"/>
    </row>
    <row r="41" spans="1:8" s="75" customFormat="1" ht="14.25" customHeight="1" thickBot="1" x14ac:dyDescent="0.3">
      <c r="A41" s="25"/>
      <c r="B41" s="123"/>
      <c r="C41" s="64"/>
      <c r="D41" s="65"/>
      <c r="E41" s="66"/>
      <c r="F41" s="67"/>
      <c r="G41" s="68"/>
    </row>
    <row r="42" spans="1:8" s="75" customFormat="1" ht="17.25" customHeight="1" thickBot="1" x14ac:dyDescent="0.3">
      <c r="A42" s="25"/>
      <c r="B42" s="123"/>
      <c r="C42" s="64"/>
      <c r="D42" s="65"/>
      <c r="E42" s="66"/>
      <c r="F42" s="67"/>
      <c r="G42" s="68"/>
    </row>
    <row r="43" spans="1:8" s="75" customFormat="1" ht="14.25" customHeight="1" outlineLevel="1" thickBot="1" x14ac:dyDescent="0.3">
      <c r="A43" s="145"/>
      <c r="B43" s="121"/>
      <c r="C43" s="66"/>
      <c r="D43" s="70"/>
      <c r="E43" s="66"/>
      <c r="F43" s="67"/>
      <c r="G43" s="68">
        <f>SUM(C43:F43)</f>
        <v>0</v>
      </c>
      <c r="H43" s="118"/>
    </row>
    <row r="44" spans="1:8" s="75" customFormat="1" ht="14.25" customHeight="1" outlineLevel="1" thickBot="1" x14ac:dyDescent="0.3">
      <c r="A44" s="145"/>
      <c r="B44" s="121"/>
      <c r="C44" s="71"/>
      <c r="D44" s="72"/>
      <c r="E44" s="71"/>
      <c r="F44" s="73"/>
      <c r="G44" s="74">
        <f>SUM(C44:F44)</f>
        <v>0</v>
      </c>
      <c r="H44" s="118"/>
    </row>
    <row r="45" spans="1:8" s="75" customFormat="1" ht="14.25" customHeight="1" outlineLevel="1" thickBot="1" x14ac:dyDescent="0.3">
      <c r="A45" s="104" t="s">
        <v>21</v>
      </c>
      <c r="B45" s="677" t="s">
        <v>27</v>
      </c>
      <c r="C45" s="115">
        <f>SUM(C38:C44)</f>
        <v>0</v>
      </c>
      <c r="D45" s="115">
        <f>SUM(D38:D44)</f>
        <v>0</v>
      </c>
      <c r="E45" s="115">
        <f>SUM(E38:E44)</f>
        <v>0</v>
      </c>
      <c r="F45" s="115">
        <f>SUM(F38:F44)</f>
        <v>0</v>
      </c>
      <c r="G45" s="115">
        <f>SUM(G38:G44)</f>
        <v>0</v>
      </c>
    </row>
    <row r="46" spans="1:8" s="75" customFormat="1" ht="14.25" customHeight="1" outlineLevel="1" thickBot="1" x14ac:dyDescent="0.3">
      <c r="A46" s="105" t="s">
        <v>23</v>
      </c>
      <c r="B46" s="678"/>
      <c r="C46" s="116" t="e">
        <f>AVERAGE(C38:C44)</f>
        <v>#DIV/0!</v>
      </c>
      <c r="D46" s="116" t="e">
        <f>AVERAGE(D38:D44)</f>
        <v>#DIV/0!</v>
      </c>
      <c r="E46" s="116" t="e">
        <f>AVERAGE(E38:E44)</f>
        <v>#DIV/0!</v>
      </c>
      <c r="F46" s="116" t="e">
        <f>AVERAGE(F38:F44)</f>
        <v>#DIV/0!</v>
      </c>
      <c r="G46" s="116">
        <f>AVERAGE(G38:G44)</f>
        <v>0</v>
      </c>
    </row>
    <row r="47" spans="1:8" s="75" customFormat="1" ht="14.25" customHeight="1" thickBot="1" x14ac:dyDescent="0.3">
      <c r="A47" s="26" t="s">
        <v>20</v>
      </c>
      <c r="B47" s="678"/>
      <c r="C47" s="82">
        <f>SUM(C38:C42)</f>
        <v>0</v>
      </c>
      <c r="D47" s="82">
        <f>SUM(D38:D42)</f>
        <v>0</v>
      </c>
      <c r="E47" s="82">
        <f>SUM(E38:E42)</f>
        <v>0</v>
      </c>
      <c r="F47" s="82">
        <f>SUM(F38:F42)</f>
        <v>0</v>
      </c>
      <c r="G47" s="82">
        <f>SUM(G38:G42)</f>
        <v>0</v>
      </c>
    </row>
    <row r="48" spans="1:8" s="75" customFormat="1" ht="13.5" customHeight="1" thickBot="1" x14ac:dyDescent="0.3">
      <c r="A48" s="26" t="s">
        <v>22</v>
      </c>
      <c r="B48" s="679"/>
      <c r="C48" s="83" t="e">
        <f>AVERAGE(C38:C42)</f>
        <v>#DIV/0!</v>
      </c>
      <c r="D48" s="83" t="e">
        <f>AVERAGE(D38:D42)</f>
        <v>#DIV/0!</v>
      </c>
      <c r="E48" s="83" t="e">
        <f>AVERAGE(E38:E42)</f>
        <v>#DIV/0!</v>
      </c>
      <c r="F48" s="83" t="e">
        <f>AVERAGE(F38:F42)</f>
        <v>#DIV/0!</v>
      </c>
      <c r="G48" s="83" t="e">
        <f>AVERAGE(G38:G42)</f>
        <v>#DIV/0!</v>
      </c>
    </row>
    <row r="49" spans="1:7" s="75" customFormat="1" ht="13.5" customHeight="1" thickBot="1" x14ac:dyDescent="0.3">
      <c r="A49" s="25"/>
      <c r="B49" s="122"/>
      <c r="C49" s="139"/>
      <c r="D49" s="140"/>
      <c r="E49" s="64"/>
      <c r="F49" s="76"/>
      <c r="G49" s="77"/>
    </row>
    <row r="50" spans="1:7" s="75" customFormat="1" ht="14.25" customHeight="1" thickBot="1" x14ac:dyDescent="0.3">
      <c r="A50" s="25"/>
      <c r="B50" s="138"/>
      <c r="C50" s="141"/>
      <c r="D50" s="142"/>
      <c r="E50" s="66"/>
      <c r="F50" s="67"/>
      <c r="G50" s="68"/>
    </row>
    <row r="51" spans="1:7" s="75" customFormat="1" ht="13.5" customHeight="1" thickBot="1" x14ac:dyDescent="0.3">
      <c r="A51" s="25"/>
      <c r="B51" s="138"/>
      <c r="C51" s="64"/>
      <c r="D51" s="76"/>
      <c r="E51" s="66"/>
      <c r="F51" s="67"/>
      <c r="G51" s="68"/>
    </row>
    <row r="52" spans="1:7" s="75" customFormat="1" ht="13.5" customHeight="1" thickBot="1" x14ac:dyDescent="0.3">
      <c r="A52" s="145"/>
      <c r="B52" s="138"/>
      <c r="C52" s="64"/>
      <c r="D52" s="76"/>
      <c r="E52" s="66"/>
      <c r="F52" s="67"/>
      <c r="G52" s="68"/>
    </row>
    <row r="53" spans="1:7" s="75" customFormat="1" ht="12" customHeight="1" x14ac:dyDescent="0.25">
      <c r="A53" s="145"/>
      <c r="B53" s="138"/>
      <c r="C53" s="139"/>
      <c r="D53" s="172"/>
      <c r="E53" s="71"/>
      <c r="F53" s="73"/>
      <c r="G53" s="74"/>
    </row>
    <row r="54" spans="1:7" s="75" customFormat="1" ht="14.25" customHeight="1" outlineLevel="1" thickBot="1" x14ac:dyDescent="0.3">
      <c r="A54" s="175"/>
      <c r="B54" s="181"/>
      <c r="C54" s="66"/>
      <c r="D54" s="67"/>
      <c r="E54" s="66"/>
      <c r="F54" s="67"/>
      <c r="G54" s="66">
        <f>SUM(C54:F54)</f>
        <v>0</v>
      </c>
    </row>
    <row r="55" spans="1:7" s="75" customFormat="1" ht="16.5" hidden="1" customHeight="1" outlineLevel="1" thickBot="1" x14ac:dyDescent="0.3">
      <c r="A55" s="145" t="s">
        <v>2</v>
      </c>
      <c r="B55" s="121">
        <f>B54+1</f>
        <v>1</v>
      </c>
      <c r="C55" s="173"/>
      <c r="D55" s="174"/>
      <c r="E55" s="139"/>
      <c r="F55" s="172"/>
      <c r="G55" s="66">
        <f>SUM(C55:F55)</f>
        <v>0</v>
      </c>
    </row>
    <row r="56" spans="1:7" s="75" customFormat="1" ht="16.5" customHeight="1" outlineLevel="1" thickBot="1" x14ac:dyDescent="0.3">
      <c r="A56" s="104" t="s">
        <v>21</v>
      </c>
      <c r="B56" s="677" t="s">
        <v>28</v>
      </c>
      <c r="C56" s="115">
        <f>SUM(C49:C55)</f>
        <v>0</v>
      </c>
      <c r="D56" s="115">
        <f>SUM(D49:D55)</f>
        <v>0</v>
      </c>
      <c r="E56" s="115">
        <f>SUM(E49:E55)</f>
        <v>0</v>
      </c>
      <c r="F56" s="115">
        <f>SUM(F49:F55)</f>
        <v>0</v>
      </c>
      <c r="G56" s="115">
        <f>SUM(G49:G55)</f>
        <v>0</v>
      </c>
    </row>
    <row r="57" spans="1:7" s="75" customFormat="1" ht="14.25" customHeight="1" outlineLevel="1" thickBot="1" x14ac:dyDescent="0.3">
      <c r="A57" s="105" t="s">
        <v>23</v>
      </c>
      <c r="B57" s="678"/>
      <c r="C57" s="116" t="e">
        <f>AVERAGE(C49:C55)</f>
        <v>#DIV/0!</v>
      </c>
      <c r="D57" s="116" t="e">
        <f>AVERAGE(D49:D55)</f>
        <v>#DIV/0!</v>
      </c>
      <c r="E57" s="116" t="e">
        <f>AVERAGE(E49:E55)</f>
        <v>#DIV/0!</v>
      </c>
      <c r="F57" s="116" t="e">
        <f>AVERAGE(F49:F55)</f>
        <v>#DIV/0!</v>
      </c>
      <c r="G57" s="116">
        <f>AVERAGE(G49:G55)</f>
        <v>0</v>
      </c>
    </row>
    <row r="58" spans="1:7" s="75" customFormat="1" ht="15.75" customHeight="1" thickBot="1" x14ac:dyDescent="0.3">
      <c r="A58" s="26" t="s">
        <v>20</v>
      </c>
      <c r="B58" s="678"/>
      <c r="C58" s="82">
        <f>SUM(C49:C53)</f>
        <v>0</v>
      </c>
      <c r="D58" s="82">
        <f>SUM(D49:D53)</f>
        <v>0</v>
      </c>
      <c r="E58" s="82">
        <f>SUM(E49:E53)</f>
        <v>0</v>
      </c>
      <c r="F58" s="82">
        <f>SUM(F49:F53)</f>
        <v>0</v>
      </c>
      <c r="G58" s="82">
        <f>SUM(G49:G53)</f>
        <v>0</v>
      </c>
    </row>
    <row r="59" spans="1:7" s="75" customFormat="1" ht="14.25" customHeight="1" thickBot="1" x14ac:dyDescent="0.3">
      <c r="A59" s="26" t="s">
        <v>22</v>
      </c>
      <c r="B59" s="679"/>
      <c r="C59" s="83" t="e">
        <f>AVERAGE(C49:C53)</f>
        <v>#DIV/0!</v>
      </c>
      <c r="D59" s="83" t="e">
        <f>AVERAGE(D49:D53)</f>
        <v>#DIV/0!</v>
      </c>
      <c r="E59" s="83" t="e">
        <f>AVERAGE(E49:E53)</f>
        <v>#DIV/0!</v>
      </c>
      <c r="F59" s="83" t="e">
        <f>AVERAGE(F49:F53)</f>
        <v>#DIV/0!</v>
      </c>
      <c r="G59" s="83" t="e">
        <f>AVERAGE(G49:G53)</f>
        <v>#DIV/0!</v>
      </c>
    </row>
    <row r="60" spans="1:7" s="75" customFormat="1" ht="1.5" hidden="1" customHeight="1" x14ac:dyDescent="0.25">
      <c r="A60" s="134"/>
      <c r="B60" s="125"/>
      <c r="C60" s="64"/>
      <c r="D60" s="65"/>
      <c r="E60" s="64"/>
      <c r="F60" s="76"/>
      <c r="G60" s="77"/>
    </row>
    <row r="61" spans="1:7" s="75" customFormat="1" ht="17.25" hidden="1" customHeight="1" x14ac:dyDescent="0.25">
      <c r="A61" s="135"/>
      <c r="B61" s="123"/>
      <c r="C61" s="64"/>
      <c r="D61" s="65"/>
      <c r="E61" s="66"/>
      <c r="F61" s="67"/>
      <c r="G61" s="68"/>
    </row>
    <row r="62" spans="1:7" s="75" customFormat="1" ht="18" hidden="1" customHeight="1" x14ac:dyDescent="0.25">
      <c r="A62" s="130"/>
      <c r="B62" s="123"/>
      <c r="C62" s="64"/>
      <c r="D62" s="65"/>
      <c r="E62" s="66"/>
      <c r="F62" s="67"/>
      <c r="G62" s="68"/>
    </row>
    <row r="63" spans="1:7" s="75" customFormat="1" ht="16.5" hidden="1" customHeight="1" x14ac:dyDescent="0.25">
      <c r="A63" s="130"/>
      <c r="B63" s="123"/>
      <c r="C63" s="64"/>
      <c r="D63" s="65"/>
      <c r="E63" s="66"/>
      <c r="F63" s="67"/>
      <c r="G63" s="68"/>
    </row>
    <row r="64" spans="1:7" s="75" customFormat="1" ht="15" hidden="1" customHeight="1" x14ac:dyDescent="0.25">
      <c r="A64" s="130"/>
      <c r="B64" s="123"/>
      <c r="C64" s="64"/>
      <c r="D64" s="65"/>
      <c r="E64" s="66"/>
      <c r="F64" s="67"/>
      <c r="G64" s="68"/>
    </row>
    <row r="65" spans="1:7" s="75" customFormat="1" ht="17.25" hidden="1" customHeight="1" outlineLevel="1" x14ac:dyDescent="0.25">
      <c r="A65" s="130"/>
      <c r="B65" s="123"/>
      <c r="C65" s="66"/>
      <c r="D65" s="70"/>
      <c r="E65" s="66"/>
      <c r="F65" s="67"/>
      <c r="G65" s="68"/>
    </row>
    <row r="66" spans="1:7" s="75" customFormat="1" ht="12" hidden="1" customHeight="1" outlineLevel="1" thickBot="1" x14ac:dyDescent="0.3">
      <c r="A66" s="130"/>
      <c r="B66" s="124"/>
      <c r="C66" s="71"/>
      <c r="D66" s="72"/>
      <c r="E66" s="71"/>
      <c r="F66" s="73"/>
      <c r="G66" s="74"/>
    </row>
    <row r="67" spans="1:7" s="75" customFormat="1" ht="15" hidden="1" customHeight="1" outlineLevel="1" thickBot="1" x14ac:dyDescent="0.3">
      <c r="A67" s="104" t="s">
        <v>21</v>
      </c>
      <c r="B67" s="677" t="s">
        <v>32</v>
      </c>
      <c r="C67" s="115">
        <f>SUM(C60:C66)</f>
        <v>0</v>
      </c>
      <c r="D67" s="115">
        <f>SUM(D60:D66)</f>
        <v>0</v>
      </c>
      <c r="E67" s="115">
        <f>SUM(E60:E66)</f>
        <v>0</v>
      </c>
      <c r="F67" s="115">
        <f>SUM(F60:F66)</f>
        <v>0</v>
      </c>
      <c r="G67" s="115">
        <f>SUM(G60:G66)</f>
        <v>0</v>
      </c>
    </row>
    <row r="68" spans="1:7" s="75" customFormat="1" ht="14.25" hidden="1" customHeight="1" outlineLevel="1" thickBot="1" x14ac:dyDescent="0.3">
      <c r="A68" s="105" t="s">
        <v>23</v>
      </c>
      <c r="B68" s="678"/>
      <c r="C68" s="116" t="e">
        <f>AVERAGE(C60:C66)</f>
        <v>#DIV/0!</v>
      </c>
      <c r="D68" s="116" t="e">
        <f>AVERAGE(D60:D66)</f>
        <v>#DIV/0!</v>
      </c>
      <c r="E68" s="116" t="e">
        <f>AVERAGE(E60:E66)</f>
        <v>#DIV/0!</v>
      </c>
      <c r="F68" s="116" t="e">
        <f>AVERAGE(F60:F66)</f>
        <v>#DIV/0!</v>
      </c>
      <c r="G68" s="116" t="e">
        <f>AVERAGE(G60:G66)</f>
        <v>#DIV/0!</v>
      </c>
    </row>
    <row r="69" spans="1:7" s="75" customFormat="1" ht="15.75" hidden="1" customHeight="1" thickBot="1" x14ac:dyDescent="0.3">
      <c r="A69" s="26" t="s">
        <v>20</v>
      </c>
      <c r="B69" s="678"/>
      <c r="C69" s="82">
        <f>SUM(C60:C64)</f>
        <v>0</v>
      </c>
      <c r="D69" s="82">
        <f>SUM(D60:D64)</f>
        <v>0</v>
      </c>
      <c r="E69" s="82">
        <f>SUM(E60:E64)</f>
        <v>0</v>
      </c>
      <c r="F69" s="82">
        <f>SUM(F60:F64)</f>
        <v>0</v>
      </c>
      <c r="G69" s="82">
        <f>SUM(G60:G64)</f>
        <v>0</v>
      </c>
    </row>
    <row r="70" spans="1:7" s="75" customFormat="1" ht="17.25" hidden="1" customHeight="1" thickBot="1" x14ac:dyDescent="0.3">
      <c r="A70" s="26" t="s">
        <v>22</v>
      </c>
      <c r="B70" s="679"/>
      <c r="C70" s="83" t="e">
        <f>AVERAGE(C60:C64)</f>
        <v>#DIV/0!</v>
      </c>
      <c r="D70" s="83" t="e">
        <f>AVERAGE(D60:D64)</f>
        <v>#DIV/0!</v>
      </c>
      <c r="E70" s="83" t="e">
        <f>AVERAGE(E60:E64)</f>
        <v>#DIV/0!</v>
      </c>
      <c r="F70" s="83" t="e">
        <f>AVERAGE(F60:F64)</f>
        <v>#DIV/0!</v>
      </c>
      <c r="G70" s="83" t="e">
        <f>AVERAGE(G60:G64)</f>
        <v>#DIV/0!</v>
      </c>
    </row>
    <row r="71" spans="1:7" s="75" customFormat="1" ht="14.25" customHeight="1" x14ac:dyDescent="0.25">
      <c r="A71" s="46"/>
      <c r="B71" s="47"/>
      <c r="C71" s="78"/>
      <c r="D71" s="78"/>
      <c r="E71" s="78"/>
      <c r="F71" s="78"/>
      <c r="G71" s="78"/>
    </row>
    <row r="72" spans="1:7" s="75" customFormat="1" ht="30" customHeight="1" x14ac:dyDescent="0.25">
      <c r="B72" s="79"/>
      <c r="C72" s="38" t="s">
        <v>49</v>
      </c>
      <c r="D72" s="38" t="s">
        <v>50</v>
      </c>
      <c r="E72" s="694" t="s">
        <v>58</v>
      </c>
      <c r="F72" s="695"/>
      <c r="G72" s="696"/>
    </row>
    <row r="73" spans="1:7" ht="30" customHeight="1" x14ac:dyDescent="0.25">
      <c r="B73" s="40" t="s">
        <v>29</v>
      </c>
      <c r="C73" s="80">
        <f>SUM(C56:D56, C45:D45, C34:D34, C23:D23, C12:D12, C67:D67)</f>
        <v>0</v>
      </c>
      <c r="D73" s="80">
        <f>SUM(E67:F67, E56:F56, E45:F45, E34:F34, E23:F23, E12:F12)</f>
        <v>0</v>
      </c>
      <c r="E73" s="689" t="s">
        <v>29</v>
      </c>
      <c r="F73" s="685"/>
      <c r="G73" s="102">
        <f>SUM(G12, G23, G34, G45, G56, G67)</f>
        <v>0</v>
      </c>
    </row>
    <row r="74" spans="1:7" ht="30" customHeight="1" x14ac:dyDescent="0.25">
      <c r="B74" s="40" t="s">
        <v>30</v>
      </c>
      <c r="C74" s="80">
        <f>SUM(C58:D58, C47:D47, C36:D36, C25:D25, C14:D14, C69:D69)</f>
        <v>0</v>
      </c>
      <c r="D74" s="80">
        <f>SUM(E69:F69, E58:F58, E47:F47, E36:F36, E25:F25, E14:F14)</f>
        <v>0</v>
      </c>
      <c r="E74" s="623" t="s">
        <v>30</v>
      </c>
      <c r="F74" s="623"/>
      <c r="G74" s="103">
        <f>SUM(G58, G47, G36, G25, G14, G69)</f>
        <v>0</v>
      </c>
    </row>
    <row r="75" spans="1:7" ht="30" customHeight="1" x14ac:dyDescent="0.25">
      <c r="E75" s="689" t="s">
        <v>59</v>
      </c>
      <c r="F75" s="685"/>
      <c r="G75" s="103">
        <f>AVERAGE(G12, G23, G34, G45, G56, G67)</f>
        <v>0</v>
      </c>
    </row>
    <row r="76" spans="1:7" ht="30" customHeight="1" x14ac:dyDescent="0.25">
      <c r="E76" s="623" t="s">
        <v>22</v>
      </c>
      <c r="F76" s="623"/>
      <c r="G76" s="102">
        <f>AVERAGE(G58, G47, G36, G25, G14, G69)</f>
        <v>0</v>
      </c>
    </row>
    <row r="86" spans="2:2" x14ac:dyDescent="0.25">
      <c r="B86" s="81"/>
    </row>
    <row r="87" spans="2:2" x14ac:dyDescent="0.25">
      <c r="B87" s="81"/>
    </row>
    <row r="88" spans="2:2" x14ac:dyDescent="0.25">
      <c r="B88" s="81"/>
    </row>
    <row r="89" spans="2:2" x14ac:dyDescent="0.25">
      <c r="B89" s="81"/>
    </row>
    <row r="90" spans="2:2" x14ac:dyDescent="0.25">
      <c r="B90" s="81"/>
    </row>
    <row r="91" spans="2:2" x14ac:dyDescent="0.25">
      <c r="B91" s="81"/>
    </row>
    <row r="92" spans="2:2" x14ac:dyDescent="0.25">
      <c r="B92" s="81"/>
    </row>
    <row r="97" spans="2:2" x14ac:dyDescent="0.25">
      <c r="B97" s="81"/>
    </row>
    <row r="98" spans="2:2" x14ac:dyDescent="0.25">
      <c r="B98" s="81"/>
    </row>
    <row r="99" spans="2:2" x14ac:dyDescent="0.25">
      <c r="B99" s="81"/>
    </row>
    <row r="100" spans="2:2" x14ac:dyDescent="0.25">
      <c r="B100" s="81"/>
    </row>
    <row r="101" spans="2:2" x14ac:dyDescent="0.25">
      <c r="B101" s="81"/>
    </row>
    <row r="102" spans="2:2" x14ac:dyDescent="0.25">
      <c r="B102" s="81"/>
    </row>
    <row r="103" spans="2:2" x14ac:dyDescent="0.25">
      <c r="B103" s="81"/>
    </row>
    <row r="104" spans="2:2" x14ac:dyDescent="0.25">
      <c r="B104" s="81"/>
    </row>
  </sheetData>
  <mergeCells count="20">
    <mergeCell ref="A3:A4"/>
    <mergeCell ref="B3:B4"/>
    <mergeCell ref="B67:B70"/>
    <mergeCell ref="B12:B15"/>
    <mergeCell ref="B23:B26"/>
    <mergeCell ref="B34:B37"/>
    <mergeCell ref="B45:B48"/>
    <mergeCell ref="B56:B59"/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 G10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"/>
  <sheetViews>
    <sheetView zoomScaleNormal="100" workbookViewId="0">
      <selection activeCell="C24" sqref="C24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582" t="s">
        <v>118</v>
      </c>
      <c r="B1" s="583"/>
    </row>
    <row r="2" spans="1:2" ht="15.75" thickBot="1" x14ac:dyDescent="0.3">
      <c r="A2" s="584"/>
      <c r="B2" s="585"/>
    </row>
    <row r="3" spans="1:2" ht="15.75" thickBot="1" x14ac:dyDescent="0.3">
      <c r="A3" s="550" t="s">
        <v>44</v>
      </c>
      <c r="B3" s="586"/>
    </row>
    <row r="4" spans="1:2" ht="12.75" customHeight="1" x14ac:dyDescent="0.25">
      <c r="A4" s="528" t="s">
        <v>45</v>
      </c>
      <c r="B4" s="515">
        <f>'NY Waterway-(Port Imperial FC)'!L79</f>
        <v>9882</v>
      </c>
    </row>
    <row r="5" spans="1:2" ht="13.5" customHeight="1" thickBot="1" x14ac:dyDescent="0.3">
      <c r="A5" s="529"/>
      <c r="B5" s="530"/>
    </row>
    <row r="6" spans="1:2" ht="12.75" customHeight="1" x14ac:dyDescent="0.25">
      <c r="A6" s="528" t="s">
        <v>46</v>
      </c>
      <c r="B6" s="515">
        <f>(SeaStreak!G68)</f>
        <v>11718</v>
      </c>
    </row>
    <row r="7" spans="1:2" ht="13.5" customHeight="1" thickBot="1" x14ac:dyDescent="0.3">
      <c r="A7" s="587"/>
      <c r="B7" s="530"/>
    </row>
    <row r="8" spans="1:2" ht="12.75" customHeight="1" x14ac:dyDescent="0.25">
      <c r="A8" s="517" t="s">
        <v>47</v>
      </c>
      <c r="B8" s="541">
        <f>'New York Water Taxi'!M79</f>
        <v>6554</v>
      </c>
    </row>
    <row r="9" spans="1:2" ht="13.5" customHeight="1" thickBot="1" x14ac:dyDescent="0.3">
      <c r="A9" s="588"/>
      <c r="B9" s="543"/>
    </row>
    <row r="10" spans="1:2" ht="12.75" customHeight="1" x14ac:dyDescent="0.25">
      <c r="A10" s="548" t="s">
        <v>33</v>
      </c>
      <c r="B10" s="541">
        <f>('Liberty Landing Ferry'!F79)</f>
        <v>0</v>
      </c>
    </row>
    <row r="11" spans="1:2" ht="13.5" customHeight="1" thickBot="1" x14ac:dyDescent="0.3">
      <c r="A11" s="591"/>
      <c r="B11" s="543"/>
    </row>
    <row r="12" spans="1:2" ht="13.5" customHeight="1" x14ac:dyDescent="0.25">
      <c r="A12" s="548" t="s">
        <v>69</v>
      </c>
      <c r="B12" s="541">
        <f>'NYC Ferry'!E67</f>
        <v>250653</v>
      </c>
    </row>
    <row r="13" spans="1:2" ht="13.5" customHeight="1" thickBot="1" x14ac:dyDescent="0.3">
      <c r="A13" s="591"/>
      <c r="B13" s="543"/>
    </row>
    <row r="14" spans="1:2" ht="13.5" hidden="1" customHeight="1" x14ac:dyDescent="0.25">
      <c r="A14" s="548" t="s">
        <v>64</v>
      </c>
      <c r="B14" s="541">
        <f>'Water Tours'!F74</f>
        <v>0</v>
      </c>
    </row>
    <row r="15" spans="1:2" ht="13.5" hidden="1" customHeight="1" thickBot="1" x14ac:dyDescent="0.3">
      <c r="A15" s="591"/>
      <c r="B15" s="543"/>
    </row>
    <row r="16" spans="1:2" x14ac:dyDescent="0.25">
      <c r="A16" s="544" t="s">
        <v>19</v>
      </c>
      <c r="B16" s="546">
        <f>SUM(B4:B15)</f>
        <v>278807</v>
      </c>
    </row>
    <row r="17" spans="1:2" ht="15.75" thickBot="1" x14ac:dyDescent="0.3">
      <c r="A17" s="589"/>
      <c r="B17" s="590"/>
    </row>
    <row r="18" spans="1:2" ht="15.75" thickBot="1" x14ac:dyDescent="0.3">
      <c r="A18" s="41"/>
      <c r="B18" s="42"/>
    </row>
    <row r="19" spans="1:2" ht="15.75" thickBot="1" x14ac:dyDescent="0.3">
      <c r="A19" s="550" t="s">
        <v>48</v>
      </c>
      <c r="B19" s="586"/>
    </row>
    <row r="20" spans="1:2" x14ac:dyDescent="0.25">
      <c r="A20" s="528" t="s">
        <v>10</v>
      </c>
      <c r="B20" s="515">
        <f>SUM('NYC Ferry'!C62,'NY Waterway-(Port Imperial FC)'!D78,SeaStreak!B67,'New York Water Taxi'!J78,)</f>
        <v>64496</v>
      </c>
    </row>
    <row r="21" spans="1:2" ht="15.75" thickBot="1" x14ac:dyDescent="0.3">
      <c r="A21" s="529"/>
      <c r="B21" s="530"/>
    </row>
    <row r="22" spans="1:2" x14ac:dyDescent="0.25">
      <c r="A22" s="528" t="s">
        <v>65</v>
      </c>
      <c r="B22" s="515">
        <f>SUM('NY Waterway-(Port Imperial FC)'!E78)</f>
        <v>0</v>
      </c>
    </row>
    <row r="23" spans="1:2" ht="15.75" thickBot="1" x14ac:dyDescent="0.3">
      <c r="A23" s="529"/>
      <c r="B23" s="530"/>
    </row>
    <row r="24" spans="1:2" x14ac:dyDescent="0.25">
      <c r="A24" s="517" t="s">
        <v>8</v>
      </c>
      <c r="B24" s="541">
        <f>SUM('NY Waterway-(Port Imperial FC)'!G78)</f>
        <v>1284</v>
      </c>
    </row>
    <row r="25" spans="1:2" ht="15.75" thickBot="1" x14ac:dyDescent="0.3">
      <c r="A25" s="592"/>
      <c r="B25" s="543"/>
    </row>
    <row r="26" spans="1:2" x14ac:dyDescent="0.25">
      <c r="A26" s="528" t="s">
        <v>14</v>
      </c>
      <c r="B26" s="515">
        <f>SUM('NYC Ferry'!D62,SeaStreak!C67,'New York Water Taxi'!H78,)</f>
        <v>50880</v>
      </c>
    </row>
    <row r="27" spans="1:2" ht="15.75" thickBot="1" x14ac:dyDescent="0.3">
      <c r="A27" s="587"/>
      <c r="B27" s="530"/>
    </row>
    <row r="28" spans="1:2" ht="12.75" customHeight="1" x14ac:dyDescent="0.25">
      <c r="A28" s="528" t="s">
        <v>108</v>
      </c>
      <c r="B28" s="515">
        <f>SUM('NY Waterway-(Port Imperial FC)'!F78,'Liberty Landing Ferry'!B78)</f>
        <v>8457</v>
      </c>
    </row>
    <row r="29" spans="1:2" ht="15.75" thickBot="1" x14ac:dyDescent="0.3">
      <c r="A29" s="587"/>
      <c r="B29" s="530"/>
    </row>
    <row r="30" spans="1:2" x14ac:dyDescent="0.25">
      <c r="A30" s="517" t="s">
        <v>7</v>
      </c>
      <c r="B30" s="521">
        <f>SUM('New York Water Taxi'!D78)</f>
        <v>0</v>
      </c>
    </row>
    <row r="31" spans="1:2" ht="15.75" thickBot="1" x14ac:dyDescent="0.3">
      <c r="A31" s="588"/>
      <c r="B31" s="522"/>
    </row>
    <row r="32" spans="1:2" x14ac:dyDescent="0.25">
      <c r="A32" s="528" t="s">
        <v>93</v>
      </c>
      <c r="B32" s="521">
        <f>SUM('New York Water Taxi'!F78)</f>
        <v>0</v>
      </c>
    </row>
    <row r="33" spans="1:6" ht="15.75" thickBot="1" x14ac:dyDescent="0.3">
      <c r="A33" s="587"/>
      <c r="B33" s="522"/>
    </row>
    <row r="34" spans="1:6" ht="13.5" customHeight="1" x14ac:dyDescent="0.25">
      <c r="A34" s="519" t="s">
        <v>60</v>
      </c>
      <c r="B34" s="521">
        <f>SUM('NYC Ferry'!E62,'New York Water Taxi'!E78)</f>
        <v>16843</v>
      </c>
    </row>
    <row r="35" spans="1:6" ht="14.25" customHeight="1" thickBot="1" x14ac:dyDescent="0.3">
      <c r="A35" s="520"/>
      <c r="B35" s="522"/>
    </row>
    <row r="36" spans="1:6" ht="14.25" customHeight="1" x14ac:dyDescent="0.25">
      <c r="A36" s="519" t="s">
        <v>90</v>
      </c>
      <c r="B36" s="521">
        <f>SUM('New York Water Taxi'!G78)</f>
        <v>0</v>
      </c>
    </row>
    <row r="37" spans="1:6" ht="14.25" customHeight="1" thickBot="1" x14ac:dyDescent="0.3">
      <c r="A37" s="520"/>
      <c r="B37" s="522"/>
    </row>
    <row r="38" spans="1:6" ht="13.5" customHeight="1" x14ac:dyDescent="0.25">
      <c r="A38" s="519" t="s">
        <v>61</v>
      </c>
      <c r="B38" s="521">
        <f>SUM('NYC Ferry'!I62)</f>
        <v>7641</v>
      </c>
    </row>
    <row r="39" spans="1:6" ht="14.25" customHeight="1" thickBot="1" x14ac:dyDescent="0.3">
      <c r="A39" s="520"/>
      <c r="B39" s="522"/>
    </row>
    <row r="40" spans="1:6" ht="13.5" customHeight="1" x14ac:dyDescent="0.25">
      <c r="A40" s="519" t="s">
        <v>11</v>
      </c>
      <c r="B40" s="521">
        <f>SUM('NYC Ferry'!J62)</f>
        <v>11725</v>
      </c>
    </row>
    <row r="41" spans="1:6" ht="14.25" customHeight="1" thickBot="1" x14ac:dyDescent="0.3">
      <c r="A41" s="520"/>
      <c r="B41" s="522"/>
    </row>
    <row r="42" spans="1:6" ht="13.5" customHeight="1" x14ac:dyDescent="0.25">
      <c r="A42" s="519" t="s">
        <v>12</v>
      </c>
      <c r="B42" s="521">
        <f>SUM('NYC Ferry'!G62)</f>
        <v>7191</v>
      </c>
    </row>
    <row r="43" spans="1:6" ht="14.25" customHeight="1" thickBot="1" x14ac:dyDescent="0.3">
      <c r="A43" s="520"/>
      <c r="B43" s="522"/>
    </row>
    <row r="44" spans="1:6" ht="13.5" customHeight="1" x14ac:dyDescent="0.25">
      <c r="A44" s="519" t="s">
        <v>96</v>
      </c>
      <c r="B44" s="521">
        <f>SUM('NYC Ferry'!H62)</f>
        <v>11066</v>
      </c>
    </row>
    <row r="45" spans="1:6" ht="14.25" customHeight="1" thickBot="1" x14ac:dyDescent="0.3">
      <c r="A45" s="520"/>
      <c r="B45" s="522"/>
    </row>
    <row r="46" spans="1:6" ht="14.25" customHeight="1" x14ac:dyDescent="0.25">
      <c r="A46" s="519" t="s">
        <v>31</v>
      </c>
      <c r="B46" s="521">
        <f>SUM('NYC Ferry'!W62)</f>
        <v>0</v>
      </c>
      <c r="F46" s="6"/>
    </row>
    <row r="47" spans="1:6" ht="14.25" customHeight="1" thickBot="1" x14ac:dyDescent="0.3">
      <c r="A47" s="520"/>
      <c r="B47" s="522"/>
    </row>
    <row r="48" spans="1:6" ht="14.25" customHeight="1" x14ac:dyDescent="0.25">
      <c r="A48" s="519" t="s">
        <v>74</v>
      </c>
      <c r="B48" s="521">
        <f>SUM('NYC Ferry'!N62)</f>
        <v>2164</v>
      </c>
    </row>
    <row r="49" spans="1:2" ht="14.25" customHeight="1" thickBot="1" x14ac:dyDescent="0.3">
      <c r="A49" s="520"/>
      <c r="B49" s="522"/>
    </row>
    <row r="50" spans="1:2" ht="14.25" customHeight="1" x14ac:dyDescent="0.25">
      <c r="A50" s="519" t="s">
        <v>99</v>
      </c>
      <c r="B50" s="521">
        <f>SUM('New York Water Taxi'!K78)</f>
        <v>0</v>
      </c>
    </row>
    <row r="51" spans="1:2" ht="14.25" customHeight="1" thickBot="1" x14ac:dyDescent="0.3">
      <c r="A51" s="520"/>
      <c r="B51" s="522"/>
    </row>
    <row r="52" spans="1:2" ht="14.25" customHeight="1" x14ac:dyDescent="0.25">
      <c r="A52" s="555" t="s">
        <v>109</v>
      </c>
      <c r="B52" s="521">
        <f>SUM('NYC Ferry'!K62,'New York Water Taxi'!I78)</f>
        <v>10788</v>
      </c>
    </row>
    <row r="53" spans="1:2" ht="14.25" customHeight="1" thickBot="1" x14ac:dyDescent="0.3">
      <c r="A53" s="556"/>
      <c r="B53" s="522"/>
    </row>
    <row r="54" spans="1:2" ht="14.25" customHeight="1" x14ac:dyDescent="0.25">
      <c r="A54" s="519" t="s">
        <v>80</v>
      </c>
      <c r="B54" s="521">
        <f>SUM('NYC Ferry'!V62)</f>
        <v>2938</v>
      </c>
    </row>
    <row r="55" spans="1:2" ht="14.25" customHeight="1" thickBot="1" x14ac:dyDescent="0.3">
      <c r="A55" s="520"/>
      <c r="B55" s="522"/>
    </row>
    <row r="56" spans="1:2" ht="14.25" customHeight="1" x14ac:dyDescent="0.25">
      <c r="A56" s="519" t="s">
        <v>81</v>
      </c>
      <c r="B56" s="521">
        <f>SUM('NYC Ferry'!U62)</f>
        <v>2790</v>
      </c>
    </row>
    <row r="57" spans="1:2" ht="14.25" customHeight="1" thickBot="1" x14ac:dyDescent="0.3">
      <c r="A57" s="520"/>
      <c r="B57" s="522"/>
    </row>
    <row r="58" spans="1:2" ht="14.25" customHeight="1" x14ac:dyDescent="0.25">
      <c r="A58" s="519" t="s">
        <v>83</v>
      </c>
      <c r="B58" s="521">
        <f>SUM('NYC Ferry'!T62)</f>
        <v>10509</v>
      </c>
    </row>
    <row r="59" spans="1:2" ht="14.25" customHeight="1" thickBot="1" x14ac:dyDescent="0.3">
      <c r="A59" s="520"/>
      <c r="B59" s="522"/>
    </row>
    <row r="60" spans="1:2" ht="14.25" customHeight="1" x14ac:dyDescent="0.25">
      <c r="A60" s="519" t="s">
        <v>82</v>
      </c>
      <c r="B60" s="521">
        <f>SUM('NYC Ferry'!S62)</f>
        <v>9894</v>
      </c>
    </row>
    <row r="61" spans="1:2" ht="14.25" customHeight="1" thickBot="1" x14ac:dyDescent="0.3">
      <c r="A61" s="520"/>
      <c r="B61" s="522"/>
    </row>
    <row r="62" spans="1:2" ht="14.25" customHeight="1" x14ac:dyDescent="0.25">
      <c r="A62" s="593" t="s">
        <v>97</v>
      </c>
      <c r="B62" s="521">
        <f>SUM('NYC Ferry'!M62)</f>
        <v>3992</v>
      </c>
    </row>
    <row r="63" spans="1:2" ht="14.25" customHeight="1" thickBot="1" x14ac:dyDescent="0.3">
      <c r="A63" s="594"/>
      <c r="B63" s="522"/>
    </row>
    <row r="64" spans="1:2" ht="14.25" customHeight="1" x14ac:dyDescent="0.25">
      <c r="A64" s="519" t="s">
        <v>111</v>
      </c>
      <c r="B64" s="521">
        <f>SUM('NYC Ferry'!O62)</f>
        <v>6254</v>
      </c>
    </row>
    <row r="65" spans="1:2" ht="14.25" customHeight="1" thickBot="1" x14ac:dyDescent="0.3">
      <c r="A65" s="520"/>
      <c r="B65" s="522"/>
    </row>
    <row r="66" spans="1:2" ht="14.25" customHeight="1" x14ac:dyDescent="0.25">
      <c r="A66" s="519" t="s">
        <v>68</v>
      </c>
      <c r="B66" s="521">
        <f>SUM('NYC Ferry'!L62)</f>
        <v>18757</v>
      </c>
    </row>
    <row r="67" spans="1:2" ht="14.25" customHeight="1" thickBot="1" x14ac:dyDescent="0.3">
      <c r="A67" s="520"/>
      <c r="B67" s="522"/>
    </row>
    <row r="68" spans="1:2" ht="14.25" customHeight="1" x14ac:dyDescent="0.25">
      <c r="A68" s="519" t="s">
        <v>75</v>
      </c>
      <c r="B68" s="521">
        <f>SUM('NYC Ferry'!R62)</f>
        <v>10339</v>
      </c>
    </row>
    <row r="69" spans="1:2" ht="14.25" customHeight="1" thickBot="1" x14ac:dyDescent="0.3">
      <c r="A69" s="520"/>
      <c r="B69" s="522"/>
    </row>
    <row r="70" spans="1:2" ht="14.25" customHeight="1" x14ac:dyDescent="0.25">
      <c r="A70" s="519" t="s">
        <v>76</v>
      </c>
      <c r="B70" s="521">
        <f>SUM('NYC Ferry'!Q62)</f>
        <v>6038</v>
      </c>
    </row>
    <row r="71" spans="1:2" ht="14.25" customHeight="1" thickBot="1" x14ac:dyDescent="0.3">
      <c r="A71" s="520"/>
      <c r="B71" s="522"/>
    </row>
    <row r="72" spans="1:2" ht="14.25" customHeight="1" x14ac:dyDescent="0.25">
      <c r="A72" s="519" t="s">
        <v>103</v>
      </c>
      <c r="B72" s="521">
        <f>SUM('NYC Ferry'!P62)</f>
        <v>3310</v>
      </c>
    </row>
    <row r="73" spans="1:2" ht="14.25" customHeight="1" thickBot="1" x14ac:dyDescent="0.3">
      <c r="A73" s="520"/>
      <c r="B73" s="522"/>
    </row>
    <row r="74" spans="1:2" ht="14.25" customHeight="1" x14ac:dyDescent="0.25">
      <c r="A74" s="519" t="s">
        <v>62</v>
      </c>
      <c r="B74" s="521">
        <f>SUM('NYC Ferry'!F62)</f>
        <v>11451</v>
      </c>
    </row>
    <row r="75" spans="1:2" ht="14.25" customHeight="1" thickBot="1" x14ac:dyDescent="0.3">
      <c r="A75" s="520"/>
      <c r="B75" s="522"/>
    </row>
    <row r="76" spans="1:2" x14ac:dyDescent="0.25">
      <c r="A76" s="559" t="s">
        <v>19</v>
      </c>
      <c r="B76" s="546">
        <f>SUM(B20:B75)</f>
        <v>278807</v>
      </c>
    </row>
    <row r="77" spans="1:2" ht="15.75" thickBot="1" x14ac:dyDescent="0.3">
      <c r="A77" s="595"/>
      <c r="B77" s="590"/>
    </row>
    <row r="81" spans="9:10" x14ac:dyDescent="0.25">
      <c r="I81" s="6"/>
      <c r="J81" s="6"/>
    </row>
    <row r="82" spans="9:10" x14ac:dyDescent="0.25">
      <c r="I82" s="6"/>
      <c r="J82" s="6"/>
    </row>
    <row r="83" spans="9:10" x14ac:dyDescent="0.25">
      <c r="I83" s="6"/>
      <c r="J83" s="6"/>
    </row>
    <row r="84" spans="9:10" x14ac:dyDescent="0.25">
      <c r="I84" s="6"/>
      <c r="J84" s="6"/>
    </row>
    <row r="85" spans="9:10" x14ac:dyDescent="0.25">
      <c r="I85" s="6"/>
      <c r="J85" s="6"/>
    </row>
    <row r="86" spans="9:10" x14ac:dyDescent="0.25">
      <c r="I86" s="6"/>
      <c r="J86" s="6"/>
    </row>
    <row r="87" spans="9:10" x14ac:dyDescent="0.25">
      <c r="I87" s="6"/>
      <c r="J87" s="6"/>
    </row>
    <row r="88" spans="9:10" x14ac:dyDescent="0.25">
      <c r="I88" s="6"/>
      <c r="J88" s="6"/>
    </row>
    <row r="89" spans="9:10" x14ac:dyDescent="0.25">
      <c r="I89" s="6"/>
      <c r="J89" s="6"/>
    </row>
    <row r="90" spans="9:10" x14ac:dyDescent="0.25">
      <c r="I90" s="6"/>
      <c r="J90" s="6"/>
    </row>
    <row r="91" spans="9:10" x14ac:dyDescent="0.25">
      <c r="I91" s="6"/>
      <c r="J91" s="6"/>
    </row>
    <row r="92" spans="9:10" x14ac:dyDescent="0.25">
      <c r="J92" s="6"/>
    </row>
    <row r="93" spans="9:10" x14ac:dyDescent="0.25">
      <c r="J93" s="6"/>
    </row>
    <row r="94" spans="9:10" x14ac:dyDescent="0.25">
      <c r="I94" s="6"/>
      <c r="J94" s="6"/>
    </row>
    <row r="95" spans="9:10" x14ac:dyDescent="0.25">
      <c r="I95" s="6"/>
      <c r="J95" s="6"/>
    </row>
    <row r="96" spans="9:10" x14ac:dyDescent="0.25">
      <c r="I96" s="6"/>
      <c r="J96" s="6"/>
    </row>
    <row r="97" spans="9:10" x14ac:dyDescent="0.25">
      <c r="I97" s="6"/>
      <c r="J97" s="6"/>
    </row>
    <row r="98" spans="9:10" x14ac:dyDescent="0.25">
      <c r="I98" s="6"/>
      <c r="J98" s="6"/>
    </row>
    <row r="99" spans="9:10" x14ac:dyDescent="0.25">
      <c r="I99" s="6"/>
      <c r="J99" s="6"/>
    </row>
    <row r="100" spans="9:10" x14ac:dyDescent="0.25">
      <c r="I100" s="6"/>
      <c r="J100" s="6"/>
    </row>
    <row r="101" spans="9:10" x14ac:dyDescent="0.25">
      <c r="I101" s="6"/>
      <c r="J101" s="6"/>
    </row>
    <row r="102" spans="9:10" x14ac:dyDescent="0.25">
      <c r="I102" s="6"/>
      <c r="J102" s="6"/>
    </row>
    <row r="103" spans="9:10" x14ac:dyDescent="0.25">
      <c r="I103" s="6"/>
      <c r="J103" s="6"/>
    </row>
    <row r="104" spans="9:10" x14ac:dyDescent="0.25">
      <c r="I104" s="6"/>
      <c r="J104" s="6"/>
    </row>
    <row r="105" spans="9:10" x14ac:dyDescent="0.25">
      <c r="I105" s="6"/>
      <c r="J105" s="6"/>
    </row>
    <row r="106" spans="9:10" x14ac:dyDescent="0.25">
      <c r="I106" s="6"/>
      <c r="J106" s="6"/>
    </row>
    <row r="107" spans="9:10" x14ac:dyDescent="0.25">
      <c r="I107" s="6"/>
    </row>
    <row r="108" spans="9:10" x14ac:dyDescent="0.25">
      <c r="I108" s="6"/>
      <c r="J108" s="6"/>
    </row>
    <row r="109" spans="9:10" x14ac:dyDescent="0.25">
      <c r="I109" s="6"/>
    </row>
    <row r="110" spans="9:10" x14ac:dyDescent="0.25">
      <c r="I110" s="6"/>
      <c r="J110" s="6"/>
    </row>
    <row r="111" spans="9:10" x14ac:dyDescent="0.25">
      <c r="I111" s="6"/>
      <c r="J111" s="6"/>
    </row>
    <row r="112" spans="9:10" x14ac:dyDescent="0.25">
      <c r="I112" s="6"/>
      <c r="J112" s="6"/>
    </row>
    <row r="113" spans="9:10" x14ac:dyDescent="0.25">
      <c r="I113" s="6"/>
      <c r="J113" s="6"/>
    </row>
  </sheetData>
  <mergeCells count="76">
    <mergeCell ref="A54:A55"/>
    <mergeCell ref="A56:A57"/>
    <mergeCell ref="B54:B55"/>
    <mergeCell ref="A60:A61"/>
    <mergeCell ref="B58:B59"/>
    <mergeCell ref="B60:B61"/>
    <mergeCell ref="A68:A69"/>
    <mergeCell ref="B68:B69"/>
    <mergeCell ref="A76:A77"/>
    <mergeCell ref="B76:B77"/>
    <mergeCell ref="A66:A67"/>
    <mergeCell ref="B66:B67"/>
    <mergeCell ref="A72:A73"/>
    <mergeCell ref="B72:B73"/>
    <mergeCell ref="A74:A75"/>
    <mergeCell ref="B74:B75"/>
    <mergeCell ref="A70:A71"/>
    <mergeCell ref="B70:B71"/>
    <mergeCell ref="A44:A45"/>
    <mergeCell ref="B44:B45"/>
    <mergeCell ref="A46:A47"/>
    <mergeCell ref="B46:B47"/>
    <mergeCell ref="A64:A65"/>
    <mergeCell ref="B64:B65"/>
    <mergeCell ref="A52:A53"/>
    <mergeCell ref="B52:B53"/>
    <mergeCell ref="A48:A49"/>
    <mergeCell ref="B48:B49"/>
    <mergeCell ref="B56:B57"/>
    <mergeCell ref="A58:A59"/>
    <mergeCell ref="A62:A63"/>
    <mergeCell ref="B62:B63"/>
    <mergeCell ref="A50:A51"/>
    <mergeCell ref="B50:B51"/>
    <mergeCell ref="A40:A41"/>
    <mergeCell ref="B40:B41"/>
    <mergeCell ref="A42:A43"/>
    <mergeCell ref="B42:B43"/>
    <mergeCell ref="A28:A29"/>
    <mergeCell ref="B28:B29"/>
    <mergeCell ref="A30:A31"/>
    <mergeCell ref="B30:B31"/>
    <mergeCell ref="A32:A33"/>
    <mergeCell ref="B32:B33"/>
    <mergeCell ref="A34:A35"/>
    <mergeCell ref="B34:B35"/>
    <mergeCell ref="A38:A39"/>
    <mergeCell ref="B38:B39"/>
    <mergeCell ref="A36:A37"/>
    <mergeCell ref="B36:B37"/>
    <mergeCell ref="A24:A25"/>
    <mergeCell ref="B24:B25"/>
    <mergeCell ref="A26:A27"/>
    <mergeCell ref="B26:B27"/>
    <mergeCell ref="A22:A23"/>
    <mergeCell ref="B22:B23"/>
    <mergeCell ref="A6:A7"/>
    <mergeCell ref="B6:B7"/>
    <mergeCell ref="A8:A9"/>
    <mergeCell ref="B8:B9"/>
    <mergeCell ref="A20:A21"/>
    <mergeCell ref="B20:B21"/>
    <mergeCell ref="B10:B11"/>
    <mergeCell ref="A16:A17"/>
    <mergeCell ref="B16:B17"/>
    <mergeCell ref="A19:B19"/>
    <mergeCell ref="A12:A13"/>
    <mergeCell ref="B12:B13"/>
    <mergeCell ref="A14:A15"/>
    <mergeCell ref="B14:B15"/>
    <mergeCell ref="A10:A11"/>
    <mergeCell ref="A1:B1"/>
    <mergeCell ref="A2:B2"/>
    <mergeCell ref="A3:B3"/>
    <mergeCell ref="A4:A5"/>
    <mergeCell ref="B4:B5"/>
  </mergeCells>
  <pageMargins left="0.7" right="0.7" top="0.75" bottom="0.75" header="0.3" footer="0.3"/>
  <pageSetup scale="9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0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17" sqref="H17"/>
    </sheetView>
  </sheetViews>
  <sheetFormatPr defaultRowHeight="15" x14ac:dyDescent="0.25"/>
  <cols>
    <col min="1" max="1" width="18.7109375" style="1" bestFit="1" customWidth="1"/>
    <col min="2" max="2" width="10.7109375" style="128" bestFit="1" customWidth="1"/>
    <col min="3" max="3" width="17.5703125" style="128" customWidth="1"/>
    <col min="4" max="4" width="17.5703125" style="1" customWidth="1"/>
    <col min="5" max="5" width="14.5703125" style="1" customWidth="1"/>
    <col min="6" max="6" width="13.7109375" style="1" customWidth="1"/>
    <col min="7" max="8" width="11.7109375" style="1" customWidth="1"/>
    <col min="9" max="9" width="14.85546875" style="1" bestFit="1" customWidth="1"/>
    <col min="10" max="10" width="13" style="1" customWidth="1"/>
    <col min="11" max="11" width="11.7109375" style="1" customWidth="1"/>
    <col min="12" max="14" width="11.7109375" style="220" customWidth="1"/>
    <col min="15" max="16" width="11.7109375" style="1" customWidth="1"/>
    <col min="17" max="26" width="11.7109375" style="220" customWidth="1"/>
    <col min="27" max="27" width="13.42578125" customWidth="1"/>
    <col min="28" max="28" width="11" customWidth="1"/>
    <col min="29" max="29" width="10.85546875" style="269" bestFit="1" customWidth="1"/>
    <col min="30" max="30" width="10.85546875" style="222" customWidth="1"/>
    <col min="31" max="31" width="11.7109375" style="220" customWidth="1"/>
    <col min="32" max="32" width="14.28515625" customWidth="1"/>
    <col min="33" max="33" width="12.42578125" customWidth="1"/>
    <col min="34" max="34" width="10.85546875" customWidth="1"/>
    <col min="35" max="35" width="10.5703125" customWidth="1"/>
    <col min="36" max="36" width="9.140625" style="222"/>
    <col min="37" max="37" width="10.5703125" style="222" customWidth="1"/>
  </cols>
  <sheetData>
    <row r="1" spans="1:38" ht="15" customHeight="1" x14ac:dyDescent="0.25">
      <c r="A1" s="626" t="s">
        <v>51</v>
      </c>
      <c r="B1" s="629" t="s">
        <v>52</v>
      </c>
      <c r="C1" s="633" t="s">
        <v>67</v>
      </c>
      <c r="D1" s="634"/>
      <c r="E1" s="634"/>
      <c r="F1" s="634"/>
      <c r="G1" s="634"/>
      <c r="H1" s="634"/>
      <c r="I1" s="635"/>
      <c r="J1" s="616" t="s">
        <v>68</v>
      </c>
      <c r="K1" s="617"/>
      <c r="L1" s="618"/>
      <c r="M1" s="596" t="s">
        <v>72</v>
      </c>
      <c r="N1" s="597"/>
      <c r="O1" s="597"/>
      <c r="P1" s="597"/>
      <c r="Q1" s="597"/>
      <c r="R1" s="597"/>
      <c r="S1" s="598"/>
      <c r="T1" s="596" t="s">
        <v>75</v>
      </c>
      <c r="U1" s="597"/>
      <c r="V1" s="597"/>
      <c r="W1" s="597"/>
      <c r="X1" s="597"/>
      <c r="Y1" s="598"/>
      <c r="Z1" s="596" t="s">
        <v>83</v>
      </c>
      <c r="AA1" s="597"/>
      <c r="AB1" s="597"/>
      <c r="AC1" s="597"/>
      <c r="AD1" s="598"/>
      <c r="AE1" s="596" t="s">
        <v>79</v>
      </c>
      <c r="AF1" s="597"/>
      <c r="AG1" s="597"/>
      <c r="AH1" s="597"/>
      <c r="AI1" s="598"/>
      <c r="AJ1" s="645" t="s">
        <v>102</v>
      </c>
      <c r="AK1" s="646"/>
      <c r="AL1" s="643"/>
    </row>
    <row r="2" spans="1:38" ht="15.75" customHeight="1" x14ac:dyDescent="0.25">
      <c r="A2" s="627"/>
      <c r="B2" s="630"/>
      <c r="C2" s="636"/>
      <c r="D2" s="637"/>
      <c r="E2" s="637"/>
      <c r="F2" s="637"/>
      <c r="G2" s="637"/>
      <c r="H2" s="637"/>
      <c r="I2" s="638"/>
      <c r="J2" s="619"/>
      <c r="K2" s="620"/>
      <c r="L2" s="621"/>
      <c r="M2" s="599"/>
      <c r="N2" s="600"/>
      <c r="O2" s="600"/>
      <c r="P2" s="600"/>
      <c r="Q2" s="600"/>
      <c r="R2" s="600"/>
      <c r="S2" s="601"/>
      <c r="T2" s="599"/>
      <c r="U2" s="600"/>
      <c r="V2" s="600"/>
      <c r="W2" s="600"/>
      <c r="X2" s="600"/>
      <c r="Y2" s="601"/>
      <c r="Z2" s="599"/>
      <c r="AA2" s="600"/>
      <c r="AB2" s="600"/>
      <c r="AC2" s="600"/>
      <c r="AD2" s="601"/>
      <c r="AE2" s="599"/>
      <c r="AF2" s="600"/>
      <c r="AG2" s="600"/>
      <c r="AH2" s="600"/>
      <c r="AI2" s="601"/>
      <c r="AJ2" s="647"/>
      <c r="AK2" s="648"/>
      <c r="AL2" s="644"/>
    </row>
    <row r="3" spans="1:38" ht="15" customHeight="1" x14ac:dyDescent="0.25">
      <c r="A3" s="627"/>
      <c r="B3" s="630"/>
      <c r="C3" s="607" t="s">
        <v>10</v>
      </c>
      <c r="D3" s="602" t="s">
        <v>60</v>
      </c>
      <c r="E3" s="602" t="s">
        <v>61</v>
      </c>
      <c r="F3" s="602" t="s">
        <v>11</v>
      </c>
      <c r="G3" s="602" t="s">
        <v>12</v>
      </c>
      <c r="H3" s="602" t="s">
        <v>96</v>
      </c>
      <c r="I3" s="604" t="s">
        <v>14</v>
      </c>
      <c r="J3" s="607" t="s">
        <v>10</v>
      </c>
      <c r="K3" s="602" t="s">
        <v>105</v>
      </c>
      <c r="L3" s="604" t="s">
        <v>68</v>
      </c>
      <c r="M3" s="607" t="s">
        <v>10</v>
      </c>
      <c r="N3" s="602" t="s">
        <v>60</v>
      </c>
      <c r="O3" s="602" t="s">
        <v>112</v>
      </c>
      <c r="P3" s="602" t="s">
        <v>74</v>
      </c>
      <c r="Q3" s="602" t="s">
        <v>105</v>
      </c>
      <c r="R3" s="602" t="s">
        <v>73</v>
      </c>
      <c r="S3" s="604" t="s">
        <v>81</v>
      </c>
      <c r="T3" s="607" t="s">
        <v>10</v>
      </c>
      <c r="U3" s="602" t="s">
        <v>103</v>
      </c>
      <c r="V3" s="602" t="s">
        <v>14</v>
      </c>
      <c r="W3" s="602" t="s">
        <v>62</v>
      </c>
      <c r="X3" s="602" t="s">
        <v>76</v>
      </c>
      <c r="Y3" s="604" t="s">
        <v>75</v>
      </c>
      <c r="Z3" s="607" t="s">
        <v>10</v>
      </c>
      <c r="AA3" s="602" t="s">
        <v>14</v>
      </c>
      <c r="AB3" s="602" t="s">
        <v>82</v>
      </c>
      <c r="AC3" s="602" t="s">
        <v>83</v>
      </c>
      <c r="AD3" s="604" t="s">
        <v>80</v>
      </c>
      <c r="AE3" s="607" t="s">
        <v>10</v>
      </c>
      <c r="AF3" s="602" t="s">
        <v>81</v>
      </c>
      <c r="AG3" s="602" t="s">
        <v>80</v>
      </c>
      <c r="AH3" s="602" t="s">
        <v>14</v>
      </c>
      <c r="AI3" s="604" t="s">
        <v>62</v>
      </c>
      <c r="AJ3" s="607" t="s">
        <v>10</v>
      </c>
      <c r="AK3" s="604" t="s">
        <v>31</v>
      </c>
      <c r="AL3" s="644"/>
    </row>
    <row r="4" spans="1:38" ht="40.5" customHeight="1" thickBot="1" x14ac:dyDescent="0.3">
      <c r="A4" s="628"/>
      <c r="B4" s="631"/>
      <c r="C4" s="632"/>
      <c r="D4" s="615"/>
      <c r="E4" s="615"/>
      <c r="F4" s="615"/>
      <c r="G4" s="615"/>
      <c r="H4" s="615"/>
      <c r="I4" s="610"/>
      <c r="J4" s="613"/>
      <c r="K4" s="609"/>
      <c r="L4" s="614"/>
      <c r="M4" s="611"/>
      <c r="N4" s="603"/>
      <c r="O4" s="603"/>
      <c r="P4" s="603"/>
      <c r="Q4" s="603"/>
      <c r="R4" s="603"/>
      <c r="S4" s="610"/>
      <c r="T4" s="608"/>
      <c r="U4" s="609"/>
      <c r="V4" s="606"/>
      <c r="W4" s="606"/>
      <c r="X4" s="606"/>
      <c r="Y4" s="605"/>
      <c r="Z4" s="611"/>
      <c r="AA4" s="603"/>
      <c r="AB4" s="603"/>
      <c r="AC4" s="615"/>
      <c r="AD4" s="610"/>
      <c r="AE4" s="608"/>
      <c r="AF4" s="606"/>
      <c r="AG4" s="606"/>
      <c r="AH4" s="606"/>
      <c r="AI4" s="605"/>
      <c r="AJ4" s="611"/>
      <c r="AK4" s="610"/>
      <c r="AL4" s="644"/>
    </row>
    <row r="5" spans="1:38" ht="15.75" customHeight="1" x14ac:dyDescent="0.25">
      <c r="A5" s="145" t="s">
        <v>3</v>
      </c>
      <c r="B5" s="384">
        <v>43983</v>
      </c>
      <c r="C5" s="219">
        <v>160</v>
      </c>
      <c r="D5" s="205">
        <v>160</v>
      </c>
      <c r="E5" s="205">
        <v>162</v>
      </c>
      <c r="F5" s="205">
        <v>180</v>
      </c>
      <c r="G5" s="205">
        <v>144</v>
      </c>
      <c r="H5" s="205">
        <v>201</v>
      </c>
      <c r="I5" s="510">
        <v>373</v>
      </c>
      <c r="J5" s="219">
        <v>209</v>
      </c>
      <c r="K5" s="205">
        <v>108</v>
      </c>
      <c r="L5" s="510">
        <v>223</v>
      </c>
      <c r="M5" s="219">
        <v>92</v>
      </c>
      <c r="N5" s="205">
        <v>59</v>
      </c>
      <c r="O5" s="205">
        <v>37</v>
      </c>
      <c r="P5" s="205">
        <v>28</v>
      </c>
      <c r="Q5" s="205">
        <v>10</v>
      </c>
      <c r="R5" s="205">
        <v>90</v>
      </c>
      <c r="S5" s="510">
        <v>37</v>
      </c>
      <c r="T5" s="219">
        <v>149</v>
      </c>
      <c r="U5" s="205">
        <v>71</v>
      </c>
      <c r="V5" s="205">
        <v>302</v>
      </c>
      <c r="W5" s="205">
        <v>233</v>
      </c>
      <c r="X5" s="513">
        <v>76</v>
      </c>
      <c r="Y5" s="510">
        <v>168</v>
      </c>
      <c r="Z5" s="219">
        <v>175</v>
      </c>
      <c r="AA5" s="514">
        <v>132</v>
      </c>
      <c r="AB5" s="205">
        <v>150</v>
      </c>
      <c r="AC5" s="205">
        <v>212</v>
      </c>
      <c r="AD5" s="510">
        <v>28</v>
      </c>
      <c r="AE5" s="219"/>
      <c r="AF5" s="514"/>
      <c r="AG5" s="205"/>
      <c r="AH5" s="205"/>
      <c r="AI5" s="510"/>
      <c r="AJ5" s="219"/>
      <c r="AK5" s="510"/>
      <c r="AL5" s="511">
        <f t="shared" ref="AL5:AL11" si="0">SUM(C5:AK5)</f>
        <v>3969</v>
      </c>
    </row>
    <row r="6" spans="1:38" ht="17.25" customHeight="1" x14ac:dyDescent="0.25">
      <c r="A6" s="145" t="s">
        <v>4</v>
      </c>
      <c r="B6" s="385">
        <v>43984</v>
      </c>
      <c r="C6" s="254">
        <v>155</v>
      </c>
      <c r="D6" s="255">
        <v>98</v>
      </c>
      <c r="E6" s="255">
        <v>77</v>
      </c>
      <c r="F6" s="255">
        <v>161</v>
      </c>
      <c r="G6" s="255">
        <v>144</v>
      </c>
      <c r="H6" s="255">
        <v>107</v>
      </c>
      <c r="I6" s="509">
        <v>435</v>
      </c>
      <c r="J6" s="254">
        <v>183</v>
      </c>
      <c r="K6" s="255">
        <v>77</v>
      </c>
      <c r="L6" s="212">
        <v>168</v>
      </c>
      <c r="M6" s="215">
        <v>125</v>
      </c>
      <c r="N6" s="203">
        <v>43</v>
      </c>
      <c r="O6" s="203">
        <v>33</v>
      </c>
      <c r="P6" s="203">
        <v>47</v>
      </c>
      <c r="Q6" s="203">
        <v>22</v>
      </c>
      <c r="R6" s="203">
        <v>62</v>
      </c>
      <c r="S6" s="212">
        <v>17</v>
      </c>
      <c r="T6" s="215">
        <v>115</v>
      </c>
      <c r="U6" s="203">
        <v>64</v>
      </c>
      <c r="V6" s="203">
        <v>275</v>
      </c>
      <c r="W6" s="203">
        <v>202</v>
      </c>
      <c r="X6" s="203">
        <v>73</v>
      </c>
      <c r="Y6" s="212">
        <v>147</v>
      </c>
      <c r="Z6" s="215">
        <v>142</v>
      </c>
      <c r="AA6" s="255">
        <v>142</v>
      </c>
      <c r="AB6" s="203">
        <v>132</v>
      </c>
      <c r="AC6" s="203">
        <v>169</v>
      </c>
      <c r="AD6" s="212">
        <v>44</v>
      </c>
      <c r="AE6" s="215"/>
      <c r="AF6" s="387"/>
      <c r="AG6" s="203"/>
      <c r="AH6" s="203"/>
      <c r="AI6" s="212"/>
      <c r="AJ6" s="215"/>
      <c r="AK6" s="212"/>
      <c r="AL6" s="512">
        <f t="shared" si="0"/>
        <v>3459</v>
      </c>
    </row>
    <row r="7" spans="1:38" ht="15.75" customHeight="1" x14ac:dyDescent="0.25">
      <c r="A7" s="145" t="s">
        <v>5</v>
      </c>
      <c r="B7" s="385">
        <v>43985</v>
      </c>
      <c r="C7" s="254">
        <v>95</v>
      </c>
      <c r="D7" s="255">
        <v>74</v>
      </c>
      <c r="E7" s="255">
        <v>97</v>
      </c>
      <c r="F7" s="255">
        <v>159</v>
      </c>
      <c r="G7" s="255">
        <v>126</v>
      </c>
      <c r="H7" s="255">
        <v>129</v>
      </c>
      <c r="I7" s="509">
        <v>321</v>
      </c>
      <c r="J7" s="254">
        <v>137</v>
      </c>
      <c r="K7" s="255">
        <v>81</v>
      </c>
      <c r="L7" s="212">
        <v>128</v>
      </c>
      <c r="M7" s="215">
        <v>69</v>
      </c>
      <c r="N7" s="203">
        <v>27</v>
      </c>
      <c r="O7" s="203">
        <v>27</v>
      </c>
      <c r="P7" s="203">
        <v>19</v>
      </c>
      <c r="Q7" s="203">
        <v>12</v>
      </c>
      <c r="R7" s="203">
        <v>56</v>
      </c>
      <c r="S7" s="212">
        <v>16</v>
      </c>
      <c r="T7" s="215">
        <v>94</v>
      </c>
      <c r="U7" s="203">
        <v>54</v>
      </c>
      <c r="V7" s="203">
        <v>256</v>
      </c>
      <c r="W7" s="203">
        <v>163</v>
      </c>
      <c r="X7" s="203">
        <v>83</v>
      </c>
      <c r="Y7" s="212">
        <v>110</v>
      </c>
      <c r="Z7" s="215">
        <v>123</v>
      </c>
      <c r="AA7" s="255">
        <v>127</v>
      </c>
      <c r="AB7" s="203">
        <v>111</v>
      </c>
      <c r="AC7" s="203">
        <v>143</v>
      </c>
      <c r="AD7" s="212">
        <v>34</v>
      </c>
      <c r="AE7" s="215"/>
      <c r="AF7" s="203"/>
      <c r="AG7" s="203"/>
      <c r="AH7" s="203"/>
      <c r="AI7" s="212"/>
      <c r="AJ7" s="215"/>
      <c r="AK7" s="212"/>
      <c r="AL7" s="512">
        <f t="shared" si="0"/>
        <v>2871</v>
      </c>
    </row>
    <row r="8" spans="1:38" ht="15.75" customHeight="1" x14ac:dyDescent="0.25">
      <c r="A8" s="145" t="s">
        <v>6</v>
      </c>
      <c r="B8" s="385">
        <v>43986</v>
      </c>
      <c r="C8" s="254">
        <v>218</v>
      </c>
      <c r="D8" s="255">
        <v>238</v>
      </c>
      <c r="E8" s="255">
        <v>168</v>
      </c>
      <c r="F8" s="255">
        <v>230</v>
      </c>
      <c r="G8" s="255">
        <v>176</v>
      </c>
      <c r="H8" s="255">
        <v>212</v>
      </c>
      <c r="I8" s="509">
        <v>479</v>
      </c>
      <c r="J8" s="254">
        <v>411</v>
      </c>
      <c r="K8" s="255">
        <v>156</v>
      </c>
      <c r="L8" s="212">
        <v>409</v>
      </c>
      <c r="M8" s="215">
        <v>140</v>
      </c>
      <c r="N8" s="203">
        <v>62</v>
      </c>
      <c r="O8" s="203">
        <v>72</v>
      </c>
      <c r="P8" s="203">
        <v>41</v>
      </c>
      <c r="Q8" s="203">
        <v>49</v>
      </c>
      <c r="R8" s="203">
        <v>98</v>
      </c>
      <c r="S8" s="212">
        <v>51</v>
      </c>
      <c r="T8" s="215">
        <v>185</v>
      </c>
      <c r="U8" s="203">
        <v>70</v>
      </c>
      <c r="V8" s="203">
        <v>345</v>
      </c>
      <c r="W8" s="203">
        <v>232</v>
      </c>
      <c r="X8" s="203">
        <v>104</v>
      </c>
      <c r="Y8" s="212">
        <v>202</v>
      </c>
      <c r="Z8" s="215">
        <v>223</v>
      </c>
      <c r="AA8" s="255">
        <v>171</v>
      </c>
      <c r="AB8" s="203">
        <v>129</v>
      </c>
      <c r="AC8" s="203">
        <v>254</v>
      </c>
      <c r="AD8" s="212">
        <v>67</v>
      </c>
      <c r="AE8" s="215"/>
      <c r="AF8" s="203"/>
      <c r="AG8" s="203"/>
      <c r="AH8" s="203"/>
      <c r="AI8" s="212"/>
      <c r="AJ8" s="215"/>
      <c r="AK8" s="212"/>
      <c r="AL8" s="512">
        <f t="shared" si="0"/>
        <v>5192</v>
      </c>
    </row>
    <row r="9" spans="1:38" x14ac:dyDescent="0.25">
      <c r="A9" s="145" t="s">
        <v>0</v>
      </c>
      <c r="B9" s="385">
        <v>43987</v>
      </c>
      <c r="C9" s="254">
        <v>114</v>
      </c>
      <c r="D9" s="255">
        <v>127</v>
      </c>
      <c r="E9" s="255">
        <v>74</v>
      </c>
      <c r="F9" s="255">
        <v>151</v>
      </c>
      <c r="G9" s="255">
        <v>118</v>
      </c>
      <c r="H9" s="255">
        <v>102</v>
      </c>
      <c r="I9" s="509">
        <v>317</v>
      </c>
      <c r="J9" s="254">
        <v>167</v>
      </c>
      <c r="K9" s="255">
        <v>76</v>
      </c>
      <c r="L9" s="212">
        <v>122</v>
      </c>
      <c r="M9" s="215">
        <v>87</v>
      </c>
      <c r="N9" s="203">
        <v>23</v>
      </c>
      <c r="O9" s="203">
        <v>39</v>
      </c>
      <c r="P9" s="203">
        <v>32</v>
      </c>
      <c r="Q9" s="203">
        <v>12</v>
      </c>
      <c r="R9" s="203">
        <v>44</v>
      </c>
      <c r="S9" s="212">
        <v>25</v>
      </c>
      <c r="T9" s="215">
        <v>100</v>
      </c>
      <c r="U9" s="203">
        <v>51</v>
      </c>
      <c r="V9" s="203">
        <v>238</v>
      </c>
      <c r="W9" s="203">
        <v>170</v>
      </c>
      <c r="X9" s="203">
        <v>60</v>
      </c>
      <c r="Y9" s="212">
        <v>138</v>
      </c>
      <c r="Z9" s="215">
        <v>114</v>
      </c>
      <c r="AA9" s="255">
        <v>127</v>
      </c>
      <c r="AB9" s="203">
        <v>116</v>
      </c>
      <c r="AC9" s="203">
        <v>155</v>
      </c>
      <c r="AD9" s="212">
        <v>33</v>
      </c>
      <c r="AE9" s="215"/>
      <c r="AF9" s="203"/>
      <c r="AG9" s="203"/>
      <c r="AH9" s="203"/>
      <c r="AI9" s="212"/>
      <c r="AJ9" s="215"/>
      <c r="AK9" s="212"/>
      <c r="AL9" s="512">
        <f t="shared" si="0"/>
        <v>2932</v>
      </c>
    </row>
    <row r="10" spans="1:38" x14ac:dyDescent="0.25">
      <c r="A10" s="145" t="s">
        <v>1</v>
      </c>
      <c r="B10" s="385">
        <v>43988</v>
      </c>
      <c r="C10" s="254">
        <v>483</v>
      </c>
      <c r="D10" s="255">
        <v>498</v>
      </c>
      <c r="E10" s="255">
        <v>144</v>
      </c>
      <c r="F10" s="255">
        <v>386</v>
      </c>
      <c r="G10" s="255">
        <v>213</v>
      </c>
      <c r="H10" s="255">
        <v>384</v>
      </c>
      <c r="I10" s="509">
        <v>695</v>
      </c>
      <c r="J10" s="254">
        <v>592</v>
      </c>
      <c r="K10" s="255">
        <v>91</v>
      </c>
      <c r="L10" s="212">
        <v>465</v>
      </c>
      <c r="M10" s="215">
        <v>204</v>
      </c>
      <c r="N10" s="203">
        <v>80</v>
      </c>
      <c r="O10" s="203">
        <v>67</v>
      </c>
      <c r="P10" s="203">
        <v>58</v>
      </c>
      <c r="Q10" s="203">
        <v>43</v>
      </c>
      <c r="R10" s="203">
        <v>120</v>
      </c>
      <c r="S10" s="212">
        <v>68</v>
      </c>
      <c r="T10" s="215">
        <v>249</v>
      </c>
      <c r="U10" s="203">
        <v>49</v>
      </c>
      <c r="V10" s="203">
        <v>257</v>
      </c>
      <c r="W10" s="203">
        <v>252</v>
      </c>
      <c r="X10" s="203">
        <v>154</v>
      </c>
      <c r="Y10" s="212">
        <v>268</v>
      </c>
      <c r="Z10" s="215">
        <v>274</v>
      </c>
      <c r="AA10" s="255">
        <v>147</v>
      </c>
      <c r="AB10" s="203">
        <v>267</v>
      </c>
      <c r="AC10" s="203">
        <v>211</v>
      </c>
      <c r="AD10" s="212">
        <v>70</v>
      </c>
      <c r="AE10" s="215"/>
      <c r="AF10" s="203"/>
      <c r="AG10" s="203"/>
      <c r="AH10" s="203"/>
      <c r="AI10" s="212"/>
      <c r="AJ10" s="215"/>
      <c r="AK10" s="212"/>
      <c r="AL10" s="512">
        <f t="shared" si="0"/>
        <v>6789</v>
      </c>
    </row>
    <row r="11" spans="1:38" ht="15.75" thickBot="1" x14ac:dyDescent="0.3">
      <c r="A11" s="145" t="s">
        <v>2</v>
      </c>
      <c r="B11" s="385">
        <v>43989</v>
      </c>
      <c r="C11" s="254">
        <v>522</v>
      </c>
      <c r="D11" s="255">
        <v>657</v>
      </c>
      <c r="E11" s="255">
        <v>442</v>
      </c>
      <c r="F11" s="255">
        <v>442</v>
      </c>
      <c r="G11" s="255">
        <v>207</v>
      </c>
      <c r="H11" s="255">
        <v>671</v>
      </c>
      <c r="I11" s="509">
        <v>880</v>
      </c>
      <c r="J11" s="254">
        <v>630</v>
      </c>
      <c r="K11" s="255">
        <v>101</v>
      </c>
      <c r="L11" s="212">
        <v>549</v>
      </c>
      <c r="M11" s="215">
        <v>283</v>
      </c>
      <c r="N11" s="203">
        <v>155</v>
      </c>
      <c r="O11" s="203">
        <v>144</v>
      </c>
      <c r="P11" s="203">
        <v>70</v>
      </c>
      <c r="Q11" s="203">
        <v>110</v>
      </c>
      <c r="R11" s="203">
        <v>179</v>
      </c>
      <c r="S11" s="212">
        <v>80</v>
      </c>
      <c r="T11" s="215">
        <v>363</v>
      </c>
      <c r="U11" s="203">
        <v>69</v>
      </c>
      <c r="V11" s="203">
        <v>322</v>
      </c>
      <c r="W11" s="203">
        <v>347</v>
      </c>
      <c r="X11" s="203">
        <v>213</v>
      </c>
      <c r="Y11" s="212">
        <v>324</v>
      </c>
      <c r="Z11" s="215">
        <v>357</v>
      </c>
      <c r="AA11" s="255">
        <v>115</v>
      </c>
      <c r="AB11" s="203">
        <v>312</v>
      </c>
      <c r="AC11" s="203">
        <v>271</v>
      </c>
      <c r="AD11" s="212">
        <v>93</v>
      </c>
      <c r="AE11" s="215"/>
      <c r="AF11" s="203"/>
      <c r="AG11" s="203"/>
      <c r="AH11" s="203"/>
      <c r="AI11" s="212"/>
      <c r="AJ11" s="215"/>
      <c r="AK11" s="212"/>
      <c r="AL11" s="512">
        <f t="shared" si="0"/>
        <v>8908</v>
      </c>
    </row>
    <row r="12" spans="1:38" ht="15.75" thickBot="1" x14ac:dyDescent="0.3">
      <c r="A12" s="153" t="s">
        <v>21</v>
      </c>
      <c r="B12" s="612" t="s">
        <v>24</v>
      </c>
      <c r="C12" s="216">
        <f t="shared" ref="C12" si="1">SUM(C5:C11)</f>
        <v>1747</v>
      </c>
      <c r="D12" s="210">
        <f t="shared" ref="D12:AL12" si="2">SUM(D5:D11)</f>
        <v>1852</v>
      </c>
      <c r="E12" s="210">
        <f t="shared" si="2"/>
        <v>1164</v>
      </c>
      <c r="F12" s="210">
        <f t="shared" si="2"/>
        <v>1709</v>
      </c>
      <c r="G12" s="210">
        <f t="shared" si="2"/>
        <v>1128</v>
      </c>
      <c r="H12" s="210">
        <f t="shared" si="2"/>
        <v>1806</v>
      </c>
      <c r="I12" s="467">
        <f t="shared" si="2"/>
        <v>3500</v>
      </c>
      <c r="J12" s="216">
        <f t="shared" si="2"/>
        <v>2329</v>
      </c>
      <c r="K12" s="210">
        <f t="shared" si="2"/>
        <v>690</v>
      </c>
      <c r="L12" s="467">
        <f t="shared" si="2"/>
        <v>2064</v>
      </c>
      <c r="M12" s="216">
        <f t="shared" si="2"/>
        <v>1000</v>
      </c>
      <c r="N12" s="210">
        <f t="shared" si="2"/>
        <v>449</v>
      </c>
      <c r="O12" s="210">
        <f t="shared" si="2"/>
        <v>419</v>
      </c>
      <c r="P12" s="210">
        <f t="shared" si="2"/>
        <v>295</v>
      </c>
      <c r="Q12" s="210">
        <f t="shared" si="2"/>
        <v>258</v>
      </c>
      <c r="R12" s="210">
        <f t="shared" si="2"/>
        <v>649</v>
      </c>
      <c r="S12" s="467">
        <f t="shared" si="2"/>
        <v>294</v>
      </c>
      <c r="T12" s="216">
        <f t="shared" si="2"/>
        <v>1255</v>
      </c>
      <c r="U12" s="210">
        <f t="shared" si="2"/>
        <v>428</v>
      </c>
      <c r="V12" s="210">
        <f t="shared" si="2"/>
        <v>1995</v>
      </c>
      <c r="W12" s="210">
        <f t="shared" si="2"/>
        <v>1599</v>
      </c>
      <c r="X12" s="210">
        <f t="shared" si="2"/>
        <v>763</v>
      </c>
      <c r="Y12" s="467">
        <f t="shared" si="2"/>
        <v>1357</v>
      </c>
      <c r="Z12" s="216">
        <f t="shared" si="2"/>
        <v>1408</v>
      </c>
      <c r="AA12" s="210">
        <f t="shared" si="2"/>
        <v>961</v>
      </c>
      <c r="AB12" s="210">
        <f t="shared" si="2"/>
        <v>1217</v>
      </c>
      <c r="AC12" s="210">
        <f t="shared" si="2"/>
        <v>1415</v>
      </c>
      <c r="AD12" s="467">
        <f t="shared" si="2"/>
        <v>369</v>
      </c>
      <c r="AE12" s="216">
        <f t="shared" si="2"/>
        <v>0</v>
      </c>
      <c r="AF12" s="210">
        <f t="shared" si="2"/>
        <v>0</v>
      </c>
      <c r="AG12" s="210">
        <f t="shared" si="2"/>
        <v>0</v>
      </c>
      <c r="AH12" s="210">
        <f t="shared" si="2"/>
        <v>0</v>
      </c>
      <c r="AI12" s="467">
        <f t="shared" si="2"/>
        <v>0</v>
      </c>
      <c r="AJ12" s="216">
        <f t="shared" si="2"/>
        <v>0</v>
      </c>
      <c r="AK12" s="467">
        <f t="shared" si="2"/>
        <v>0</v>
      </c>
      <c r="AL12" s="474">
        <f t="shared" si="2"/>
        <v>34120</v>
      </c>
    </row>
    <row r="13" spans="1:38" ht="15.75" thickBot="1" x14ac:dyDescent="0.3">
      <c r="A13" s="105" t="s">
        <v>23</v>
      </c>
      <c r="B13" s="612"/>
      <c r="C13" s="216">
        <f t="shared" ref="C13" si="3">AVERAGE(C5:C11)</f>
        <v>249.57142857142858</v>
      </c>
      <c r="D13" s="210">
        <f t="shared" ref="D13:AL13" si="4">AVERAGE(D5:D11)</f>
        <v>264.57142857142856</v>
      </c>
      <c r="E13" s="210">
        <f t="shared" si="4"/>
        <v>166.28571428571428</v>
      </c>
      <c r="F13" s="210">
        <f t="shared" si="4"/>
        <v>244.14285714285714</v>
      </c>
      <c r="G13" s="210">
        <f t="shared" si="4"/>
        <v>161.14285714285714</v>
      </c>
      <c r="H13" s="210">
        <f t="shared" si="4"/>
        <v>258</v>
      </c>
      <c r="I13" s="467">
        <f t="shared" si="4"/>
        <v>500</v>
      </c>
      <c r="J13" s="216">
        <f t="shared" si="4"/>
        <v>332.71428571428572</v>
      </c>
      <c r="K13" s="210">
        <f t="shared" si="4"/>
        <v>98.571428571428569</v>
      </c>
      <c r="L13" s="467">
        <f t="shared" si="4"/>
        <v>294.85714285714283</v>
      </c>
      <c r="M13" s="216">
        <f t="shared" si="4"/>
        <v>142.85714285714286</v>
      </c>
      <c r="N13" s="210">
        <f t="shared" si="4"/>
        <v>64.142857142857139</v>
      </c>
      <c r="O13" s="210">
        <f t="shared" si="4"/>
        <v>59.857142857142854</v>
      </c>
      <c r="P13" s="210">
        <f t="shared" si="4"/>
        <v>42.142857142857146</v>
      </c>
      <c r="Q13" s="210">
        <f t="shared" si="4"/>
        <v>36.857142857142854</v>
      </c>
      <c r="R13" s="210">
        <f t="shared" si="4"/>
        <v>92.714285714285708</v>
      </c>
      <c r="S13" s="467">
        <f t="shared" si="4"/>
        <v>42</v>
      </c>
      <c r="T13" s="216">
        <f t="shared" si="4"/>
        <v>179.28571428571428</v>
      </c>
      <c r="U13" s="210">
        <f t="shared" si="4"/>
        <v>61.142857142857146</v>
      </c>
      <c r="V13" s="210">
        <f t="shared" si="4"/>
        <v>285</v>
      </c>
      <c r="W13" s="210">
        <f t="shared" si="4"/>
        <v>228.42857142857142</v>
      </c>
      <c r="X13" s="210">
        <f t="shared" si="4"/>
        <v>109</v>
      </c>
      <c r="Y13" s="467">
        <f t="shared" si="4"/>
        <v>193.85714285714286</v>
      </c>
      <c r="Z13" s="216">
        <f t="shared" si="4"/>
        <v>201.14285714285714</v>
      </c>
      <c r="AA13" s="210">
        <f t="shared" si="4"/>
        <v>137.28571428571428</v>
      </c>
      <c r="AB13" s="210">
        <f t="shared" si="4"/>
        <v>173.85714285714286</v>
      </c>
      <c r="AC13" s="210">
        <f t="shared" si="4"/>
        <v>202.14285714285714</v>
      </c>
      <c r="AD13" s="467">
        <f t="shared" si="4"/>
        <v>52.714285714285715</v>
      </c>
      <c r="AE13" s="216" t="e">
        <f t="shared" si="4"/>
        <v>#DIV/0!</v>
      </c>
      <c r="AF13" s="210" t="e">
        <f t="shared" si="4"/>
        <v>#DIV/0!</v>
      </c>
      <c r="AG13" s="210" t="e">
        <f t="shared" si="4"/>
        <v>#DIV/0!</v>
      </c>
      <c r="AH13" s="210" t="e">
        <f t="shared" si="4"/>
        <v>#DIV/0!</v>
      </c>
      <c r="AI13" s="467" t="e">
        <f t="shared" si="4"/>
        <v>#DIV/0!</v>
      </c>
      <c r="AJ13" s="216" t="e">
        <f t="shared" si="4"/>
        <v>#DIV/0!</v>
      </c>
      <c r="AK13" s="467" t="e">
        <f t="shared" si="4"/>
        <v>#DIV/0!</v>
      </c>
      <c r="AL13" s="474">
        <f t="shared" si="4"/>
        <v>4874.2857142857147</v>
      </c>
    </row>
    <row r="14" spans="1:38" ht="15.75" thickBot="1" x14ac:dyDescent="0.3">
      <c r="A14" s="26" t="s">
        <v>20</v>
      </c>
      <c r="B14" s="612"/>
      <c r="C14" s="217">
        <f t="shared" ref="C14" si="5">SUM(C5:C9)</f>
        <v>742</v>
      </c>
      <c r="D14" s="211">
        <f t="shared" ref="D14:AL14" si="6">SUM(D5:D9)</f>
        <v>697</v>
      </c>
      <c r="E14" s="211">
        <f t="shared" si="6"/>
        <v>578</v>
      </c>
      <c r="F14" s="211">
        <f t="shared" si="6"/>
        <v>881</v>
      </c>
      <c r="G14" s="211">
        <f t="shared" si="6"/>
        <v>708</v>
      </c>
      <c r="H14" s="211">
        <f t="shared" si="6"/>
        <v>751</v>
      </c>
      <c r="I14" s="469">
        <f t="shared" si="6"/>
        <v>1925</v>
      </c>
      <c r="J14" s="217">
        <f t="shared" si="6"/>
        <v>1107</v>
      </c>
      <c r="K14" s="211">
        <f t="shared" si="6"/>
        <v>498</v>
      </c>
      <c r="L14" s="469">
        <f t="shared" si="6"/>
        <v>1050</v>
      </c>
      <c r="M14" s="217">
        <f t="shared" si="6"/>
        <v>513</v>
      </c>
      <c r="N14" s="211">
        <f t="shared" si="6"/>
        <v>214</v>
      </c>
      <c r="O14" s="211">
        <f t="shared" si="6"/>
        <v>208</v>
      </c>
      <c r="P14" s="211">
        <f t="shared" si="6"/>
        <v>167</v>
      </c>
      <c r="Q14" s="211">
        <f t="shared" si="6"/>
        <v>105</v>
      </c>
      <c r="R14" s="211">
        <f t="shared" si="6"/>
        <v>350</v>
      </c>
      <c r="S14" s="469">
        <f t="shared" si="6"/>
        <v>146</v>
      </c>
      <c r="T14" s="217">
        <f t="shared" si="6"/>
        <v>643</v>
      </c>
      <c r="U14" s="211">
        <f t="shared" si="6"/>
        <v>310</v>
      </c>
      <c r="V14" s="211">
        <f t="shared" si="6"/>
        <v>1416</v>
      </c>
      <c r="W14" s="211">
        <f t="shared" si="6"/>
        <v>1000</v>
      </c>
      <c r="X14" s="211">
        <f t="shared" si="6"/>
        <v>396</v>
      </c>
      <c r="Y14" s="469">
        <f t="shared" si="6"/>
        <v>765</v>
      </c>
      <c r="Z14" s="217">
        <f t="shared" si="6"/>
        <v>777</v>
      </c>
      <c r="AA14" s="211">
        <f t="shared" si="6"/>
        <v>699</v>
      </c>
      <c r="AB14" s="211">
        <f t="shared" si="6"/>
        <v>638</v>
      </c>
      <c r="AC14" s="211">
        <f t="shared" si="6"/>
        <v>933</v>
      </c>
      <c r="AD14" s="469">
        <f t="shared" si="6"/>
        <v>206</v>
      </c>
      <c r="AE14" s="217">
        <f t="shared" si="6"/>
        <v>0</v>
      </c>
      <c r="AF14" s="211">
        <f t="shared" si="6"/>
        <v>0</v>
      </c>
      <c r="AG14" s="211">
        <f t="shared" si="6"/>
        <v>0</v>
      </c>
      <c r="AH14" s="211">
        <f t="shared" si="6"/>
        <v>0</v>
      </c>
      <c r="AI14" s="469">
        <f t="shared" si="6"/>
        <v>0</v>
      </c>
      <c r="AJ14" s="217">
        <f t="shared" si="6"/>
        <v>0</v>
      </c>
      <c r="AK14" s="469">
        <f t="shared" si="6"/>
        <v>0</v>
      </c>
      <c r="AL14" s="489">
        <f t="shared" si="6"/>
        <v>18423</v>
      </c>
    </row>
    <row r="15" spans="1:38" ht="15.75" thickBot="1" x14ac:dyDescent="0.3">
      <c r="A15" s="26" t="s">
        <v>22</v>
      </c>
      <c r="B15" s="612"/>
      <c r="C15" s="217">
        <f t="shared" ref="C15" si="7">AVERAGE(C5:C9)</f>
        <v>148.4</v>
      </c>
      <c r="D15" s="211">
        <f t="shared" ref="D15:AL15" si="8">AVERAGE(D5:D9)</f>
        <v>139.4</v>
      </c>
      <c r="E15" s="211">
        <f t="shared" si="8"/>
        <v>115.6</v>
      </c>
      <c r="F15" s="211">
        <f t="shared" si="8"/>
        <v>176.2</v>
      </c>
      <c r="G15" s="211">
        <f t="shared" si="8"/>
        <v>141.6</v>
      </c>
      <c r="H15" s="211">
        <f t="shared" si="8"/>
        <v>150.19999999999999</v>
      </c>
      <c r="I15" s="469">
        <f t="shared" si="8"/>
        <v>385</v>
      </c>
      <c r="J15" s="217">
        <f t="shared" si="8"/>
        <v>221.4</v>
      </c>
      <c r="K15" s="211">
        <f t="shared" si="8"/>
        <v>99.6</v>
      </c>
      <c r="L15" s="469">
        <f t="shared" si="8"/>
        <v>210</v>
      </c>
      <c r="M15" s="217">
        <f t="shared" si="8"/>
        <v>102.6</v>
      </c>
      <c r="N15" s="211">
        <f t="shared" si="8"/>
        <v>42.8</v>
      </c>
      <c r="O15" s="211">
        <f t="shared" si="8"/>
        <v>41.6</v>
      </c>
      <c r="P15" s="211">
        <f t="shared" si="8"/>
        <v>33.4</v>
      </c>
      <c r="Q15" s="211">
        <f t="shared" si="8"/>
        <v>21</v>
      </c>
      <c r="R15" s="211">
        <f t="shared" si="8"/>
        <v>70</v>
      </c>
      <c r="S15" s="469">
        <f t="shared" si="8"/>
        <v>29.2</v>
      </c>
      <c r="T15" s="217">
        <f t="shared" si="8"/>
        <v>128.6</v>
      </c>
      <c r="U15" s="211">
        <f t="shared" si="8"/>
        <v>62</v>
      </c>
      <c r="V15" s="211">
        <f t="shared" si="8"/>
        <v>283.2</v>
      </c>
      <c r="W15" s="211">
        <f t="shared" si="8"/>
        <v>200</v>
      </c>
      <c r="X15" s="211">
        <f t="shared" si="8"/>
        <v>79.2</v>
      </c>
      <c r="Y15" s="469">
        <f t="shared" si="8"/>
        <v>153</v>
      </c>
      <c r="Z15" s="217">
        <f t="shared" si="8"/>
        <v>155.4</v>
      </c>
      <c r="AA15" s="211">
        <f t="shared" si="8"/>
        <v>139.80000000000001</v>
      </c>
      <c r="AB15" s="211">
        <f t="shared" si="8"/>
        <v>127.6</v>
      </c>
      <c r="AC15" s="211">
        <f t="shared" si="8"/>
        <v>186.6</v>
      </c>
      <c r="AD15" s="469">
        <f t="shared" si="8"/>
        <v>41.2</v>
      </c>
      <c r="AE15" s="217" t="e">
        <f t="shared" si="8"/>
        <v>#DIV/0!</v>
      </c>
      <c r="AF15" s="211" t="e">
        <f t="shared" si="8"/>
        <v>#DIV/0!</v>
      </c>
      <c r="AG15" s="211" t="e">
        <f t="shared" si="8"/>
        <v>#DIV/0!</v>
      </c>
      <c r="AH15" s="211" t="e">
        <f t="shared" si="8"/>
        <v>#DIV/0!</v>
      </c>
      <c r="AI15" s="469" t="e">
        <f t="shared" si="8"/>
        <v>#DIV/0!</v>
      </c>
      <c r="AJ15" s="217" t="e">
        <f t="shared" si="8"/>
        <v>#DIV/0!</v>
      </c>
      <c r="AK15" s="469" t="e">
        <f t="shared" si="8"/>
        <v>#DIV/0!</v>
      </c>
      <c r="AL15" s="489">
        <f t="shared" si="8"/>
        <v>3684.6</v>
      </c>
    </row>
    <row r="16" spans="1:38" x14ac:dyDescent="0.25">
      <c r="A16" s="145" t="s">
        <v>3</v>
      </c>
      <c r="B16" s="385">
        <f>B11+1</f>
        <v>43990</v>
      </c>
      <c r="C16" s="254">
        <v>452</v>
      </c>
      <c r="D16" s="203">
        <v>324</v>
      </c>
      <c r="E16" s="203">
        <v>170</v>
      </c>
      <c r="F16" s="203">
        <v>272</v>
      </c>
      <c r="G16" s="203">
        <v>189</v>
      </c>
      <c r="H16" s="203">
        <v>317</v>
      </c>
      <c r="I16" s="212">
        <v>535</v>
      </c>
      <c r="J16" s="215">
        <v>445</v>
      </c>
      <c r="K16" s="203">
        <v>150</v>
      </c>
      <c r="L16" s="212">
        <v>481</v>
      </c>
      <c r="M16" s="215">
        <v>153</v>
      </c>
      <c r="N16" s="203">
        <v>121</v>
      </c>
      <c r="O16" s="203">
        <v>69</v>
      </c>
      <c r="P16" s="203">
        <v>46</v>
      </c>
      <c r="Q16" s="203">
        <v>36</v>
      </c>
      <c r="R16" s="203">
        <v>138</v>
      </c>
      <c r="S16" s="212">
        <v>64</v>
      </c>
      <c r="T16" s="215">
        <v>273</v>
      </c>
      <c r="U16" s="203">
        <v>88</v>
      </c>
      <c r="V16" s="203">
        <v>422</v>
      </c>
      <c r="W16" s="203">
        <v>316</v>
      </c>
      <c r="X16" s="203">
        <v>119</v>
      </c>
      <c r="Y16" s="212">
        <v>283</v>
      </c>
      <c r="Z16" s="215">
        <v>278</v>
      </c>
      <c r="AA16" s="178">
        <v>186</v>
      </c>
      <c r="AB16" s="203">
        <v>190</v>
      </c>
      <c r="AC16" s="203">
        <v>300</v>
      </c>
      <c r="AD16" s="212">
        <v>65</v>
      </c>
      <c r="AE16" s="215"/>
      <c r="AF16" s="203"/>
      <c r="AG16" s="203"/>
      <c r="AH16" s="203"/>
      <c r="AI16" s="212"/>
      <c r="AJ16" s="215"/>
      <c r="AK16" s="212"/>
      <c r="AL16" s="512">
        <f t="shared" ref="AL16:AL22" si="9">SUM(C16:AK16)</f>
        <v>6482</v>
      </c>
    </row>
    <row r="17" spans="1:38" x14ac:dyDescent="0.25">
      <c r="A17" s="145" t="s">
        <v>4</v>
      </c>
      <c r="B17" s="385">
        <f t="shared" ref="B17:B22" si="10">B16+1</f>
        <v>43991</v>
      </c>
      <c r="C17" s="254">
        <v>305</v>
      </c>
      <c r="D17" s="203">
        <v>317</v>
      </c>
      <c r="E17" s="203">
        <v>242</v>
      </c>
      <c r="F17" s="203">
        <v>314</v>
      </c>
      <c r="G17" s="203">
        <v>239</v>
      </c>
      <c r="H17" s="203">
        <v>278</v>
      </c>
      <c r="I17" s="212">
        <v>627</v>
      </c>
      <c r="J17" s="215">
        <v>844</v>
      </c>
      <c r="K17" s="203">
        <v>136</v>
      </c>
      <c r="L17" s="212">
        <v>799</v>
      </c>
      <c r="M17" s="215">
        <v>174</v>
      </c>
      <c r="N17" s="203">
        <v>92</v>
      </c>
      <c r="O17" s="203">
        <v>88</v>
      </c>
      <c r="P17" s="203">
        <v>68</v>
      </c>
      <c r="Q17" s="203">
        <v>71</v>
      </c>
      <c r="R17" s="203">
        <v>143</v>
      </c>
      <c r="S17" s="212">
        <v>98</v>
      </c>
      <c r="T17" s="215">
        <v>298</v>
      </c>
      <c r="U17" s="178">
        <v>111</v>
      </c>
      <c r="V17" s="203">
        <v>453</v>
      </c>
      <c r="W17" s="203">
        <v>329</v>
      </c>
      <c r="X17" s="203">
        <v>156</v>
      </c>
      <c r="Y17" s="212">
        <v>329</v>
      </c>
      <c r="Z17" s="215">
        <v>380</v>
      </c>
      <c r="AA17" s="178">
        <v>214</v>
      </c>
      <c r="AB17" s="203">
        <v>281</v>
      </c>
      <c r="AC17" s="203">
        <v>382</v>
      </c>
      <c r="AD17" s="212">
        <v>94</v>
      </c>
      <c r="AE17" s="215"/>
      <c r="AF17" s="178"/>
      <c r="AG17" s="203"/>
      <c r="AH17" s="203"/>
      <c r="AI17" s="212"/>
      <c r="AJ17" s="215"/>
      <c r="AK17" s="212"/>
      <c r="AL17" s="512">
        <f t="shared" si="9"/>
        <v>7862</v>
      </c>
    </row>
    <row r="18" spans="1:38" x14ac:dyDescent="0.25">
      <c r="A18" s="145" t="s">
        <v>5</v>
      </c>
      <c r="B18" s="385">
        <f t="shared" si="10"/>
        <v>43992</v>
      </c>
      <c r="C18" s="254">
        <v>291</v>
      </c>
      <c r="D18" s="203">
        <v>327</v>
      </c>
      <c r="E18" s="203">
        <v>233</v>
      </c>
      <c r="F18" s="203">
        <v>299</v>
      </c>
      <c r="G18" s="203">
        <v>248</v>
      </c>
      <c r="H18" s="203">
        <v>347</v>
      </c>
      <c r="I18" s="212">
        <v>617</v>
      </c>
      <c r="J18" s="215">
        <v>560</v>
      </c>
      <c r="K18" s="203">
        <v>142</v>
      </c>
      <c r="L18" s="212">
        <v>552</v>
      </c>
      <c r="M18" s="215">
        <v>169</v>
      </c>
      <c r="N18" s="203">
        <v>88</v>
      </c>
      <c r="O18" s="203">
        <v>85</v>
      </c>
      <c r="P18" s="203">
        <v>63</v>
      </c>
      <c r="Q18" s="203">
        <v>43</v>
      </c>
      <c r="R18" s="203">
        <v>138</v>
      </c>
      <c r="S18" s="212">
        <v>72</v>
      </c>
      <c r="T18" s="215">
        <v>254</v>
      </c>
      <c r="U18" s="203">
        <v>97</v>
      </c>
      <c r="V18" s="203">
        <v>449</v>
      </c>
      <c r="W18" s="203">
        <v>399</v>
      </c>
      <c r="X18" s="203">
        <v>157</v>
      </c>
      <c r="Y18" s="212">
        <v>312</v>
      </c>
      <c r="Z18" s="215">
        <v>364</v>
      </c>
      <c r="AA18" s="178">
        <v>220</v>
      </c>
      <c r="AB18" s="203">
        <v>333</v>
      </c>
      <c r="AC18" s="203">
        <v>388</v>
      </c>
      <c r="AD18" s="212">
        <v>87</v>
      </c>
      <c r="AE18" s="215"/>
      <c r="AF18" s="203"/>
      <c r="AG18" s="203"/>
      <c r="AH18" s="203"/>
      <c r="AI18" s="212"/>
      <c r="AJ18" s="215"/>
      <c r="AK18" s="212"/>
      <c r="AL18" s="512">
        <f t="shared" si="9"/>
        <v>7334</v>
      </c>
    </row>
    <row r="19" spans="1:38" x14ac:dyDescent="0.25">
      <c r="A19" s="145" t="s">
        <v>6</v>
      </c>
      <c r="B19" s="385">
        <f t="shared" si="10"/>
        <v>43993</v>
      </c>
      <c r="C19" s="254">
        <v>127</v>
      </c>
      <c r="D19" s="203">
        <v>84</v>
      </c>
      <c r="E19" s="203">
        <v>99</v>
      </c>
      <c r="F19" s="203">
        <v>182</v>
      </c>
      <c r="G19" s="203">
        <v>139</v>
      </c>
      <c r="H19" s="203">
        <v>113</v>
      </c>
      <c r="I19" s="212">
        <v>356</v>
      </c>
      <c r="J19" s="215">
        <v>154</v>
      </c>
      <c r="K19" s="203">
        <v>65</v>
      </c>
      <c r="L19" s="212">
        <v>127</v>
      </c>
      <c r="M19" s="215">
        <v>83</v>
      </c>
      <c r="N19" s="203">
        <v>28</v>
      </c>
      <c r="O19" s="203">
        <v>42</v>
      </c>
      <c r="P19" s="203">
        <v>34</v>
      </c>
      <c r="Q19" s="203">
        <v>20</v>
      </c>
      <c r="R19" s="203">
        <v>66</v>
      </c>
      <c r="S19" s="212">
        <v>14</v>
      </c>
      <c r="T19" s="215">
        <v>97</v>
      </c>
      <c r="U19" s="203">
        <v>67</v>
      </c>
      <c r="V19" s="203">
        <v>295</v>
      </c>
      <c r="W19" s="203">
        <v>165</v>
      </c>
      <c r="X19" s="203">
        <v>75</v>
      </c>
      <c r="Y19" s="212">
        <v>147</v>
      </c>
      <c r="Z19" s="215">
        <v>112</v>
      </c>
      <c r="AA19" s="178">
        <v>131</v>
      </c>
      <c r="AB19" s="203">
        <v>104</v>
      </c>
      <c r="AC19" s="203">
        <v>170</v>
      </c>
      <c r="AD19" s="212">
        <v>48</v>
      </c>
      <c r="AE19" s="215"/>
      <c r="AF19" s="203"/>
      <c r="AG19" s="203"/>
      <c r="AH19" s="203"/>
      <c r="AI19" s="212"/>
      <c r="AJ19" s="215"/>
      <c r="AK19" s="212"/>
      <c r="AL19" s="512">
        <f t="shared" si="9"/>
        <v>3144</v>
      </c>
    </row>
    <row r="20" spans="1:38" x14ac:dyDescent="0.25">
      <c r="A20" s="145" t="s">
        <v>0</v>
      </c>
      <c r="B20" s="385">
        <f t="shared" si="10"/>
        <v>43994</v>
      </c>
      <c r="C20" s="254">
        <v>362</v>
      </c>
      <c r="D20" s="203">
        <v>432</v>
      </c>
      <c r="E20" s="203">
        <v>385</v>
      </c>
      <c r="F20" s="203">
        <v>380</v>
      </c>
      <c r="G20" s="203">
        <v>284</v>
      </c>
      <c r="H20" s="203">
        <v>404</v>
      </c>
      <c r="I20" s="212">
        <v>743</v>
      </c>
      <c r="J20" s="215">
        <v>838</v>
      </c>
      <c r="K20" s="203">
        <v>201</v>
      </c>
      <c r="L20" s="212">
        <v>748</v>
      </c>
      <c r="M20" s="215">
        <v>215</v>
      </c>
      <c r="N20" s="203">
        <v>205</v>
      </c>
      <c r="O20" s="203">
        <v>136</v>
      </c>
      <c r="P20" s="203">
        <v>82</v>
      </c>
      <c r="Q20" s="203">
        <v>76</v>
      </c>
      <c r="R20" s="203">
        <v>231</v>
      </c>
      <c r="S20" s="212">
        <v>79</v>
      </c>
      <c r="T20" s="215">
        <v>322</v>
      </c>
      <c r="U20" s="203">
        <v>107</v>
      </c>
      <c r="V20" s="203">
        <v>423</v>
      </c>
      <c r="W20" s="203">
        <v>400</v>
      </c>
      <c r="X20" s="203">
        <v>179</v>
      </c>
      <c r="Y20" s="212">
        <v>447</v>
      </c>
      <c r="Z20" s="215">
        <v>393</v>
      </c>
      <c r="AA20" s="178">
        <v>248</v>
      </c>
      <c r="AB20" s="203">
        <v>353</v>
      </c>
      <c r="AC20" s="203">
        <v>400</v>
      </c>
      <c r="AD20" s="212">
        <v>145</v>
      </c>
      <c r="AE20" s="215"/>
      <c r="AF20" s="203"/>
      <c r="AG20" s="203"/>
      <c r="AH20" s="203"/>
      <c r="AI20" s="212"/>
      <c r="AJ20" s="215"/>
      <c r="AK20" s="212"/>
      <c r="AL20" s="512">
        <f t="shared" si="9"/>
        <v>9218</v>
      </c>
    </row>
    <row r="21" spans="1:38" x14ac:dyDescent="0.25">
      <c r="A21" s="145" t="s">
        <v>1</v>
      </c>
      <c r="B21" s="385">
        <f t="shared" si="10"/>
        <v>43995</v>
      </c>
      <c r="C21" s="254">
        <v>743</v>
      </c>
      <c r="D21" s="203">
        <v>980</v>
      </c>
      <c r="E21" s="203">
        <v>277</v>
      </c>
      <c r="F21" s="203">
        <v>739</v>
      </c>
      <c r="G21" s="203">
        <v>345</v>
      </c>
      <c r="H21" s="203">
        <v>665</v>
      </c>
      <c r="I21" s="212">
        <v>1144</v>
      </c>
      <c r="J21" s="215">
        <v>1236</v>
      </c>
      <c r="K21" s="203">
        <v>282</v>
      </c>
      <c r="L21" s="212">
        <v>1054</v>
      </c>
      <c r="M21" s="215">
        <v>486</v>
      </c>
      <c r="N21" s="203">
        <v>403</v>
      </c>
      <c r="O21" s="203">
        <v>237</v>
      </c>
      <c r="P21" s="203">
        <v>126</v>
      </c>
      <c r="Q21" s="203">
        <v>138</v>
      </c>
      <c r="R21" s="203">
        <v>441</v>
      </c>
      <c r="S21" s="212">
        <v>193</v>
      </c>
      <c r="T21" s="215">
        <v>588</v>
      </c>
      <c r="U21" s="203">
        <v>165</v>
      </c>
      <c r="V21" s="203">
        <v>623</v>
      </c>
      <c r="W21" s="203">
        <v>739</v>
      </c>
      <c r="X21" s="203">
        <v>464</v>
      </c>
      <c r="Y21" s="212">
        <v>641</v>
      </c>
      <c r="Z21" s="215">
        <v>837</v>
      </c>
      <c r="AA21" s="178">
        <v>361</v>
      </c>
      <c r="AB21" s="203">
        <v>699</v>
      </c>
      <c r="AC21" s="203">
        <v>541</v>
      </c>
      <c r="AD21" s="212">
        <v>199</v>
      </c>
      <c r="AE21" s="215"/>
      <c r="AF21" s="203"/>
      <c r="AG21" s="203"/>
      <c r="AH21" s="203"/>
      <c r="AI21" s="212"/>
      <c r="AJ21" s="215"/>
      <c r="AK21" s="212"/>
      <c r="AL21" s="512">
        <f t="shared" si="9"/>
        <v>15346</v>
      </c>
    </row>
    <row r="22" spans="1:38" ht="15.75" thickBot="1" x14ac:dyDescent="0.3">
      <c r="A22" s="145" t="s">
        <v>2</v>
      </c>
      <c r="B22" s="385">
        <f t="shared" si="10"/>
        <v>43996</v>
      </c>
      <c r="C22" s="254">
        <v>730</v>
      </c>
      <c r="D22" s="203">
        <v>955</v>
      </c>
      <c r="E22" s="203">
        <v>511</v>
      </c>
      <c r="F22" s="203">
        <v>757</v>
      </c>
      <c r="G22" s="203">
        <v>281</v>
      </c>
      <c r="H22" s="203">
        <v>852</v>
      </c>
      <c r="I22" s="212">
        <v>1012</v>
      </c>
      <c r="J22" s="215">
        <v>754</v>
      </c>
      <c r="K22" s="203">
        <v>256</v>
      </c>
      <c r="L22" s="212">
        <v>958</v>
      </c>
      <c r="M22" s="215">
        <v>489</v>
      </c>
      <c r="N22" s="203">
        <v>392</v>
      </c>
      <c r="O22" s="203">
        <v>247</v>
      </c>
      <c r="P22" s="203">
        <v>149</v>
      </c>
      <c r="Q22" s="203">
        <v>113</v>
      </c>
      <c r="R22" s="203">
        <v>430</v>
      </c>
      <c r="S22" s="212">
        <v>190</v>
      </c>
      <c r="T22" s="215">
        <v>682</v>
      </c>
      <c r="U22" s="203">
        <v>162</v>
      </c>
      <c r="V22" s="203">
        <v>687</v>
      </c>
      <c r="W22" s="203">
        <v>719</v>
      </c>
      <c r="X22" s="203">
        <v>451</v>
      </c>
      <c r="Y22" s="212">
        <v>636</v>
      </c>
      <c r="Z22" s="215">
        <v>681</v>
      </c>
      <c r="AA22" s="178">
        <v>299</v>
      </c>
      <c r="AB22" s="203">
        <v>576</v>
      </c>
      <c r="AC22" s="203">
        <v>428</v>
      </c>
      <c r="AD22" s="212">
        <v>192</v>
      </c>
      <c r="AE22" s="215"/>
      <c r="AF22" s="203"/>
      <c r="AG22" s="203"/>
      <c r="AH22" s="203"/>
      <c r="AI22" s="212"/>
      <c r="AJ22" s="215"/>
      <c r="AK22" s="212"/>
      <c r="AL22" s="512">
        <f t="shared" si="9"/>
        <v>14589</v>
      </c>
    </row>
    <row r="23" spans="1:38" ht="15.75" thickBot="1" x14ac:dyDescent="0.3">
      <c r="A23" s="153" t="s">
        <v>21</v>
      </c>
      <c r="B23" s="612" t="s">
        <v>25</v>
      </c>
      <c r="C23" s="216">
        <f t="shared" ref="C23" si="11">SUM(C16:C22)</f>
        <v>3010</v>
      </c>
      <c r="D23" s="210">
        <f t="shared" ref="D23:AL23" si="12">SUM(D16:D22)</f>
        <v>3419</v>
      </c>
      <c r="E23" s="210">
        <f t="shared" si="12"/>
        <v>1917</v>
      </c>
      <c r="F23" s="210">
        <f t="shared" si="12"/>
        <v>2943</v>
      </c>
      <c r="G23" s="210">
        <f t="shared" si="12"/>
        <v>1725</v>
      </c>
      <c r="H23" s="210">
        <f t="shared" si="12"/>
        <v>2976</v>
      </c>
      <c r="I23" s="467">
        <f t="shared" si="12"/>
        <v>5034</v>
      </c>
      <c r="J23" s="216">
        <f t="shared" si="12"/>
        <v>4831</v>
      </c>
      <c r="K23" s="210">
        <f t="shared" si="12"/>
        <v>1232</v>
      </c>
      <c r="L23" s="467">
        <f t="shared" si="12"/>
        <v>4719</v>
      </c>
      <c r="M23" s="216">
        <f t="shared" si="12"/>
        <v>1769</v>
      </c>
      <c r="N23" s="210">
        <f t="shared" si="12"/>
        <v>1329</v>
      </c>
      <c r="O23" s="210">
        <f t="shared" si="12"/>
        <v>904</v>
      </c>
      <c r="P23" s="210">
        <f t="shared" si="12"/>
        <v>568</v>
      </c>
      <c r="Q23" s="210">
        <f t="shared" si="12"/>
        <v>497</v>
      </c>
      <c r="R23" s="210">
        <f t="shared" si="12"/>
        <v>1587</v>
      </c>
      <c r="S23" s="467">
        <f t="shared" si="12"/>
        <v>710</v>
      </c>
      <c r="T23" s="216">
        <f t="shared" si="12"/>
        <v>2514</v>
      </c>
      <c r="U23" s="210">
        <f t="shared" si="12"/>
        <v>797</v>
      </c>
      <c r="V23" s="210">
        <f t="shared" si="12"/>
        <v>3352</v>
      </c>
      <c r="W23" s="210">
        <f t="shared" si="12"/>
        <v>3067</v>
      </c>
      <c r="X23" s="210">
        <f t="shared" si="12"/>
        <v>1601</v>
      </c>
      <c r="Y23" s="467">
        <f t="shared" si="12"/>
        <v>2795</v>
      </c>
      <c r="Z23" s="216">
        <f t="shared" si="12"/>
        <v>3045</v>
      </c>
      <c r="AA23" s="210">
        <f t="shared" si="12"/>
        <v>1659</v>
      </c>
      <c r="AB23" s="210">
        <f t="shared" si="12"/>
        <v>2536</v>
      </c>
      <c r="AC23" s="210">
        <f t="shared" si="12"/>
        <v>2609</v>
      </c>
      <c r="AD23" s="467">
        <f t="shared" si="12"/>
        <v>830</v>
      </c>
      <c r="AE23" s="216">
        <f t="shared" si="12"/>
        <v>0</v>
      </c>
      <c r="AF23" s="210">
        <f t="shared" si="12"/>
        <v>0</v>
      </c>
      <c r="AG23" s="210">
        <f t="shared" si="12"/>
        <v>0</v>
      </c>
      <c r="AH23" s="210">
        <f t="shared" si="12"/>
        <v>0</v>
      </c>
      <c r="AI23" s="467">
        <f t="shared" si="12"/>
        <v>0</v>
      </c>
      <c r="AJ23" s="216">
        <f t="shared" si="12"/>
        <v>0</v>
      </c>
      <c r="AK23" s="467">
        <f t="shared" si="12"/>
        <v>0</v>
      </c>
      <c r="AL23" s="474">
        <f t="shared" si="12"/>
        <v>63975</v>
      </c>
    </row>
    <row r="24" spans="1:38" ht="15.75" thickBot="1" x14ac:dyDescent="0.3">
      <c r="A24" s="105" t="s">
        <v>23</v>
      </c>
      <c r="B24" s="612"/>
      <c r="C24" s="216">
        <f t="shared" ref="C24" si="13">AVERAGE(C16:C22)</f>
        <v>430</v>
      </c>
      <c r="D24" s="210">
        <f t="shared" ref="D24:AL24" si="14">AVERAGE(D16:D22)</f>
        <v>488.42857142857144</v>
      </c>
      <c r="E24" s="210">
        <f t="shared" si="14"/>
        <v>273.85714285714283</v>
      </c>
      <c r="F24" s="210">
        <f t="shared" si="14"/>
        <v>420.42857142857144</v>
      </c>
      <c r="G24" s="210">
        <f t="shared" si="14"/>
        <v>246.42857142857142</v>
      </c>
      <c r="H24" s="210">
        <f t="shared" si="14"/>
        <v>425.14285714285717</v>
      </c>
      <c r="I24" s="467">
        <f t="shared" si="14"/>
        <v>719.14285714285711</v>
      </c>
      <c r="J24" s="216">
        <f t="shared" si="14"/>
        <v>690.14285714285711</v>
      </c>
      <c r="K24" s="210">
        <f t="shared" si="14"/>
        <v>176</v>
      </c>
      <c r="L24" s="467">
        <f t="shared" si="14"/>
        <v>674.14285714285711</v>
      </c>
      <c r="M24" s="216">
        <f t="shared" si="14"/>
        <v>252.71428571428572</v>
      </c>
      <c r="N24" s="210">
        <f t="shared" si="14"/>
        <v>189.85714285714286</v>
      </c>
      <c r="O24" s="210">
        <f t="shared" si="14"/>
        <v>129.14285714285714</v>
      </c>
      <c r="P24" s="210">
        <f t="shared" si="14"/>
        <v>81.142857142857139</v>
      </c>
      <c r="Q24" s="210">
        <f t="shared" si="14"/>
        <v>71</v>
      </c>
      <c r="R24" s="210">
        <f t="shared" si="14"/>
        <v>226.71428571428572</v>
      </c>
      <c r="S24" s="467">
        <f t="shared" si="14"/>
        <v>101.42857142857143</v>
      </c>
      <c r="T24" s="216">
        <f t="shared" si="14"/>
        <v>359.14285714285717</v>
      </c>
      <c r="U24" s="210">
        <f t="shared" si="14"/>
        <v>113.85714285714286</v>
      </c>
      <c r="V24" s="210">
        <f t="shared" si="14"/>
        <v>478.85714285714283</v>
      </c>
      <c r="W24" s="210">
        <f t="shared" si="14"/>
        <v>438.14285714285717</v>
      </c>
      <c r="X24" s="210">
        <f t="shared" si="14"/>
        <v>228.71428571428572</v>
      </c>
      <c r="Y24" s="467">
        <f t="shared" si="14"/>
        <v>399.28571428571428</v>
      </c>
      <c r="Z24" s="216">
        <f t="shared" si="14"/>
        <v>435</v>
      </c>
      <c r="AA24" s="210">
        <f t="shared" si="14"/>
        <v>237</v>
      </c>
      <c r="AB24" s="210">
        <f t="shared" si="14"/>
        <v>362.28571428571428</v>
      </c>
      <c r="AC24" s="210">
        <f t="shared" si="14"/>
        <v>372.71428571428572</v>
      </c>
      <c r="AD24" s="467">
        <f t="shared" si="14"/>
        <v>118.57142857142857</v>
      </c>
      <c r="AE24" s="216" t="e">
        <f t="shared" si="14"/>
        <v>#DIV/0!</v>
      </c>
      <c r="AF24" s="210" t="e">
        <f t="shared" si="14"/>
        <v>#DIV/0!</v>
      </c>
      <c r="AG24" s="210" t="e">
        <f t="shared" si="14"/>
        <v>#DIV/0!</v>
      </c>
      <c r="AH24" s="210" t="e">
        <f t="shared" si="14"/>
        <v>#DIV/0!</v>
      </c>
      <c r="AI24" s="467" t="e">
        <f t="shared" si="14"/>
        <v>#DIV/0!</v>
      </c>
      <c r="AJ24" s="216" t="e">
        <f t="shared" si="14"/>
        <v>#DIV/0!</v>
      </c>
      <c r="AK24" s="467" t="e">
        <f t="shared" si="14"/>
        <v>#DIV/0!</v>
      </c>
      <c r="AL24" s="474">
        <f t="shared" si="14"/>
        <v>9139.2857142857138</v>
      </c>
    </row>
    <row r="25" spans="1:38" ht="15.75" thickBot="1" x14ac:dyDescent="0.3">
      <c r="A25" s="26" t="s">
        <v>20</v>
      </c>
      <c r="B25" s="612"/>
      <c r="C25" s="217">
        <f t="shared" ref="C25" si="15">SUM(C16:C20)</f>
        <v>1537</v>
      </c>
      <c r="D25" s="211">
        <f t="shared" ref="D25:AL25" si="16">SUM(D16:D20)</f>
        <v>1484</v>
      </c>
      <c r="E25" s="211">
        <f t="shared" si="16"/>
        <v>1129</v>
      </c>
      <c r="F25" s="211">
        <f t="shared" si="16"/>
        <v>1447</v>
      </c>
      <c r="G25" s="211">
        <f t="shared" si="16"/>
        <v>1099</v>
      </c>
      <c r="H25" s="211">
        <f t="shared" si="16"/>
        <v>1459</v>
      </c>
      <c r="I25" s="469">
        <f t="shared" si="16"/>
        <v>2878</v>
      </c>
      <c r="J25" s="217">
        <f t="shared" si="16"/>
        <v>2841</v>
      </c>
      <c r="K25" s="211">
        <f t="shared" si="16"/>
        <v>694</v>
      </c>
      <c r="L25" s="469">
        <f t="shared" si="16"/>
        <v>2707</v>
      </c>
      <c r="M25" s="217">
        <f t="shared" si="16"/>
        <v>794</v>
      </c>
      <c r="N25" s="211">
        <f t="shared" si="16"/>
        <v>534</v>
      </c>
      <c r="O25" s="211">
        <f t="shared" si="16"/>
        <v>420</v>
      </c>
      <c r="P25" s="211">
        <f t="shared" si="16"/>
        <v>293</v>
      </c>
      <c r="Q25" s="211">
        <f t="shared" si="16"/>
        <v>246</v>
      </c>
      <c r="R25" s="211">
        <f t="shared" si="16"/>
        <v>716</v>
      </c>
      <c r="S25" s="469">
        <f t="shared" si="16"/>
        <v>327</v>
      </c>
      <c r="T25" s="217">
        <f t="shared" si="16"/>
        <v>1244</v>
      </c>
      <c r="U25" s="211">
        <f t="shared" si="16"/>
        <v>470</v>
      </c>
      <c r="V25" s="211">
        <f t="shared" si="16"/>
        <v>2042</v>
      </c>
      <c r="W25" s="211">
        <f t="shared" si="16"/>
        <v>1609</v>
      </c>
      <c r="X25" s="211">
        <f t="shared" si="16"/>
        <v>686</v>
      </c>
      <c r="Y25" s="469">
        <f t="shared" si="16"/>
        <v>1518</v>
      </c>
      <c r="Z25" s="217">
        <f t="shared" si="16"/>
        <v>1527</v>
      </c>
      <c r="AA25" s="211">
        <f t="shared" si="16"/>
        <v>999</v>
      </c>
      <c r="AB25" s="211">
        <f t="shared" si="16"/>
        <v>1261</v>
      </c>
      <c r="AC25" s="211">
        <f t="shared" si="16"/>
        <v>1640</v>
      </c>
      <c r="AD25" s="469">
        <f t="shared" si="16"/>
        <v>439</v>
      </c>
      <c r="AE25" s="217">
        <f t="shared" si="16"/>
        <v>0</v>
      </c>
      <c r="AF25" s="211">
        <f t="shared" si="16"/>
        <v>0</v>
      </c>
      <c r="AG25" s="211">
        <f t="shared" si="16"/>
        <v>0</v>
      </c>
      <c r="AH25" s="211">
        <f t="shared" si="16"/>
        <v>0</v>
      </c>
      <c r="AI25" s="469">
        <f t="shared" si="16"/>
        <v>0</v>
      </c>
      <c r="AJ25" s="217">
        <f t="shared" si="16"/>
        <v>0</v>
      </c>
      <c r="AK25" s="469">
        <f t="shared" si="16"/>
        <v>0</v>
      </c>
      <c r="AL25" s="489">
        <f t="shared" si="16"/>
        <v>34040</v>
      </c>
    </row>
    <row r="26" spans="1:38" ht="15.75" thickBot="1" x14ac:dyDescent="0.3">
      <c r="A26" s="26" t="s">
        <v>22</v>
      </c>
      <c r="B26" s="612"/>
      <c r="C26" s="217">
        <f t="shared" ref="C26" si="17">AVERAGE(C16:C20)</f>
        <v>307.39999999999998</v>
      </c>
      <c r="D26" s="211">
        <f t="shared" ref="D26:AL26" si="18">AVERAGE(D16:D20)</f>
        <v>296.8</v>
      </c>
      <c r="E26" s="211">
        <f t="shared" si="18"/>
        <v>225.8</v>
      </c>
      <c r="F26" s="211">
        <f t="shared" si="18"/>
        <v>289.39999999999998</v>
      </c>
      <c r="G26" s="211">
        <f t="shared" si="18"/>
        <v>219.8</v>
      </c>
      <c r="H26" s="211">
        <f t="shared" si="18"/>
        <v>291.8</v>
      </c>
      <c r="I26" s="469">
        <f t="shared" si="18"/>
        <v>575.6</v>
      </c>
      <c r="J26" s="217">
        <f t="shared" si="18"/>
        <v>568.20000000000005</v>
      </c>
      <c r="K26" s="211">
        <f t="shared" si="18"/>
        <v>138.80000000000001</v>
      </c>
      <c r="L26" s="469">
        <f t="shared" si="18"/>
        <v>541.4</v>
      </c>
      <c r="M26" s="217">
        <f t="shared" si="18"/>
        <v>158.80000000000001</v>
      </c>
      <c r="N26" s="211">
        <f t="shared" si="18"/>
        <v>106.8</v>
      </c>
      <c r="O26" s="211">
        <f t="shared" si="18"/>
        <v>84</v>
      </c>
      <c r="P26" s="211">
        <f t="shared" si="18"/>
        <v>58.6</v>
      </c>
      <c r="Q26" s="211">
        <f t="shared" si="18"/>
        <v>49.2</v>
      </c>
      <c r="R26" s="211">
        <f t="shared" si="18"/>
        <v>143.19999999999999</v>
      </c>
      <c r="S26" s="469">
        <f t="shared" si="18"/>
        <v>65.400000000000006</v>
      </c>
      <c r="T26" s="217">
        <f t="shared" si="18"/>
        <v>248.8</v>
      </c>
      <c r="U26" s="211">
        <f t="shared" si="18"/>
        <v>94</v>
      </c>
      <c r="V26" s="211">
        <f t="shared" si="18"/>
        <v>408.4</v>
      </c>
      <c r="W26" s="211">
        <f t="shared" si="18"/>
        <v>321.8</v>
      </c>
      <c r="X26" s="211">
        <f t="shared" si="18"/>
        <v>137.19999999999999</v>
      </c>
      <c r="Y26" s="469">
        <f t="shared" si="18"/>
        <v>303.60000000000002</v>
      </c>
      <c r="Z26" s="217">
        <f t="shared" si="18"/>
        <v>305.39999999999998</v>
      </c>
      <c r="AA26" s="211">
        <f t="shared" si="18"/>
        <v>199.8</v>
      </c>
      <c r="AB26" s="211">
        <f t="shared" si="18"/>
        <v>252.2</v>
      </c>
      <c r="AC26" s="211">
        <f t="shared" si="18"/>
        <v>328</v>
      </c>
      <c r="AD26" s="469">
        <f t="shared" si="18"/>
        <v>87.8</v>
      </c>
      <c r="AE26" s="217" t="e">
        <f t="shared" si="18"/>
        <v>#DIV/0!</v>
      </c>
      <c r="AF26" s="211" t="e">
        <f t="shared" si="18"/>
        <v>#DIV/0!</v>
      </c>
      <c r="AG26" s="211" t="e">
        <f t="shared" si="18"/>
        <v>#DIV/0!</v>
      </c>
      <c r="AH26" s="211" t="e">
        <f t="shared" si="18"/>
        <v>#DIV/0!</v>
      </c>
      <c r="AI26" s="469" t="e">
        <f t="shared" si="18"/>
        <v>#DIV/0!</v>
      </c>
      <c r="AJ26" s="217" t="e">
        <f t="shared" si="18"/>
        <v>#DIV/0!</v>
      </c>
      <c r="AK26" s="469" t="e">
        <f t="shared" si="18"/>
        <v>#DIV/0!</v>
      </c>
      <c r="AL26" s="489">
        <f t="shared" si="18"/>
        <v>6808</v>
      </c>
    </row>
    <row r="27" spans="1:38" x14ac:dyDescent="0.25">
      <c r="A27" s="145" t="s">
        <v>3</v>
      </c>
      <c r="B27" s="223">
        <f>B22+1</f>
        <v>43997</v>
      </c>
      <c r="C27" s="254">
        <v>220</v>
      </c>
      <c r="D27" s="255">
        <v>238</v>
      </c>
      <c r="E27" s="178">
        <v>168</v>
      </c>
      <c r="F27" s="178">
        <v>263</v>
      </c>
      <c r="G27" s="178">
        <v>175</v>
      </c>
      <c r="H27" s="178">
        <v>296</v>
      </c>
      <c r="I27" s="180">
        <v>583</v>
      </c>
      <c r="J27" s="218">
        <v>436</v>
      </c>
      <c r="K27" s="178">
        <v>156</v>
      </c>
      <c r="L27" s="180">
        <v>374</v>
      </c>
      <c r="M27" s="218">
        <v>140</v>
      </c>
      <c r="N27" s="178">
        <v>93</v>
      </c>
      <c r="O27" s="178">
        <v>78</v>
      </c>
      <c r="P27" s="178">
        <v>37</v>
      </c>
      <c r="Q27" s="178">
        <v>66</v>
      </c>
      <c r="R27" s="178">
        <v>148</v>
      </c>
      <c r="S27" s="180">
        <v>43</v>
      </c>
      <c r="T27" s="218">
        <v>235</v>
      </c>
      <c r="U27" s="178">
        <v>112</v>
      </c>
      <c r="V27" s="178">
        <v>434</v>
      </c>
      <c r="W27" s="178">
        <v>302</v>
      </c>
      <c r="X27" s="178">
        <v>128</v>
      </c>
      <c r="Y27" s="180">
        <v>270</v>
      </c>
      <c r="Z27" s="218">
        <v>252</v>
      </c>
      <c r="AA27" s="178">
        <v>199</v>
      </c>
      <c r="AB27" s="178">
        <v>217</v>
      </c>
      <c r="AC27" s="178">
        <v>306</v>
      </c>
      <c r="AD27" s="180">
        <v>101</v>
      </c>
      <c r="AE27" s="218"/>
      <c r="AF27" s="178"/>
      <c r="AG27" s="178"/>
      <c r="AH27" s="178"/>
      <c r="AI27" s="180"/>
      <c r="AJ27" s="215"/>
      <c r="AK27" s="212"/>
      <c r="AL27" s="512">
        <f t="shared" ref="AL27:AL32" si="19">SUM(C27:AK27)</f>
        <v>6070</v>
      </c>
    </row>
    <row r="28" spans="1:38" x14ac:dyDescent="0.25">
      <c r="A28" s="145" t="s">
        <v>4</v>
      </c>
      <c r="B28" s="223">
        <f t="shared" ref="B28:B33" si="20">B27+1</f>
        <v>43998</v>
      </c>
      <c r="C28" s="254">
        <v>332</v>
      </c>
      <c r="D28" s="255">
        <v>0</v>
      </c>
      <c r="E28" s="178">
        <v>285</v>
      </c>
      <c r="F28" s="178">
        <v>333</v>
      </c>
      <c r="G28" s="178">
        <v>230</v>
      </c>
      <c r="H28" s="178">
        <v>362</v>
      </c>
      <c r="I28" s="180">
        <v>593</v>
      </c>
      <c r="J28" s="218">
        <v>503</v>
      </c>
      <c r="K28" s="178">
        <v>166</v>
      </c>
      <c r="L28" s="180">
        <v>537</v>
      </c>
      <c r="M28" s="218">
        <v>209</v>
      </c>
      <c r="N28" s="178">
        <v>0</v>
      </c>
      <c r="O28" s="178">
        <v>207</v>
      </c>
      <c r="P28" s="178">
        <v>39</v>
      </c>
      <c r="Q28" s="178">
        <v>74</v>
      </c>
      <c r="R28" s="178">
        <v>203</v>
      </c>
      <c r="S28" s="180">
        <v>120</v>
      </c>
      <c r="T28" s="218">
        <v>287</v>
      </c>
      <c r="U28" s="178">
        <v>127</v>
      </c>
      <c r="V28" s="178">
        <v>417</v>
      </c>
      <c r="W28" s="178">
        <v>349</v>
      </c>
      <c r="X28" s="178">
        <v>170</v>
      </c>
      <c r="Y28" s="180">
        <v>308</v>
      </c>
      <c r="Z28" s="218">
        <v>297</v>
      </c>
      <c r="AA28" s="178">
        <v>225</v>
      </c>
      <c r="AB28" s="178">
        <v>246</v>
      </c>
      <c r="AC28" s="178">
        <v>348</v>
      </c>
      <c r="AD28" s="180">
        <v>76</v>
      </c>
      <c r="AE28" s="218"/>
      <c r="AF28" s="178"/>
      <c r="AG28" s="178"/>
      <c r="AH28" s="178"/>
      <c r="AI28" s="180"/>
      <c r="AJ28" s="215"/>
      <c r="AK28" s="212"/>
      <c r="AL28" s="512">
        <f t="shared" si="19"/>
        <v>7043</v>
      </c>
    </row>
    <row r="29" spans="1:38" x14ac:dyDescent="0.25">
      <c r="A29" s="145" t="s">
        <v>5</v>
      </c>
      <c r="B29" s="223">
        <f t="shared" si="20"/>
        <v>43999</v>
      </c>
      <c r="C29" s="254">
        <v>318</v>
      </c>
      <c r="D29" s="255">
        <v>0</v>
      </c>
      <c r="E29" s="178">
        <v>292</v>
      </c>
      <c r="F29" s="178">
        <v>324</v>
      </c>
      <c r="G29" s="178">
        <v>175</v>
      </c>
      <c r="H29" s="178">
        <v>254</v>
      </c>
      <c r="I29" s="180">
        <v>606</v>
      </c>
      <c r="J29" s="218">
        <v>552</v>
      </c>
      <c r="K29" s="178">
        <v>177</v>
      </c>
      <c r="L29" s="180">
        <v>525</v>
      </c>
      <c r="M29" s="218">
        <v>248</v>
      </c>
      <c r="N29" s="178">
        <v>0</v>
      </c>
      <c r="O29" s="178">
        <v>176</v>
      </c>
      <c r="P29" s="178">
        <v>51</v>
      </c>
      <c r="Q29" s="178">
        <v>38</v>
      </c>
      <c r="R29" s="178">
        <v>162</v>
      </c>
      <c r="S29" s="180">
        <v>77</v>
      </c>
      <c r="T29" s="218">
        <v>265</v>
      </c>
      <c r="U29" s="178">
        <v>117</v>
      </c>
      <c r="V29" s="178">
        <v>468</v>
      </c>
      <c r="W29" s="178">
        <v>331</v>
      </c>
      <c r="X29" s="178">
        <v>175</v>
      </c>
      <c r="Y29" s="180">
        <v>325</v>
      </c>
      <c r="Z29" s="218">
        <v>339</v>
      </c>
      <c r="AA29" s="178">
        <v>215</v>
      </c>
      <c r="AB29" s="178">
        <v>261</v>
      </c>
      <c r="AC29" s="178">
        <v>361</v>
      </c>
      <c r="AD29" s="180">
        <v>93</v>
      </c>
      <c r="AE29" s="218"/>
      <c r="AF29" s="178"/>
      <c r="AG29" s="178"/>
      <c r="AH29" s="178"/>
      <c r="AI29" s="180"/>
      <c r="AJ29" s="215"/>
      <c r="AK29" s="212"/>
      <c r="AL29" s="512">
        <f t="shared" si="19"/>
        <v>6925</v>
      </c>
    </row>
    <row r="30" spans="1:38" x14ac:dyDescent="0.25">
      <c r="A30" s="145" t="s">
        <v>6</v>
      </c>
      <c r="B30" s="223">
        <f t="shared" si="20"/>
        <v>44000</v>
      </c>
      <c r="C30" s="254">
        <v>229</v>
      </c>
      <c r="D30" s="255">
        <v>273</v>
      </c>
      <c r="E30" s="178">
        <v>145</v>
      </c>
      <c r="F30" s="178">
        <v>329</v>
      </c>
      <c r="G30" s="178">
        <v>233</v>
      </c>
      <c r="H30" s="178">
        <v>232</v>
      </c>
      <c r="I30" s="180">
        <v>584</v>
      </c>
      <c r="J30" s="218">
        <v>333</v>
      </c>
      <c r="K30" s="178">
        <v>142</v>
      </c>
      <c r="L30" s="180">
        <v>302</v>
      </c>
      <c r="M30" s="218">
        <v>206</v>
      </c>
      <c r="N30" s="178">
        <v>112</v>
      </c>
      <c r="O30" s="178">
        <v>94</v>
      </c>
      <c r="P30" s="178">
        <v>56</v>
      </c>
      <c r="Q30" s="178">
        <v>51</v>
      </c>
      <c r="R30" s="178">
        <v>165</v>
      </c>
      <c r="S30" s="180">
        <v>68</v>
      </c>
      <c r="T30" s="218">
        <v>242</v>
      </c>
      <c r="U30" s="178">
        <v>127</v>
      </c>
      <c r="V30" s="178">
        <v>433</v>
      </c>
      <c r="W30" s="178">
        <v>325</v>
      </c>
      <c r="X30" s="178">
        <v>173</v>
      </c>
      <c r="Y30" s="180">
        <v>277</v>
      </c>
      <c r="Z30" s="218">
        <v>308</v>
      </c>
      <c r="AA30" s="178">
        <v>219</v>
      </c>
      <c r="AB30" s="178">
        <v>236</v>
      </c>
      <c r="AC30" s="178">
        <v>357</v>
      </c>
      <c r="AD30" s="180">
        <v>63</v>
      </c>
      <c r="AE30" s="218"/>
      <c r="AF30" s="178"/>
      <c r="AG30" s="178"/>
      <c r="AH30" s="178"/>
      <c r="AI30" s="180"/>
      <c r="AJ30" s="215"/>
      <c r="AK30" s="212"/>
      <c r="AL30" s="512">
        <f t="shared" si="19"/>
        <v>6314</v>
      </c>
    </row>
    <row r="31" spans="1:38" x14ac:dyDescent="0.25">
      <c r="A31" s="145" t="s">
        <v>0</v>
      </c>
      <c r="B31" s="223">
        <f t="shared" si="20"/>
        <v>44001</v>
      </c>
      <c r="C31" s="254">
        <v>587</v>
      </c>
      <c r="D31" s="255">
        <v>577</v>
      </c>
      <c r="E31" s="178">
        <v>314</v>
      </c>
      <c r="F31" s="178">
        <v>558</v>
      </c>
      <c r="G31" s="178">
        <v>337</v>
      </c>
      <c r="H31" s="178">
        <v>425</v>
      </c>
      <c r="I31" s="180">
        <v>837</v>
      </c>
      <c r="J31" s="218">
        <v>863</v>
      </c>
      <c r="K31" s="178">
        <v>209</v>
      </c>
      <c r="L31" s="180">
        <v>784</v>
      </c>
      <c r="M31" s="218">
        <v>305</v>
      </c>
      <c r="N31" s="178">
        <v>196</v>
      </c>
      <c r="O31" s="178">
        <v>134</v>
      </c>
      <c r="P31" s="178">
        <v>79</v>
      </c>
      <c r="Q31" s="178">
        <v>60</v>
      </c>
      <c r="R31" s="178">
        <v>304</v>
      </c>
      <c r="S31" s="180">
        <v>117</v>
      </c>
      <c r="T31" s="218">
        <v>387</v>
      </c>
      <c r="U31" s="203">
        <v>143</v>
      </c>
      <c r="V31" s="203">
        <v>517</v>
      </c>
      <c r="W31" s="203">
        <v>457</v>
      </c>
      <c r="X31" s="203">
        <v>254</v>
      </c>
      <c r="Y31" s="212">
        <v>480</v>
      </c>
      <c r="Z31" s="215">
        <v>442</v>
      </c>
      <c r="AA31" s="178">
        <v>280</v>
      </c>
      <c r="AB31" s="178">
        <v>432</v>
      </c>
      <c r="AC31" s="178">
        <v>436</v>
      </c>
      <c r="AD31" s="180">
        <v>156</v>
      </c>
      <c r="AE31" s="215"/>
      <c r="AF31" s="203"/>
      <c r="AG31" s="203"/>
      <c r="AH31" s="203"/>
      <c r="AI31" s="212"/>
      <c r="AJ31" s="215"/>
      <c r="AK31" s="212"/>
      <c r="AL31" s="512">
        <f t="shared" si="19"/>
        <v>10670</v>
      </c>
    </row>
    <row r="32" spans="1:38" x14ac:dyDescent="0.25">
      <c r="A32" s="145" t="s">
        <v>1</v>
      </c>
      <c r="B32" s="223">
        <f t="shared" si="20"/>
        <v>44002</v>
      </c>
      <c r="C32" s="254">
        <v>630</v>
      </c>
      <c r="D32" s="255">
        <v>906</v>
      </c>
      <c r="E32" s="178">
        <v>217</v>
      </c>
      <c r="F32" s="178">
        <v>676</v>
      </c>
      <c r="G32" s="178">
        <v>352</v>
      </c>
      <c r="H32" s="178">
        <v>547</v>
      </c>
      <c r="I32" s="180">
        <v>988</v>
      </c>
      <c r="J32" s="218">
        <v>1173</v>
      </c>
      <c r="K32" s="178">
        <v>250</v>
      </c>
      <c r="L32" s="180">
        <v>980</v>
      </c>
      <c r="M32" s="218">
        <v>415</v>
      </c>
      <c r="N32" s="178">
        <v>342</v>
      </c>
      <c r="O32" s="178">
        <v>213</v>
      </c>
      <c r="P32" s="178">
        <v>150</v>
      </c>
      <c r="Q32" s="178">
        <v>131</v>
      </c>
      <c r="R32" s="178">
        <v>396</v>
      </c>
      <c r="S32" s="180">
        <v>174</v>
      </c>
      <c r="T32" s="218">
        <v>588</v>
      </c>
      <c r="U32" s="203">
        <v>127</v>
      </c>
      <c r="V32" s="203">
        <v>620</v>
      </c>
      <c r="W32" s="203">
        <v>595</v>
      </c>
      <c r="X32" s="203">
        <v>320</v>
      </c>
      <c r="Y32" s="212">
        <v>584</v>
      </c>
      <c r="Z32" s="215">
        <v>603</v>
      </c>
      <c r="AA32" s="178">
        <v>372</v>
      </c>
      <c r="AB32" s="203">
        <v>653</v>
      </c>
      <c r="AC32" s="203">
        <v>420</v>
      </c>
      <c r="AD32" s="212">
        <v>157</v>
      </c>
      <c r="AE32" s="215"/>
      <c r="AF32" s="203"/>
      <c r="AG32" s="203"/>
      <c r="AH32" s="203"/>
      <c r="AI32" s="212"/>
      <c r="AJ32" s="215"/>
      <c r="AK32" s="212"/>
      <c r="AL32" s="512">
        <f t="shared" si="19"/>
        <v>13579</v>
      </c>
    </row>
    <row r="33" spans="1:38" ht="15.75" thickBot="1" x14ac:dyDescent="0.3">
      <c r="A33" s="145" t="s">
        <v>2</v>
      </c>
      <c r="B33" s="223">
        <f t="shared" si="20"/>
        <v>44003</v>
      </c>
      <c r="C33" s="254">
        <v>616</v>
      </c>
      <c r="D33" s="255">
        <v>1128</v>
      </c>
      <c r="E33" s="178">
        <v>356</v>
      </c>
      <c r="F33" s="178">
        <v>630</v>
      </c>
      <c r="G33" s="178">
        <v>253</v>
      </c>
      <c r="H33" s="178">
        <v>718</v>
      </c>
      <c r="I33" s="180">
        <v>955</v>
      </c>
      <c r="J33" s="218">
        <v>1245</v>
      </c>
      <c r="K33" s="178">
        <v>295</v>
      </c>
      <c r="L33" s="180">
        <v>1207</v>
      </c>
      <c r="M33" s="218">
        <v>500</v>
      </c>
      <c r="N33" s="178">
        <v>316</v>
      </c>
      <c r="O33" s="178">
        <v>295</v>
      </c>
      <c r="P33" s="178">
        <v>158</v>
      </c>
      <c r="Q33" s="178">
        <v>145</v>
      </c>
      <c r="R33" s="178">
        <v>532</v>
      </c>
      <c r="S33" s="180">
        <v>223</v>
      </c>
      <c r="T33" s="218">
        <v>691</v>
      </c>
      <c r="U33" s="178">
        <v>199</v>
      </c>
      <c r="V33" s="178">
        <v>607</v>
      </c>
      <c r="W33" s="178">
        <v>671</v>
      </c>
      <c r="X33" s="178">
        <v>462</v>
      </c>
      <c r="Y33" s="180">
        <v>599</v>
      </c>
      <c r="Z33" s="218">
        <v>845</v>
      </c>
      <c r="AA33" s="178">
        <v>334</v>
      </c>
      <c r="AB33" s="178">
        <v>691</v>
      </c>
      <c r="AC33" s="178">
        <v>525</v>
      </c>
      <c r="AD33" s="180">
        <v>196</v>
      </c>
      <c r="AE33" s="218"/>
      <c r="AF33" s="178"/>
      <c r="AG33" s="178"/>
      <c r="AH33" s="178"/>
      <c r="AI33" s="180"/>
      <c r="AJ33" s="218"/>
      <c r="AK33" s="180"/>
      <c r="AL33" s="512">
        <f>SUM(C33:AK33)</f>
        <v>15392</v>
      </c>
    </row>
    <row r="34" spans="1:38" ht="15.75" thickBot="1" x14ac:dyDescent="0.3">
      <c r="A34" s="153" t="s">
        <v>21</v>
      </c>
      <c r="B34" s="612" t="s">
        <v>26</v>
      </c>
      <c r="C34" s="216">
        <f>SUM(C27:C33)</f>
        <v>2932</v>
      </c>
      <c r="D34" s="210">
        <f t="shared" ref="D34:AL34" si="21">SUM(D27:D33)</f>
        <v>3122</v>
      </c>
      <c r="E34" s="210">
        <f t="shared" si="21"/>
        <v>1777</v>
      </c>
      <c r="F34" s="210">
        <f t="shared" si="21"/>
        <v>3113</v>
      </c>
      <c r="G34" s="210">
        <f t="shared" si="21"/>
        <v>1755</v>
      </c>
      <c r="H34" s="210">
        <f t="shared" si="21"/>
        <v>2834</v>
      </c>
      <c r="I34" s="467">
        <f t="shared" si="21"/>
        <v>5146</v>
      </c>
      <c r="J34" s="216">
        <f t="shared" si="21"/>
        <v>5105</v>
      </c>
      <c r="K34" s="210">
        <f t="shared" si="21"/>
        <v>1395</v>
      </c>
      <c r="L34" s="467">
        <f t="shared" si="21"/>
        <v>4709</v>
      </c>
      <c r="M34" s="216">
        <f t="shared" si="21"/>
        <v>2023</v>
      </c>
      <c r="N34" s="210">
        <f t="shared" si="21"/>
        <v>1059</v>
      </c>
      <c r="O34" s="210">
        <f t="shared" si="21"/>
        <v>1197</v>
      </c>
      <c r="P34" s="210">
        <f t="shared" si="21"/>
        <v>570</v>
      </c>
      <c r="Q34" s="210">
        <f t="shared" si="21"/>
        <v>565</v>
      </c>
      <c r="R34" s="210">
        <f t="shared" si="21"/>
        <v>1910</v>
      </c>
      <c r="S34" s="467">
        <f t="shared" si="21"/>
        <v>822</v>
      </c>
      <c r="T34" s="216">
        <f t="shared" si="21"/>
        <v>2695</v>
      </c>
      <c r="U34" s="210">
        <f t="shared" si="21"/>
        <v>952</v>
      </c>
      <c r="V34" s="210">
        <f t="shared" si="21"/>
        <v>3496</v>
      </c>
      <c r="W34" s="210">
        <f t="shared" si="21"/>
        <v>3030</v>
      </c>
      <c r="X34" s="210">
        <f t="shared" si="21"/>
        <v>1682</v>
      </c>
      <c r="Y34" s="467">
        <f t="shared" si="21"/>
        <v>2843</v>
      </c>
      <c r="Z34" s="216">
        <f t="shared" si="21"/>
        <v>3086</v>
      </c>
      <c r="AA34" s="210">
        <f t="shared" si="21"/>
        <v>1844</v>
      </c>
      <c r="AB34" s="210">
        <f t="shared" si="21"/>
        <v>2736</v>
      </c>
      <c r="AC34" s="210">
        <f t="shared" si="21"/>
        <v>2753</v>
      </c>
      <c r="AD34" s="467">
        <f t="shared" si="21"/>
        <v>842</v>
      </c>
      <c r="AE34" s="216">
        <f t="shared" si="21"/>
        <v>0</v>
      </c>
      <c r="AF34" s="210">
        <f t="shared" si="21"/>
        <v>0</v>
      </c>
      <c r="AG34" s="210">
        <f t="shared" si="21"/>
        <v>0</v>
      </c>
      <c r="AH34" s="210">
        <f t="shared" si="21"/>
        <v>0</v>
      </c>
      <c r="AI34" s="467">
        <f t="shared" si="21"/>
        <v>0</v>
      </c>
      <c r="AJ34" s="216">
        <f t="shared" si="21"/>
        <v>0</v>
      </c>
      <c r="AK34" s="467">
        <f t="shared" si="21"/>
        <v>0</v>
      </c>
      <c r="AL34" s="474">
        <f t="shared" si="21"/>
        <v>65993</v>
      </c>
    </row>
    <row r="35" spans="1:38" ht="15.75" thickBot="1" x14ac:dyDescent="0.3">
      <c r="A35" s="105" t="s">
        <v>23</v>
      </c>
      <c r="B35" s="612"/>
      <c r="C35" s="216">
        <f>AVERAGE(C27:C33)</f>
        <v>418.85714285714283</v>
      </c>
      <c r="D35" s="210">
        <f t="shared" ref="D35:AL35" si="22">AVERAGE(D27:D33)</f>
        <v>446</v>
      </c>
      <c r="E35" s="210">
        <f t="shared" si="22"/>
        <v>253.85714285714286</v>
      </c>
      <c r="F35" s="210">
        <f t="shared" si="22"/>
        <v>444.71428571428572</v>
      </c>
      <c r="G35" s="210">
        <f t="shared" si="22"/>
        <v>250.71428571428572</v>
      </c>
      <c r="H35" s="210">
        <f t="shared" si="22"/>
        <v>404.85714285714283</v>
      </c>
      <c r="I35" s="467">
        <f t="shared" si="22"/>
        <v>735.14285714285711</v>
      </c>
      <c r="J35" s="216">
        <f t="shared" si="22"/>
        <v>729.28571428571433</v>
      </c>
      <c r="K35" s="210">
        <f t="shared" si="22"/>
        <v>199.28571428571428</v>
      </c>
      <c r="L35" s="467">
        <f t="shared" si="22"/>
        <v>672.71428571428567</v>
      </c>
      <c r="M35" s="216">
        <f t="shared" si="22"/>
        <v>289</v>
      </c>
      <c r="N35" s="210">
        <f t="shared" si="22"/>
        <v>151.28571428571428</v>
      </c>
      <c r="O35" s="210">
        <f t="shared" si="22"/>
        <v>171</v>
      </c>
      <c r="P35" s="210">
        <f t="shared" si="22"/>
        <v>81.428571428571431</v>
      </c>
      <c r="Q35" s="210">
        <f t="shared" si="22"/>
        <v>80.714285714285708</v>
      </c>
      <c r="R35" s="210">
        <f t="shared" si="22"/>
        <v>272.85714285714283</v>
      </c>
      <c r="S35" s="467">
        <f t="shared" si="22"/>
        <v>117.42857142857143</v>
      </c>
      <c r="T35" s="216">
        <f t="shared" si="22"/>
        <v>385</v>
      </c>
      <c r="U35" s="210">
        <f t="shared" si="22"/>
        <v>136</v>
      </c>
      <c r="V35" s="210">
        <f t="shared" si="22"/>
        <v>499.42857142857144</v>
      </c>
      <c r="W35" s="210">
        <f t="shared" si="22"/>
        <v>432.85714285714283</v>
      </c>
      <c r="X35" s="210">
        <f t="shared" si="22"/>
        <v>240.28571428571428</v>
      </c>
      <c r="Y35" s="467">
        <f t="shared" si="22"/>
        <v>406.14285714285717</v>
      </c>
      <c r="Z35" s="216">
        <f t="shared" si="22"/>
        <v>440.85714285714283</v>
      </c>
      <c r="AA35" s="210">
        <f t="shared" si="22"/>
        <v>263.42857142857144</v>
      </c>
      <c r="AB35" s="210">
        <f t="shared" si="22"/>
        <v>390.85714285714283</v>
      </c>
      <c r="AC35" s="210">
        <f t="shared" si="22"/>
        <v>393.28571428571428</v>
      </c>
      <c r="AD35" s="467">
        <f t="shared" si="22"/>
        <v>120.28571428571429</v>
      </c>
      <c r="AE35" s="216" t="e">
        <f t="shared" si="22"/>
        <v>#DIV/0!</v>
      </c>
      <c r="AF35" s="210" t="e">
        <f t="shared" si="22"/>
        <v>#DIV/0!</v>
      </c>
      <c r="AG35" s="210" t="e">
        <f t="shared" si="22"/>
        <v>#DIV/0!</v>
      </c>
      <c r="AH35" s="210" t="e">
        <f t="shared" si="22"/>
        <v>#DIV/0!</v>
      </c>
      <c r="AI35" s="467" t="e">
        <f t="shared" si="22"/>
        <v>#DIV/0!</v>
      </c>
      <c r="AJ35" s="216" t="e">
        <f t="shared" si="22"/>
        <v>#DIV/0!</v>
      </c>
      <c r="AK35" s="467" t="e">
        <f t="shared" si="22"/>
        <v>#DIV/0!</v>
      </c>
      <c r="AL35" s="474">
        <f t="shared" si="22"/>
        <v>9427.5714285714294</v>
      </c>
    </row>
    <row r="36" spans="1:38" ht="15.75" thickBot="1" x14ac:dyDescent="0.3">
      <c r="A36" s="26" t="s">
        <v>20</v>
      </c>
      <c r="B36" s="612"/>
      <c r="C36" s="217">
        <f>SUM(C27:C31)</f>
        <v>1686</v>
      </c>
      <c r="D36" s="211">
        <f t="shared" ref="D36:AL36" si="23">SUM(D27:D31)</f>
        <v>1088</v>
      </c>
      <c r="E36" s="211">
        <f t="shared" si="23"/>
        <v>1204</v>
      </c>
      <c r="F36" s="211">
        <f t="shared" si="23"/>
        <v>1807</v>
      </c>
      <c r="G36" s="211">
        <f t="shared" si="23"/>
        <v>1150</v>
      </c>
      <c r="H36" s="211">
        <f t="shared" si="23"/>
        <v>1569</v>
      </c>
      <c r="I36" s="469">
        <f t="shared" si="23"/>
        <v>3203</v>
      </c>
      <c r="J36" s="217">
        <f t="shared" si="23"/>
        <v>2687</v>
      </c>
      <c r="K36" s="211">
        <f t="shared" si="23"/>
        <v>850</v>
      </c>
      <c r="L36" s="469">
        <f t="shared" si="23"/>
        <v>2522</v>
      </c>
      <c r="M36" s="217">
        <f t="shared" si="23"/>
        <v>1108</v>
      </c>
      <c r="N36" s="211">
        <f t="shared" si="23"/>
        <v>401</v>
      </c>
      <c r="O36" s="211">
        <f t="shared" si="23"/>
        <v>689</v>
      </c>
      <c r="P36" s="211">
        <f t="shared" si="23"/>
        <v>262</v>
      </c>
      <c r="Q36" s="211">
        <f t="shared" si="23"/>
        <v>289</v>
      </c>
      <c r="R36" s="211">
        <f t="shared" si="23"/>
        <v>982</v>
      </c>
      <c r="S36" s="469">
        <f t="shared" si="23"/>
        <v>425</v>
      </c>
      <c r="T36" s="217">
        <f t="shared" si="23"/>
        <v>1416</v>
      </c>
      <c r="U36" s="211">
        <f t="shared" si="23"/>
        <v>626</v>
      </c>
      <c r="V36" s="211">
        <f t="shared" si="23"/>
        <v>2269</v>
      </c>
      <c r="W36" s="211">
        <f t="shared" si="23"/>
        <v>1764</v>
      </c>
      <c r="X36" s="211">
        <f t="shared" si="23"/>
        <v>900</v>
      </c>
      <c r="Y36" s="469">
        <f t="shared" si="23"/>
        <v>1660</v>
      </c>
      <c r="Z36" s="217">
        <f t="shared" si="23"/>
        <v>1638</v>
      </c>
      <c r="AA36" s="211">
        <f t="shared" si="23"/>
        <v>1138</v>
      </c>
      <c r="AB36" s="211">
        <f t="shared" si="23"/>
        <v>1392</v>
      </c>
      <c r="AC36" s="211">
        <f t="shared" si="23"/>
        <v>1808</v>
      </c>
      <c r="AD36" s="469">
        <f t="shared" si="23"/>
        <v>489</v>
      </c>
      <c r="AE36" s="217">
        <f t="shared" si="23"/>
        <v>0</v>
      </c>
      <c r="AF36" s="211">
        <f t="shared" si="23"/>
        <v>0</v>
      </c>
      <c r="AG36" s="211">
        <f t="shared" si="23"/>
        <v>0</v>
      </c>
      <c r="AH36" s="211">
        <f t="shared" si="23"/>
        <v>0</v>
      </c>
      <c r="AI36" s="469">
        <f t="shared" si="23"/>
        <v>0</v>
      </c>
      <c r="AJ36" s="217">
        <f t="shared" si="23"/>
        <v>0</v>
      </c>
      <c r="AK36" s="469">
        <f t="shared" si="23"/>
        <v>0</v>
      </c>
      <c r="AL36" s="489">
        <f t="shared" si="23"/>
        <v>37022</v>
      </c>
    </row>
    <row r="37" spans="1:38" ht="15.75" thickBot="1" x14ac:dyDescent="0.3">
      <c r="A37" s="26" t="s">
        <v>22</v>
      </c>
      <c r="B37" s="612"/>
      <c r="C37" s="217">
        <f>AVERAGE(C27:C31)</f>
        <v>337.2</v>
      </c>
      <c r="D37" s="211">
        <f t="shared" ref="D37:AL37" si="24">AVERAGE(D27:D31)</f>
        <v>217.6</v>
      </c>
      <c r="E37" s="211">
        <f t="shared" si="24"/>
        <v>240.8</v>
      </c>
      <c r="F37" s="211">
        <f t="shared" si="24"/>
        <v>361.4</v>
      </c>
      <c r="G37" s="211">
        <f t="shared" si="24"/>
        <v>230</v>
      </c>
      <c r="H37" s="211">
        <f t="shared" si="24"/>
        <v>313.8</v>
      </c>
      <c r="I37" s="469">
        <f t="shared" si="24"/>
        <v>640.6</v>
      </c>
      <c r="J37" s="217">
        <f t="shared" si="24"/>
        <v>537.4</v>
      </c>
      <c r="K37" s="211">
        <f t="shared" si="24"/>
        <v>170</v>
      </c>
      <c r="L37" s="469">
        <f t="shared" si="24"/>
        <v>504.4</v>
      </c>
      <c r="M37" s="217">
        <f t="shared" si="24"/>
        <v>221.6</v>
      </c>
      <c r="N37" s="211">
        <f t="shared" si="24"/>
        <v>80.2</v>
      </c>
      <c r="O37" s="211">
        <f t="shared" si="24"/>
        <v>137.80000000000001</v>
      </c>
      <c r="P37" s="211">
        <f t="shared" si="24"/>
        <v>52.4</v>
      </c>
      <c r="Q37" s="211">
        <f t="shared" si="24"/>
        <v>57.8</v>
      </c>
      <c r="R37" s="211">
        <f t="shared" si="24"/>
        <v>196.4</v>
      </c>
      <c r="S37" s="469">
        <f t="shared" si="24"/>
        <v>85</v>
      </c>
      <c r="T37" s="217">
        <f t="shared" si="24"/>
        <v>283.2</v>
      </c>
      <c r="U37" s="211">
        <f t="shared" si="24"/>
        <v>125.2</v>
      </c>
      <c r="V37" s="211">
        <f t="shared" si="24"/>
        <v>453.8</v>
      </c>
      <c r="W37" s="211">
        <f t="shared" si="24"/>
        <v>352.8</v>
      </c>
      <c r="X37" s="211">
        <f t="shared" si="24"/>
        <v>180</v>
      </c>
      <c r="Y37" s="469">
        <f t="shared" si="24"/>
        <v>332</v>
      </c>
      <c r="Z37" s="217">
        <f t="shared" si="24"/>
        <v>327.60000000000002</v>
      </c>
      <c r="AA37" s="211">
        <f t="shared" si="24"/>
        <v>227.6</v>
      </c>
      <c r="AB37" s="211">
        <f t="shared" si="24"/>
        <v>278.39999999999998</v>
      </c>
      <c r="AC37" s="211">
        <f t="shared" si="24"/>
        <v>361.6</v>
      </c>
      <c r="AD37" s="469">
        <f t="shared" si="24"/>
        <v>97.8</v>
      </c>
      <c r="AE37" s="217" t="e">
        <f t="shared" si="24"/>
        <v>#DIV/0!</v>
      </c>
      <c r="AF37" s="211" t="e">
        <f t="shared" si="24"/>
        <v>#DIV/0!</v>
      </c>
      <c r="AG37" s="211" t="e">
        <f t="shared" si="24"/>
        <v>#DIV/0!</v>
      </c>
      <c r="AH37" s="211" t="e">
        <f t="shared" si="24"/>
        <v>#DIV/0!</v>
      </c>
      <c r="AI37" s="469" t="e">
        <f t="shared" si="24"/>
        <v>#DIV/0!</v>
      </c>
      <c r="AJ37" s="217" t="e">
        <f t="shared" si="24"/>
        <v>#DIV/0!</v>
      </c>
      <c r="AK37" s="469" t="e">
        <f t="shared" si="24"/>
        <v>#DIV/0!</v>
      </c>
      <c r="AL37" s="489">
        <f t="shared" si="24"/>
        <v>7404.4</v>
      </c>
    </row>
    <row r="38" spans="1:38" x14ac:dyDescent="0.25">
      <c r="A38" s="145" t="s">
        <v>3</v>
      </c>
      <c r="B38" s="223">
        <f>B33+1</f>
        <v>44004</v>
      </c>
      <c r="C38" s="254">
        <v>329</v>
      </c>
      <c r="D38" s="203">
        <v>267</v>
      </c>
      <c r="E38" s="203">
        <v>229</v>
      </c>
      <c r="F38" s="203">
        <v>345</v>
      </c>
      <c r="G38" s="255">
        <v>250</v>
      </c>
      <c r="H38" s="203">
        <v>272</v>
      </c>
      <c r="I38" s="212">
        <v>686</v>
      </c>
      <c r="J38" s="215">
        <v>763</v>
      </c>
      <c r="K38" s="203">
        <v>197</v>
      </c>
      <c r="L38" s="212">
        <v>788</v>
      </c>
      <c r="M38" s="215">
        <v>205</v>
      </c>
      <c r="N38" s="203">
        <v>105</v>
      </c>
      <c r="O38" s="203">
        <v>112</v>
      </c>
      <c r="P38" s="203">
        <v>48</v>
      </c>
      <c r="Q38" s="203">
        <v>48</v>
      </c>
      <c r="R38" s="203">
        <v>169</v>
      </c>
      <c r="S38" s="212">
        <v>62</v>
      </c>
      <c r="T38" s="215">
        <v>292</v>
      </c>
      <c r="U38" s="203">
        <v>121</v>
      </c>
      <c r="V38" s="203">
        <v>483</v>
      </c>
      <c r="W38" s="203">
        <v>359</v>
      </c>
      <c r="X38" s="203">
        <v>156</v>
      </c>
      <c r="Y38" s="212">
        <v>327</v>
      </c>
      <c r="Z38" s="215">
        <v>309</v>
      </c>
      <c r="AA38" s="178">
        <v>224</v>
      </c>
      <c r="AB38" s="203">
        <v>269</v>
      </c>
      <c r="AC38" s="203">
        <v>360</v>
      </c>
      <c r="AD38" s="212">
        <v>95</v>
      </c>
      <c r="AE38" s="215"/>
      <c r="AF38" s="203"/>
      <c r="AG38" s="203"/>
      <c r="AH38" s="203"/>
      <c r="AI38" s="212"/>
      <c r="AJ38" s="215"/>
      <c r="AK38" s="212"/>
      <c r="AL38" s="512">
        <f>SUM(C38:AK38)</f>
        <v>7870</v>
      </c>
    </row>
    <row r="39" spans="1:38" x14ac:dyDescent="0.25">
      <c r="A39" s="145" t="s">
        <v>4</v>
      </c>
      <c r="B39" s="223">
        <f t="shared" ref="B39:B44" si="25">B38+1</f>
        <v>44005</v>
      </c>
      <c r="C39" s="254">
        <v>343</v>
      </c>
      <c r="D39" s="203">
        <v>379</v>
      </c>
      <c r="E39" s="203">
        <v>244</v>
      </c>
      <c r="F39" s="203">
        <v>363</v>
      </c>
      <c r="G39" s="255">
        <v>266</v>
      </c>
      <c r="H39" s="203">
        <v>363</v>
      </c>
      <c r="I39" s="212">
        <v>742</v>
      </c>
      <c r="J39" s="215">
        <v>802</v>
      </c>
      <c r="K39" s="203">
        <v>187</v>
      </c>
      <c r="L39" s="212">
        <v>754</v>
      </c>
      <c r="M39" s="215">
        <v>229</v>
      </c>
      <c r="N39" s="203">
        <v>138</v>
      </c>
      <c r="O39" s="203">
        <v>104</v>
      </c>
      <c r="P39" s="203">
        <v>70</v>
      </c>
      <c r="Q39" s="203">
        <v>73</v>
      </c>
      <c r="R39" s="203">
        <v>179</v>
      </c>
      <c r="S39" s="212">
        <v>85</v>
      </c>
      <c r="T39" s="215">
        <v>273</v>
      </c>
      <c r="U39" s="203">
        <v>122</v>
      </c>
      <c r="V39" s="203">
        <v>516</v>
      </c>
      <c r="W39" s="203">
        <v>358</v>
      </c>
      <c r="X39" s="203">
        <v>157</v>
      </c>
      <c r="Y39" s="212">
        <v>380</v>
      </c>
      <c r="Z39" s="215">
        <v>391</v>
      </c>
      <c r="AA39" s="178">
        <v>267</v>
      </c>
      <c r="AB39" s="203">
        <v>298</v>
      </c>
      <c r="AC39" s="203">
        <v>414</v>
      </c>
      <c r="AD39" s="212">
        <v>101</v>
      </c>
      <c r="AE39" s="215"/>
      <c r="AF39" s="203"/>
      <c r="AG39" s="203"/>
      <c r="AH39" s="203"/>
      <c r="AI39" s="212"/>
      <c r="AJ39" s="215"/>
      <c r="AK39" s="212"/>
      <c r="AL39" s="512">
        <f t="shared" ref="AL39:AL44" si="26">SUM(C39:AK39)</f>
        <v>8598</v>
      </c>
    </row>
    <row r="40" spans="1:38" x14ac:dyDescent="0.25">
      <c r="A40" s="145" t="s">
        <v>5</v>
      </c>
      <c r="B40" s="223">
        <f t="shared" si="25"/>
        <v>44006</v>
      </c>
      <c r="C40" s="254">
        <v>399</v>
      </c>
      <c r="D40" s="203">
        <v>350</v>
      </c>
      <c r="E40" s="203">
        <v>337</v>
      </c>
      <c r="F40" s="203">
        <v>336</v>
      </c>
      <c r="G40" s="255">
        <v>297</v>
      </c>
      <c r="H40" s="203">
        <v>346</v>
      </c>
      <c r="I40" s="212">
        <v>687</v>
      </c>
      <c r="J40" s="215">
        <v>652</v>
      </c>
      <c r="K40" s="203">
        <v>180</v>
      </c>
      <c r="L40" s="212">
        <v>658</v>
      </c>
      <c r="M40" s="215">
        <v>225</v>
      </c>
      <c r="N40" s="203">
        <v>113</v>
      </c>
      <c r="O40" s="203">
        <v>145</v>
      </c>
      <c r="P40" s="203">
        <v>62</v>
      </c>
      <c r="Q40" s="203">
        <v>90</v>
      </c>
      <c r="R40" s="203">
        <v>223</v>
      </c>
      <c r="S40" s="212">
        <v>93</v>
      </c>
      <c r="T40" s="215">
        <v>280</v>
      </c>
      <c r="U40" s="203">
        <v>134</v>
      </c>
      <c r="V40" s="203">
        <v>505</v>
      </c>
      <c r="W40" s="203">
        <v>347</v>
      </c>
      <c r="X40" s="203">
        <v>159</v>
      </c>
      <c r="Y40" s="212">
        <v>354</v>
      </c>
      <c r="Z40" s="215">
        <v>403</v>
      </c>
      <c r="AA40" s="178">
        <v>242</v>
      </c>
      <c r="AB40" s="203">
        <v>350</v>
      </c>
      <c r="AC40" s="203">
        <v>399</v>
      </c>
      <c r="AD40" s="212">
        <v>66</v>
      </c>
      <c r="AE40" s="215"/>
      <c r="AF40" s="203"/>
      <c r="AG40" s="203"/>
      <c r="AH40" s="203"/>
      <c r="AI40" s="212"/>
      <c r="AJ40" s="215"/>
      <c r="AK40" s="212"/>
      <c r="AL40" s="512">
        <f t="shared" si="26"/>
        <v>8432</v>
      </c>
    </row>
    <row r="41" spans="1:38" x14ac:dyDescent="0.25">
      <c r="A41" s="145" t="s">
        <v>6</v>
      </c>
      <c r="B41" s="223">
        <f t="shared" si="25"/>
        <v>44007</v>
      </c>
      <c r="C41" s="254">
        <v>359</v>
      </c>
      <c r="D41" s="203">
        <v>402</v>
      </c>
      <c r="E41" s="203">
        <v>334</v>
      </c>
      <c r="F41" s="203">
        <v>389</v>
      </c>
      <c r="G41" s="255">
        <v>279</v>
      </c>
      <c r="H41" s="203">
        <v>373</v>
      </c>
      <c r="I41" s="212">
        <v>785</v>
      </c>
      <c r="J41" s="215">
        <v>681</v>
      </c>
      <c r="K41" s="203">
        <v>206</v>
      </c>
      <c r="L41" s="212">
        <v>708</v>
      </c>
      <c r="M41" s="215">
        <v>223</v>
      </c>
      <c r="N41" s="203">
        <v>140</v>
      </c>
      <c r="O41" s="203">
        <v>132</v>
      </c>
      <c r="P41" s="203">
        <v>69</v>
      </c>
      <c r="Q41" s="203">
        <v>115</v>
      </c>
      <c r="R41" s="203">
        <v>202</v>
      </c>
      <c r="S41" s="212">
        <v>56</v>
      </c>
      <c r="T41" s="215">
        <v>307</v>
      </c>
      <c r="U41" s="203">
        <v>156</v>
      </c>
      <c r="V41" s="203">
        <v>530</v>
      </c>
      <c r="W41" s="203">
        <v>412</v>
      </c>
      <c r="X41" s="203">
        <v>196</v>
      </c>
      <c r="Y41" s="212">
        <v>381</v>
      </c>
      <c r="Z41" s="215">
        <v>381</v>
      </c>
      <c r="AA41" s="178">
        <v>273</v>
      </c>
      <c r="AB41" s="203">
        <v>353</v>
      </c>
      <c r="AC41" s="203">
        <v>424</v>
      </c>
      <c r="AD41" s="212">
        <v>105</v>
      </c>
      <c r="AE41" s="215"/>
      <c r="AF41" s="203"/>
      <c r="AG41" s="203"/>
      <c r="AH41" s="203"/>
      <c r="AI41" s="212"/>
      <c r="AJ41" s="215"/>
      <c r="AK41" s="212"/>
      <c r="AL41" s="512">
        <f t="shared" si="26"/>
        <v>8971</v>
      </c>
    </row>
    <row r="42" spans="1:38" x14ac:dyDescent="0.25">
      <c r="A42" s="145" t="s">
        <v>0</v>
      </c>
      <c r="B42" s="223">
        <f t="shared" si="25"/>
        <v>44008</v>
      </c>
      <c r="C42" s="254">
        <v>525</v>
      </c>
      <c r="D42" s="203">
        <v>639</v>
      </c>
      <c r="E42" s="203">
        <v>533</v>
      </c>
      <c r="F42" s="203">
        <v>503</v>
      </c>
      <c r="G42" s="255">
        <v>320</v>
      </c>
      <c r="H42" s="203">
        <v>415</v>
      </c>
      <c r="I42" s="212">
        <v>874</v>
      </c>
      <c r="J42" s="215">
        <v>1185</v>
      </c>
      <c r="K42" s="203">
        <v>303</v>
      </c>
      <c r="L42" s="212">
        <v>1053</v>
      </c>
      <c r="M42" s="215">
        <v>319</v>
      </c>
      <c r="N42" s="203">
        <v>181</v>
      </c>
      <c r="O42" s="203">
        <v>160</v>
      </c>
      <c r="P42" s="203">
        <v>92</v>
      </c>
      <c r="Q42" s="203">
        <v>114</v>
      </c>
      <c r="R42" s="203">
        <v>296</v>
      </c>
      <c r="S42" s="212">
        <v>112</v>
      </c>
      <c r="T42" s="215">
        <v>389</v>
      </c>
      <c r="U42" s="203">
        <v>125</v>
      </c>
      <c r="V42" s="203">
        <v>567</v>
      </c>
      <c r="W42" s="203">
        <v>497</v>
      </c>
      <c r="X42" s="203">
        <v>246</v>
      </c>
      <c r="Y42" s="212">
        <v>425</v>
      </c>
      <c r="Z42" s="215">
        <v>514</v>
      </c>
      <c r="AA42" s="178">
        <v>270</v>
      </c>
      <c r="AB42" s="203">
        <v>466</v>
      </c>
      <c r="AC42" s="203">
        <v>463</v>
      </c>
      <c r="AD42" s="212">
        <v>135</v>
      </c>
      <c r="AE42" s="215"/>
      <c r="AF42" s="203"/>
      <c r="AG42" s="203"/>
      <c r="AH42" s="203"/>
      <c r="AI42" s="212"/>
      <c r="AJ42" s="215"/>
      <c r="AK42" s="212"/>
      <c r="AL42" s="512">
        <f>SUM(C42:AK42)</f>
        <v>11721</v>
      </c>
    </row>
    <row r="43" spans="1:38" x14ac:dyDescent="0.25">
      <c r="A43" s="145" t="s">
        <v>1</v>
      </c>
      <c r="B43" s="223">
        <f t="shared" si="25"/>
        <v>44009</v>
      </c>
      <c r="C43" s="254">
        <v>402</v>
      </c>
      <c r="D43" s="203">
        <v>465</v>
      </c>
      <c r="E43" s="203">
        <v>133</v>
      </c>
      <c r="F43" s="203">
        <v>453</v>
      </c>
      <c r="G43" s="255">
        <v>208</v>
      </c>
      <c r="H43" s="203">
        <v>297</v>
      </c>
      <c r="I43" s="212">
        <v>601</v>
      </c>
      <c r="J43" s="215">
        <v>449</v>
      </c>
      <c r="K43" s="203">
        <v>122</v>
      </c>
      <c r="L43" s="212">
        <v>487</v>
      </c>
      <c r="M43" s="215">
        <v>201</v>
      </c>
      <c r="N43" s="203">
        <v>113</v>
      </c>
      <c r="O43" s="203">
        <v>100</v>
      </c>
      <c r="P43" s="203">
        <v>99</v>
      </c>
      <c r="Q43" s="203">
        <v>77</v>
      </c>
      <c r="R43" s="203">
        <v>126</v>
      </c>
      <c r="S43" s="212">
        <v>128</v>
      </c>
      <c r="T43" s="215">
        <v>298</v>
      </c>
      <c r="U43" s="203">
        <v>86</v>
      </c>
      <c r="V43" s="203">
        <v>392</v>
      </c>
      <c r="W43" s="203">
        <v>417</v>
      </c>
      <c r="X43" s="203">
        <v>203</v>
      </c>
      <c r="Y43" s="212">
        <v>292</v>
      </c>
      <c r="Z43" s="215">
        <v>296</v>
      </c>
      <c r="AA43" s="178">
        <v>169</v>
      </c>
      <c r="AB43" s="203">
        <v>368</v>
      </c>
      <c r="AC43" s="203">
        <v>307</v>
      </c>
      <c r="AD43" s="212">
        <v>74</v>
      </c>
      <c r="AE43" s="215"/>
      <c r="AF43" s="203"/>
      <c r="AG43" s="203"/>
      <c r="AH43" s="203"/>
      <c r="AI43" s="212"/>
      <c r="AJ43" s="215"/>
      <c r="AK43" s="212"/>
      <c r="AL43" s="512">
        <f t="shared" si="26"/>
        <v>7363</v>
      </c>
    </row>
    <row r="44" spans="1:38" ht="15.75" thickBot="1" x14ac:dyDescent="0.3">
      <c r="A44" s="145" t="s">
        <v>2</v>
      </c>
      <c r="B44" s="223">
        <f t="shared" si="25"/>
        <v>44010</v>
      </c>
      <c r="C44" s="254">
        <v>817</v>
      </c>
      <c r="D44" s="203">
        <v>1040</v>
      </c>
      <c r="E44" s="203">
        <v>506</v>
      </c>
      <c r="F44" s="203">
        <v>736</v>
      </c>
      <c r="G44" s="255">
        <v>373</v>
      </c>
      <c r="H44" s="203">
        <v>679</v>
      </c>
      <c r="I44" s="212">
        <v>1018</v>
      </c>
      <c r="J44" s="215">
        <v>1158</v>
      </c>
      <c r="K44" s="203">
        <v>342</v>
      </c>
      <c r="L44" s="212">
        <v>1323</v>
      </c>
      <c r="M44" s="215">
        <v>516</v>
      </c>
      <c r="N44" s="203">
        <v>351</v>
      </c>
      <c r="O44" s="203">
        <v>393</v>
      </c>
      <c r="P44" s="203">
        <v>147</v>
      </c>
      <c r="Q44" s="203">
        <v>327</v>
      </c>
      <c r="R44" s="203">
        <v>485</v>
      </c>
      <c r="S44" s="212">
        <v>288</v>
      </c>
      <c r="T44" s="215">
        <v>658</v>
      </c>
      <c r="U44" s="203">
        <v>122</v>
      </c>
      <c r="V44" s="203">
        <v>553</v>
      </c>
      <c r="W44" s="203">
        <v>668</v>
      </c>
      <c r="X44" s="203">
        <v>408</v>
      </c>
      <c r="Y44" s="212">
        <v>551</v>
      </c>
      <c r="Z44" s="215">
        <v>675</v>
      </c>
      <c r="AA44" s="178">
        <v>288</v>
      </c>
      <c r="AB44" s="203">
        <v>645</v>
      </c>
      <c r="AC44" s="203">
        <v>559</v>
      </c>
      <c r="AD44" s="212">
        <v>126</v>
      </c>
      <c r="AE44" s="215"/>
      <c r="AF44" s="203"/>
      <c r="AG44" s="203"/>
      <c r="AH44" s="203"/>
      <c r="AI44" s="212"/>
      <c r="AJ44" s="215"/>
      <c r="AK44" s="212"/>
      <c r="AL44" s="512">
        <f t="shared" si="26"/>
        <v>15752</v>
      </c>
    </row>
    <row r="45" spans="1:38" ht="15.75" thickBot="1" x14ac:dyDescent="0.3">
      <c r="A45" s="153" t="s">
        <v>21</v>
      </c>
      <c r="B45" s="612" t="s">
        <v>27</v>
      </c>
      <c r="C45" s="216">
        <f>SUM(C38:C44)</f>
        <v>3174</v>
      </c>
      <c r="D45" s="210">
        <f t="shared" ref="D45:AL45" si="27">SUM(D38:D44)</f>
        <v>3542</v>
      </c>
      <c r="E45" s="210">
        <f t="shared" si="27"/>
        <v>2316</v>
      </c>
      <c r="F45" s="210">
        <f t="shared" si="27"/>
        <v>3125</v>
      </c>
      <c r="G45" s="210">
        <f t="shared" si="27"/>
        <v>1993</v>
      </c>
      <c r="H45" s="210">
        <f t="shared" si="27"/>
        <v>2745</v>
      </c>
      <c r="I45" s="467">
        <f t="shared" si="27"/>
        <v>5393</v>
      </c>
      <c r="J45" s="216">
        <f t="shared" si="27"/>
        <v>5690</v>
      </c>
      <c r="K45" s="210">
        <f t="shared" si="27"/>
        <v>1537</v>
      </c>
      <c r="L45" s="467">
        <f t="shared" si="27"/>
        <v>5771</v>
      </c>
      <c r="M45" s="216">
        <f t="shared" si="27"/>
        <v>1918</v>
      </c>
      <c r="N45" s="210">
        <f t="shared" si="27"/>
        <v>1141</v>
      </c>
      <c r="O45" s="210">
        <f t="shared" si="27"/>
        <v>1146</v>
      </c>
      <c r="P45" s="210">
        <f t="shared" si="27"/>
        <v>587</v>
      </c>
      <c r="Q45" s="210">
        <f t="shared" si="27"/>
        <v>844</v>
      </c>
      <c r="R45" s="210">
        <f t="shared" si="27"/>
        <v>1680</v>
      </c>
      <c r="S45" s="467">
        <f t="shared" si="27"/>
        <v>824</v>
      </c>
      <c r="T45" s="216">
        <f t="shared" si="27"/>
        <v>2497</v>
      </c>
      <c r="U45" s="210">
        <f t="shared" si="27"/>
        <v>866</v>
      </c>
      <c r="V45" s="210">
        <f t="shared" si="27"/>
        <v>3546</v>
      </c>
      <c r="W45" s="210">
        <f t="shared" si="27"/>
        <v>3058</v>
      </c>
      <c r="X45" s="210">
        <f t="shared" si="27"/>
        <v>1525</v>
      </c>
      <c r="Y45" s="467">
        <f t="shared" si="27"/>
        <v>2710</v>
      </c>
      <c r="Z45" s="216">
        <f t="shared" si="27"/>
        <v>2969</v>
      </c>
      <c r="AA45" s="210">
        <f t="shared" si="27"/>
        <v>1733</v>
      </c>
      <c r="AB45" s="210">
        <f t="shared" si="27"/>
        <v>2749</v>
      </c>
      <c r="AC45" s="210">
        <f t="shared" si="27"/>
        <v>2926</v>
      </c>
      <c r="AD45" s="467">
        <f t="shared" si="27"/>
        <v>702</v>
      </c>
      <c r="AE45" s="216">
        <f t="shared" si="27"/>
        <v>0</v>
      </c>
      <c r="AF45" s="210">
        <f t="shared" si="27"/>
        <v>0</v>
      </c>
      <c r="AG45" s="210">
        <f t="shared" si="27"/>
        <v>0</v>
      </c>
      <c r="AH45" s="210">
        <f t="shared" si="27"/>
        <v>0</v>
      </c>
      <c r="AI45" s="467">
        <f t="shared" si="27"/>
        <v>0</v>
      </c>
      <c r="AJ45" s="216">
        <f t="shared" si="27"/>
        <v>0</v>
      </c>
      <c r="AK45" s="467">
        <f t="shared" si="27"/>
        <v>0</v>
      </c>
      <c r="AL45" s="474">
        <f t="shared" si="27"/>
        <v>68707</v>
      </c>
    </row>
    <row r="46" spans="1:38" ht="15.75" thickBot="1" x14ac:dyDescent="0.3">
      <c r="A46" s="105" t="s">
        <v>23</v>
      </c>
      <c r="B46" s="612"/>
      <c r="C46" s="216">
        <f>AVERAGE(C38:C44)</f>
        <v>453.42857142857144</v>
      </c>
      <c r="D46" s="210">
        <f t="shared" ref="D46:AL46" si="28">AVERAGE(D38:D44)</f>
        <v>506</v>
      </c>
      <c r="E46" s="210">
        <f t="shared" si="28"/>
        <v>330.85714285714283</v>
      </c>
      <c r="F46" s="210">
        <f t="shared" si="28"/>
        <v>446.42857142857144</v>
      </c>
      <c r="G46" s="210">
        <f t="shared" si="28"/>
        <v>284.71428571428572</v>
      </c>
      <c r="H46" s="210">
        <f t="shared" si="28"/>
        <v>392.14285714285717</v>
      </c>
      <c r="I46" s="467">
        <f t="shared" si="28"/>
        <v>770.42857142857144</v>
      </c>
      <c r="J46" s="216">
        <f t="shared" si="28"/>
        <v>812.85714285714289</v>
      </c>
      <c r="K46" s="210">
        <f t="shared" si="28"/>
        <v>219.57142857142858</v>
      </c>
      <c r="L46" s="467">
        <f t="shared" si="28"/>
        <v>824.42857142857144</v>
      </c>
      <c r="M46" s="216">
        <f t="shared" si="28"/>
        <v>274</v>
      </c>
      <c r="N46" s="210">
        <f t="shared" si="28"/>
        <v>163</v>
      </c>
      <c r="O46" s="210">
        <f t="shared" si="28"/>
        <v>163.71428571428572</v>
      </c>
      <c r="P46" s="210">
        <f t="shared" si="28"/>
        <v>83.857142857142861</v>
      </c>
      <c r="Q46" s="210">
        <f t="shared" si="28"/>
        <v>120.57142857142857</v>
      </c>
      <c r="R46" s="210">
        <f t="shared" si="28"/>
        <v>240</v>
      </c>
      <c r="S46" s="467">
        <f t="shared" si="28"/>
        <v>117.71428571428571</v>
      </c>
      <c r="T46" s="216">
        <f t="shared" si="28"/>
        <v>356.71428571428572</v>
      </c>
      <c r="U46" s="210">
        <f t="shared" si="28"/>
        <v>123.71428571428571</v>
      </c>
      <c r="V46" s="210">
        <f t="shared" si="28"/>
        <v>506.57142857142856</v>
      </c>
      <c r="W46" s="210">
        <f t="shared" si="28"/>
        <v>436.85714285714283</v>
      </c>
      <c r="X46" s="210">
        <f t="shared" si="28"/>
        <v>217.85714285714286</v>
      </c>
      <c r="Y46" s="467">
        <f t="shared" si="28"/>
        <v>387.14285714285717</v>
      </c>
      <c r="Z46" s="216">
        <f t="shared" si="28"/>
        <v>424.14285714285717</v>
      </c>
      <c r="AA46" s="210">
        <f t="shared" si="28"/>
        <v>247.57142857142858</v>
      </c>
      <c r="AB46" s="210">
        <f t="shared" si="28"/>
        <v>392.71428571428572</v>
      </c>
      <c r="AC46" s="210">
        <f t="shared" si="28"/>
        <v>418</v>
      </c>
      <c r="AD46" s="467">
        <f t="shared" si="28"/>
        <v>100.28571428571429</v>
      </c>
      <c r="AE46" s="216" t="e">
        <f t="shared" si="28"/>
        <v>#DIV/0!</v>
      </c>
      <c r="AF46" s="210" t="e">
        <f t="shared" si="28"/>
        <v>#DIV/0!</v>
      </c>
      <c r="AG46" s="210" t="e">
        <f t="shared" si="28"/>
        <v>#DIV/0!</v>
      </c>
      <c r="AH46" s="210" t="e">
        <f t="shared" si="28"/>
        <v>#DIV/0!</v>
      </c>
      <c r="AI46" s="467" t="e">
        <f t="shared" si="28"/>
        <v>#DIV/0!</v>
      </c>
      <c r="AJ46" s="216" t="e">
        <f t="shared" si="28"/>
        <v>#DIV/0!</v>
      </c>
      <c r="AK46" s="467" t="e">
        <f t="shared" si="28"/>
        <v>#DIV/0!</v>
      </c>
      <c r="AL46" s="474">
        <f t="shared" si="28"/>
        <v>9815.2857142857138</v>
      </c>
    </row>
    <row r="47" spans="1:38" ht="15.75" thickBot="1" x14ac:dyDescent="0.3">
      <c r="A47" s="26" t="s">
        <v>20</v>
      </c>
      <c r="B47" s="612"/>
      <c r="C47" s="217">
        <f>SUM(C38:C42)</f>
        <v>1955</v>
      </c>
      <c r="D47" s="211">
        <f t="shared" ref="D47:AL47" si="29">SUM(D38:D42)</f>
        <v>2037</v>
      </c>
      <c r="E47" s="211">
        <f t="shared" si="29"/>
        <v>1677</v>
      </c>
      <c r="F47" s="211">
        <f t="shared" si="29"/>
        <v>1936</v>
      </c>
      <c r="G47" s="211">
        <f t="shared" si="29"/>
        <v>1412</v>
      </c>
      <c r="H47" s="211">
        <f t="shared" si="29"/>
        <v>1769</v>
      </c>
      <c r="I47" s="469">
        <f t="shared" si="29"/>
        <v>3774</v>
      </c>
      <c r="J47" s="217">
        <f t="shared" si="29"/>
        <v>4083</v>
      </c>
      <c r="K47" s="211">
        <f t="shared" si="29"/>
        <v>1073</v>
      </c>
      <c r="L47" s="469">
        <f t="shared" si="29"/>
        <v>3961</v>
      </c>
      <c r="M47" s="217">
        <f t="shared" si="29"/>
        <v>1201</v>
      </c>
      <c r="N47" s="211">
        <f t="shared" si="29"/>
        <v>677</v>
      </c>
      <c r="O47" s="211">
        <f t="shared" si="29"/>
        <v>653</v>
      </c>
      <c r="P47" s="211">
        <f t="shared" si="29"/>
        <v>341</v>
      </c>
      <c r="Q47" s="211">
        <f t="shared" si="29"/>
        <v>440</v>
      </c>
      <c r="R47" s="211">
        <f t="shared" si="29"/>
        <v>1069</v>
      </c>
      <c r="S47" s="469">
        <f t="shared" si="29"/>
        <v>408</v>
      </c>
      <c r="T47" s="217">
        <f t="shared" si="29"/>
        <v>1541</v>
      </c>
      <c r="U47" s="211">
        <f t="shared" si="29"/>
        <v>658</v>
      </c>
      <c r="V47" s="211">
        <f t="shared" si="29"/>
        <v>2601</v>
      </c>
      <c r="W47" s="211">
        <f t="shared" si="29"/>
        <v>1973</v>
      </c>
      <c r="X47" s="211">
        <f t="shared" si="29"/>
        <v>914</v>
      </c>
      <c r="Y47" s="469">
        <f t="shared" si="29"/>
        <v>1867</v>
      </c>
      <c r="Z47" s="217">
        <f t="shared" si="29"/>
        <v>1998</v>
      </c>
      <c r="AA47" s="211">
        <f t="shared" si="29"/>
        <v>1276</v>
      </c>
      <c r="AB47" s="211">
        <f t="shared" si="29"/>
        <v>1736</v>
      </c>
      <c r="AC47" s="211">
        <f t="shared" si="29"/>
        <v>2060</v>
      </c>
      <c r="AD47" s="469">
        <f t="shared" si="29"/>
        <v>502</v>
      </c>
      <c r="AE47" s="217">
        <f t="shared" si="29"/>
        <v>0</v>
      </c>
      <c r="AF47" s="211">
        <f t="shared" si="29"/>
        <v>0</v>
      </c>
      <c r="AG47" s="211">
        <f t="shared" si="29"/>
        <v>0</v>
      </c>
      <c r="AH47" s="211">
        <f t="shared" si="29"/>
        <v>0</v>
      </c>
      <c r="AI47" s="469">
        <f t="shared" si="29"/>
        <v>0</v>
      </c>
      <c r="AJ47" s="217">
        <f t="shared" si="29"/>
        <v>0</v>
      </c>
      <c r="AK47" s="469">
        <f t="shared" si="29"/>
        <v>0</v>
      </c>
      <c r="AL47" s="489">
        <f t="shared" si="29"/>
        <v>45592</v>
      </c>
    </row>
    <row r="48" spans="1:38" ht="15.75" thickBot="1" x14ac:dyDescent="0.3">
      <c r="A48" s="26" t="s">
        <v>22</v>
      </c>
      <c r="B48" s="612"/>
      <c r="C48" s="217">
        <f>AVERAGE(C38:C42)</f>
        <v>391</v>
      </c>
      <c r="D48" s="211">
        <f t="shared" ref="D48:AL48" si="30">AVERAGE(D38:D42)</f>
        <v>407.4</v>
      </c>
      <c r="E48" s="211">
        <f t="shared" si="30"/>
        <v>335.4</v>
      </c>
      <c r="F48" s="211">
        <f t="shared" si="30"/>
        <v>387.2</v>
      </c>
      <c r="G48" s="211">
        <f t="shared" si="30"/>
        <v>282.39999999999998</v>
      </c>
      <c r="H48" s="211">
        <f t="shared" si="30"/>
        <v>353.8</v>
      </c>
      <c r="I48" s="469">
        <f t="shared" si="30"/>
        <v>754.8</v>
      </c>
      <c r="J48" s="217">
        <f t="shared" si="30"/>
        <v>816.6</v>
      </c>
      <c r="K48" s="211">
        <f t="shared" si="30"/>
        <v>214.6</v>
      </c>
      <c r="L48" s="469">
        <f t="shared" si="30"/>
        <v>792.2</v>
      </c>
      <c r="M48" s="217">
        <f t="shared" si="30"/>
        <v>240.2</v>
      </c>
      <c r="N48" s="211">
        <f t="shared" si="30"/>
        <v>135.4</v>
      </c>
      <c r="O48" s="211">
        <f t="shared" si="30"/>
        <v>130.6</v>
      </c>
      <c r="P48" s="211">
        <f t="shared" si="30"/>
        <v>68.2</v>
      </c>
      <c r="Q48" s="211">
        <f t="shared" si="30"/>
        <v>88</v>
      </c>
      <c r="R48" s="211">
        <f t="shared" si="30"/>
        <v>213.8</v>
      </c>
      <c r="S48" s="469">
        <f t="shared" si="30"/>
        <v>81.599999999999994</v>
      </c>
      <c r="T48" s="217">
        <f t="shared" si="30"/>
        <v>308.2</v>
      </c>
      <c r="U48" s="211">
        <f t="shared" si="30"/>
        <v>131.6</v>
      </c>
      <c r="V48" s="211">
        <f t="shared" si="30"/>
        <v>520.20000000000005</v>
      </c>
      <c r="W48" s="211">
        <f t="shared" si="30"/>
        <v>394.6</v>
      </c>
      <c r="X48" s="211">
        <f t="shared" si="30"/>
        <v>182.8</v>
      </c>
      <c r="Y48" s="469">
        <f t="shared" si="30"/>
        <v>373.4</v>
      </c>
      <c r="Z48" s="217">
        <f t="shared" si="30"/>
        <v>399.6</v>
      </c>
      <c r="AA48" s="211">
        <f t="shared" si="30"/>
        <v>255.2</v>
      </c>
      <c r="AB48" s="211">
        <f t="shared" si="30"/>
        <v>347.2</v>
      </c>
      <c r="AC48" s="211">
        <f t="shared" si="30"/>
        <v>412</v>
      </c>
      <c r="AD48" s="469">
        <f t="shared" si="30"/>
        <v>100.4</v>
      </c>
      <c r="AE48" s="217" t="e">
        <f t="shared" si="30"/>
        <v>#DIV/0!</v>
      </c>
      <c r="AF48" s="211" t="e">
        <f t="shared" si="30"/>
        <v>#DIV/0!</v>
      </c>
      <c r="AG48" s="211" t="e">
        <f t="shared" si="30"/>
        <v>#DIV/0!</v>
      </c>
      <c r="AH48" s="211" t="e">
        <f t="shared" si="30"/>
        <v>#DIV/0!</v>
      </c>
      <c r="AI48" s="469" t="e">
        <f t="shared" si="30"/>
        <v>#DIV/0!</v>
      </c>
      <c r="AJ48" s="217" t="e">
        <f t="shared" si="30"/>
        <v>#DIV/0!</v>
      </c>
      <c r="AK48" s="469" t="e">
        <f t="shared" si="30"/>
        <v>#DIV/0!</v>
      </c>
      <c r="AL48" s="489">
        <f t="shared" si="30"/>
        <v>9118.4</v>
      </c>
    </row>
    <row r="49" spans="1:38" x14ac:dyDescent="0.25">
      <c r="A49" s="145" t="s">
        <v>3</v>
      </c>
      <c r="B49" s="223">
        <f>B44+1</f>
        <v>44011</v>
      </c>
      <c r="C49" s="254">
        <v>498</v>
      </c>
      <c r="D49" s="203">
        <v>412</v>
      </c>
      <c r="E49" s="203">
        <v>258</v>
      </c>
      <c r="F49" s="203">
        <v>450</v>
      </c>
      <c r="G49" s="255">
        <v>287</v>
      </c>
      <c r="H49" s="203">
        <v>377</v>
      </c>
      <c r="I49" s="212">
        <v>892</v>
      </c>
      <c r="J49" s="215">
        <v>1051</v>
      </c>
      <c r="K49" s="203">
        <v>295</v>
      </c>
      <c r="L49" s="212">
        <v>1070</v>
      </c>
      <c r="M49" s="215">
        <v>278</v>
      </c>
      <c r="N49" s="203">
        <v>99</v>
      </c>
      <c r="O49" s="203">
        <v>175</v>
      </c>
      <c r="P49" s="203">
        <v>69</v>
      </c>
      <c r="Q49" s="203">
        <v>77</v>
      </c>
      <c r="R49" s="203">
        <v>246</v>
      </c>
      <c r="S49" s="212">
        <v>64</v>
      </c>
      <c r="T49" s="215">
        <v>355</v>
      </c>
      <c r="U49" s="203">
        <v>143</v>
      </c>
      <c r="V49" s="203">
        <v>555</v>
      </c>
      <c r="W49" s="203">
        <v>364</v>
      </c>
      <c r="X49" s="203">
        <v>246</v>
      </c>
      <c r="Y49" s="212">
        <v>330</v>
      </c>
      <c r="Z49" s="215">
        <v>403</v>
      </c>
      <c r="AA49" s="178">
        <v>299</v>
      </c>
      <c r="AB49" s="203">
        <v>379</v>
      </c>
      <c r="AC49" s="203">
        <v>487</v>
      </c>
      <c r="AD49" s="212">
        <v>115</v>
      </c>
      <c r="AE49" s="215"/>
      <c r="AF49" s="203"/>
      <c r="AG49" s="203"/>
      <c r="AH49" s="203"/>
      <c r="AI49" s="212"/>
      <c r="AJ49" s="215"/>
      <c r="AK49" s="212"/>
      <c r="AL49" s="512">
        <f>SUM(C49:AK49)</f>
        <v>10274</v>
      </c>
    </row>
    <row r="50" spans="1:38" ht="15.75" thickBot="1" x14ac:dyDescent="0.3">
      <c r="A50" s="145" t="s">
        <v>4</v>
      </c>
      <c r="B50" s="223">
        <f t="shared" ref="B50:B55" si="31">B49+1</f>
        <v>44012</v>
      </c>
      <c r="C50" s="254">
        <v>406</v>
      </c>
      <c r="D50" s="203">
        <v>333</v>
      </c>
      <c r="E50" s="203">
        <v>209</v>
      </c>
      <c r="F50" s="203">
        <v>385</v>
      </c>
      <c r="G50" s="255">
        <v>303</v>
      </c>
      <c r="H50" s="203">
        <v>328</v>
      </c>
      <c r="I50" s="212">
        <v>780</v>
      </c>
      <c r="J50" s="215">
        <v>355</v>
      </c>
      <c r="K50" s="203">
        <v>171</v>
      </c>
      <c r="L50" s="212">
        <v>424</v>
      </c>
      <c r="M50" s="215">
        <v>244</v>
      </c>
      <c r="N50" s="203">
        <v>86</v>
      </c>
      <c r="O50" s="203">
        <v>151</v>
      </c>
      <c r="P50" s="203">
        <v>75</v>
      </c>
      <c r="Q50" s="203">
        <v>53</v>
      </c>
      <c r="R50" s="203">
        <v>182</v>
      </c>
      <c r="S50" s="212">
        <v>76</v>
      </c>
      <c r="T50" s="215">
        <v>312</v>
      </c>
      <c r="U50" s="203">
        <v>124</v>
      </c>
      <c r="V50" s="203">
        <v>480</v>
      </c>
      <c r="W50" s="203">
        <v>333</v>
      </c>
      <c r="X50" s="203">
        <v>221</v>
      </c>
      <c r="Y50" s="212">
        <v>304</v>
      </c>
      <c r="Z50" s="215">
        <v>291</v>
      </c>
      <c r="AA50" s="178">
        <v>282</v>
      </c>
      <c r="AB50" s="203">
        <v>277</v>
      </c>
      <c r="AC50" s="203">
        <v>319</v>
      </c>
      <c r="AD50" s="212">
        <v>80</v>
      </c>
      <c r="AE50" s="215"/>
      <c r="AF50" s="203"/>
      <c r="AG50" s="203"/>
      <c r="AH50" s="203"/>
      <c r="AI50" s="212"/>
      <c r="AJ50" s="215"/>
      <c r="AK50" s="212"/>
      <c r="AL50" s="512">
        <f>SUM(C50:AK50)</f>
        <v>7584</v>
      </c>
    </row>
    <row r="51" spans="1:38" ht="15.75" hidden="1" thickBot="1" x14ac:dyDescent="0.3">
      <c r="A51" s="145" t="s">
        <v>5</v>
      </c>
      <c r="B51" s="223">
        <f t="shared" si="31"/>
        <v>44013</v>
      </c>
      <c r="C51" s="254"/>
      <c r="D51" s="203"/>
      <c r="E51" s="203"/>
      <c r="F51" s="203"/>
      <c r="G51" s="255"/>
      <c r="H51" s="203"/>
      <c r="I51" s="212"/>
      <c r="J51" s="215"/>
      <c r="K51" s="203"/>
      <c r="L51" s="212"/>
      <c r="M51" s="215"/>
      <c r="N51" s="203"/>
      <c r="O51" s="203"/>
      <c r="P51" s="203"/>
      <c r="Q51" s="203"/>
      <c r="R51" s="203"/>
      <c r="S51" s="212"/>
      <c r="T51" s="215"/>
      <c r="U51" s="203"/>
      <c r="V51" s="203"/>
      <c r="W51" s="203"/>
      <c r="X51" s="203"/>
      <c r="Y51" s="212"/>
      <c r="Z51" s="215"/>
      <c r="AA51" s="178"/>
      <c r="AB51" s="203"/>
      <c r="AC51" s="203"/>
      <c r="AD51" s="212"/>
      <c r="AE51" s="215"/>
      <c r="AF51" s="203"/>
      <c r="AG51" s="203"/>
      <c r="AH51" s="203"/>
      <c r="AI51" s="212"/>
      <c r="AJ51" s="215"/>
      <c r="AK51" s="212"/>
      <c r="AL51" s="512">
        <f t="shared" ref="AL51:AL54" si="32">SUM(C51:AK51)</f>
        <v>0</v>
      </c>
    </row>
    <row r="52" spans="1:38" ht="15.75" hidden="1" thickBot="1" x14ac:dyDescent="0.3">
      <c r="A52" s="145" t="s">
        <v>6</v>
      </c>
      <c r="B52" s="223">
        <f t="shared" si="31"/>
        <v>44014</v>
      </c>
      <c r="C52" s="254"/>
      <c r="D52" s="203"/>
      <c r="E52" s="203"/>
      <c r="F52" s="203"/>
      <c r="G52" s="255"/>
      <c r="H52" s="203"/>
      <c r="I52" s="212"/>
      <c r="J52" s="215"/>
      <c r="K52" s="203"/>
      <c r="L52" s="212"/>
      <c r="M52" s="215"/>
      <c r="N52" s="203"/>
      <c r="O52" s="203"/>
      <c r="P52" s="203"/>
      <c r="Q52" s="203"/>
      <c r="R52" s="203"/>
      <c r="S52" s="212"/>
      <c r="T52" s="215"/>
      <c r="U52" s="203"/>
      <c r="V52" s="203"/>
      <c r="W52" s="203"/>
      <c r="X52" s="203"/>
      <c r="Y52" s="212"/>
      <c r="Z52" s="215"/>
      <c r="AA52" s="178"/>
      <c r="AB52" s="203"/>
      <c r="AC52" s="203"/>
      <c r="AD52" s="212"/>
      <c r="AE52" s="215"/>
      <c r="AF52" s="203"/>
      <c r="AG52" s="203"/>
      <c r="AH52" s="203"/>
      <c r="AI52" s="212"/>
      <c r="AJ52" s="215"/>
      <c r="AK52" s="212"/>
      <c r="AL52" s="512">
        <f t="shared" si="32"/>
        <v>0</v>
      </c>
    </row>
    <row r="53" spans="1:38" ht="15.75" hidden="1" thickBot="1" x14ac:dyDescent="0.3">
      <c r="A53" s="145" t="s">
        <v>0</v>
      </c>
      <c r="B53" s="223">
        <f t="shared" si="31"/>
        <v>44015</v>
      </c>
      <c r="C53" s="386"/>
      <c r="D53" s="203"/>
      <c r="E53" s="203"/>
      <c r="F53" s="203"/>
      <c r="G53" s="203"/>
      <c r="H53" s="203"/>
      <c r="I53" s="212"/>
      <c r="J53" s="215"/>
      <c r="K53" s="203"/>
      <c r="L53" s="212"/>
      <c r="M53" s="215"/>
      <c r="N53" s="203"/>
      <c r="O53" s="203"/>
      <c r="P53" s="203"/>
      <c r="Q53" s="203"/>
      <c r="R53" s="203"/>
      <c r="S53" s="212"/>
      <c r="T53" s="215"/>
      <c r="U53" s="203"/>
      <c r="V53" s="203"/>
      <c r="W53" s="203"/>
      <c r="X53" s="203"/>
      <c r="Y53" s="212"/>
      <c r="Z53" s="215"/>
      <c r="AA53" s="178"/>
      <c r="AB53" s="203"/>
      <c r="AC53" s="203"/>
      <c r="AD53" s="212"/>
      <c r="AE53" s="215"/>
      <c r="AF53" s="203"/>
      <c r="AG53" s="203"/>
      <c r="AH53" s="203"/>
      <c r="AI53" s="212"/>
      <c r="AJ53" s="215"/>
      <c r="AK53" s="212"/>
      <c r="AL53" s="512">
        <f t="shared" si="32"/>
        <v>0</v>
      </c>
    </row>
    <row r="54" spans="1:38" ht="15.75" hidden="1" thickBot="1" x14ac:dyDescent="0.3">
      <c r="A54" s="145" t="s">
        <v>1</v>
      </c>
      <c r="B54" s="223">
        <f t="shared" si="31"/>
        <v>44016</v>
      </c>
      <c r="C54" s="215"/>
      <c r="D54" s="203"/>
      <c r="E54" s="203"/>
      <c r="F54" s="203"/>
      <c r="G54" s="203"/>
      <c r="H54" s="203"/>
      <c r="I54" s="212"/>
      <c r="J54" s="215"/>
      <c r="K54" s="203"/>
      <c r="L54" s="212"/>
      <c r="M54" s="215"/>
      <c r="N54" s="203"/>
      <c r="O54" s="203"/>
      <c r="P54" s="203"/>
      <c r="Q54" s="203"/>
      <c r="R54" s="203"/>
      <c r="S54" s="212"/>
      <c r="T54" s="215"/>
      <c r="U54" s="203"/>
      <c r="V54" s="203"/>
      <c r="W54" s="203"/>
      <c r="X54" s="203"/>
      <c r="Y54" s="212"/>
      <c r="Z54" s="215"/>
      <c r="AA54" s="178"/>
      <c r="AB54" s="203"/>
      <c r="AC54" s="203"/>
      <c r="AD54" s="212"/>
      <c r="AE54" s="215"/>
      <c r="AF54" s="203"/>
      <c r="AG54" s="203"/>
      <c r="AH54" s="203"/>
      <c r="AI54" s="212"/>
      <c r="AJ54" s="215"/>
      <c r="AK54" s="212"/>
      <c r="AL54" s="512">
        <f t="shared" si="32"/>
        <v>0</v>
      </c>
    </row>
    <row r="55" spans="1:38" ht="15.75" hidden="1" thickBot="1" x14ac:dyDescent="0.3">
      <c r="A55" s="145" t="s">
        <v>2</v>
      </c>
      <c r="B55" s="223">
        <f t="shared" si="31"/>
        <v>44017</v>
      </c>
      <c r="C55" s="215"/>
      <c r="D55" s="203"/>
      <c r="E55" s="203"/>
      <c r="F55" s="203"/>
      <c r="G55" s="203"/>
      <c r="H55" s="203"/>
      <c r="I55" s="212"/>
      <c r="J55" s="215"/>
      <c r="K55" s="203"/>
      <c r="L55" s="212"/>
      <c r="M55" s="215"/>
      <c r="N55" s="203"/>
      <c r="O55" s="203"/>
      <c r="P55" s="203"/>
      <c r="Q55" s="203"/>
      <c r="R55" s="203"/>
      <c r="S55" s="212"/>
      <c r="T55" s="215"/>
      <c r="U55" s="203"/>
      <c r="V55" s="203"/>
      <c r="W55" s="203"/>
      <c r="X55" s="203"/>
      <c r="Y55" s="212"/>
      <c r="Z55" s="215"/>
      <c r="AA55" s="178"/>
      <c r="AB55" s="203"/>
      <c r="AC55" s="203"/>
      <c r="AD55" s="212"/>
      <c r="AE55" s="215"/>
      <c r="AF55" s="203"/>
      <c r="AG55" s="203"/>
      <c r="AH55" s="203"/>
      <c r="AI55" s="212"/>
      <c r="AJ55" s="215"/>
      <c r="AK55" s="212"/>
      <c r="AL55" s="512"/>
    </row>
    <row r="56" spans="1:38" ht="15.75" thickBot="1" x14ac:dyDescent="0.3">
      <c r="A56" s="153" t="s">
        <v>21</v>
      </c>
      <c r="B56" s="612" t="s">
        <v>28</v>
      </c>
      <c r="C56" s="216">
        <f>SUM(C49:C54)</f>
        <v>904</v>
      </c>
      <c r="D56" s="210">
        <f t="shared" ref="D56:AL56" si="33">SUM(D49:D54)</f>
        <v>745</v>
      </c>
      <c r="E56" s="210">
        <f t="shared" si="33"/>
        <v>467</v>
      </c>
      <c r="F56" s="210">
        <f t="shared" si="33"/>
        <v>835</v>
      </c>
      <c r="G56" s="210">
        <f t="shared" si="33"/>
        <v>590</v>
      </c>
      <c r="H56" s="210">
        <f t="shared" si="33"/>
        <v>705</v>
      </c>
      <c r="I56" s="467">
        <f t="shared" si="33"/>
        <v>1672</v>
      </c>
      <c r="J56" s="216">
        <f t="shared" si="33"/>
        <v>1406</v>
      </c>
      <c r="K56" s="210">
        <f t="shared" si="33"/>
        <v>466</v>
      </c>
      <c r="L56" s="467">
        <f t="shared" si="33"/>
        <v>1494</v>
      </c>
      <c r="M56" s="216">
        <f t="shared" si="33"/>
        <v>522</v>
      </c>
      <c r="N56" s="210">
        <f t="shared" si="33"/>
        <v>185</v>
      </c>
      <c r="O56" s="210">
        <f t="shared" si="33"/>
        <v>326</v>
      </c>
      <c r="P56" s="210">
        <f t="shared" si="33"/>
        <v>144</v>
      </c>
      <c r="Q56" s="210">
        <f t="shared" si="33"/>
        <v>130</v>
      </c>
      <c r="R56" s="210">
        <f t="shared" si="33"/>
        <v>428</v>
      </c>
      <c r="S56" s="467">
        <f t="shared" si="33"/>
        <v>140</v>
      </c>
      <c r="T56" s="216">
        <f t="shared" si="33"/>
        <v>667</v>
      </c>
      <c r="U56" s="210">
        <f t="shared" si="33"/>
        <v>267</v>
      </c>
      <c r="V56" s="210">
        <f t="shared" si="33"/>
        <v>1035</v>
      </c>
      <c r="W56" s="210">
        <f t="shared" si="33"/>
        <v>697</v>
      </c>
      <c r="X56" s="210">
        <f t="shared" si="33"/>
        <v>467</v>
      </c>
      <c r="Y56" s="467">
        <f t="shared" si="33"/>
        <v>634</v>
      </c>
      <c r="Z56" s="216">
        <f t="shared" si="33"/>
        <v>694</v>
      </c>
      <c r="AA56" s="210">
        <f t="shared" si="33"/>
        <v>581</v>
      </c>
      <c r="AB56" s="210">
        <f t="shared" si="33"/>
        <v>656</v>
      </c>
      <c r="AC56" s="210">
        <f t="shared" si="33"/>
        <v>806</v>
      </c>
      <c r="AD56" s="467">
        <f t="shared" si="33"/>
        <v>195</v>
      </c>
      <c r="AE56" s="216">
        <f t="shared" si="33"/>
        <v>0</v>
      </c>
      <c r="AF56" s="210">
        <f t="shared" si="33"/>
        <v>0</v>
      </c>
      <c r="AG56" s="210">
        <f t="shared" si="33"/>
        <v>0</v>
      </c>
      <c r="AH56" s="210">
        <f t="shared" si="33"/>
        <v>0</v>
      </c>
      <c r="AI56" s="467">
        <f t="shared" si="33"/>
        <v>0</v>
      </c>
      <c r="AJ56" s="216">
        <f t="shared" si="33"/>
        <v>0</v>
      </c>
      <c r="AK56" s="467">
        <f t="shared" si="33"/>
        <v>0</v>
      </c>
      <c r="AL56" s="474">
        <f t="shared" si="33"/>
        <v>17858</v>
      </c>
    </row>
    <row r="57" spans="1:38" ht="15.75" thickBot="1" x14ac:dyDescent="0.3">
      <c r="A57" s="105" t="s">
        <v>23</v>
      </c>
      <c r="B57" s="612"/>
      <c r="C57" s="216">
        <f t="shared" ref="C57" si="34">AVERAGE(C49:C54)</f>
        <v>452</v>
      </c>
      <c r="D57" s="210">
        <f t="shared" ref="D57:AL57" si="35">AVERAGE(D49:D54)</f>
        <v>372.5</v>
      </c>
      <c r="E57" s="210">
        <f t="shared" si="35"/>
        <v>233.5</v>
      </c>
      <c r="F57" s="210">
        <f t="shared" si="35"/>
        <v>417.5</v>
      </c>
      <c r="G57" s="210">
        <f t="shared" si="35"/>
        <v>295</v>
      </c>
      <c r="H57" s="210">
        <f t="shared" si="35"/>
        <v>352.5</v>
      </c>
      <c r="I57" s="467">
        <f t="shared" si="35"/>
        <v>836</v>
      </c>
      <c r="J57" s="216">
        <f t="shared" si="35"/>
        <v>703</v>
      </c>
      <c r="K57" s="210">
        <f t="shared" si="35"/>
        <v>233</v>
      </c>
      <c r="L57" s="467">
        <f t="shared" si="35"/>
        <v>747</v>
      </c>
      <c r="M57" s="216">
        <f t="shared" si="35"/>
        <v>261</v>
      </c>
      <c r="N57" s="210">
        <f t="shared" si="35"/>
        <v>92.5</v>
      </c>
      <c r="O57" s="210">
        <f t="shared" si="35"/>
        <v>163</v>
      </c>
      <c r="P57" s="210">
        <f t="shared" si="35"/>
        <v>72</v>
      </c>
      <c r="Q57" s="210">
        <f t="shared" si="35"/>
        <v>65</v>
      </c>
      <c r="R57" s="210">
        <f t="shared" si="35"/>
        <v>214</v>
      </c>
      <c r="S57" s="467">
        <f t="shared" si="35"/>
        <v>70</v>
      </c>
      <c r="T57" s="216">
        <f t="shared" si="35"/>
        <v>333.5</v>
      </c>
      <c r="U57" s="210">
        <f t="shared" si="35"/>
        <v>133.5</v>
      </c>
      <c r="V57" s="210">
        <f t="shared" si="35"/>
        <v>517.5</v>
      </c>
      <c r="W57" s="210">
        <f t="shared" si="35"/>
        <v>348.5</v>
      </c>
      <c r="X57" s="210">
        <f t="shared" si="35"/>
        <v>233.5</v>
      </c>
      <c r="Y57" s="467">
        <f t="shared" si="35"/>
        <v>317</v>
      </c>
      <c r="Z57" s="216">
        <f t="shared" si="35"/>
        <v>347</v>
      </c>
      <c r="AA57" s="210">
        <f t="shared" si="35"/>
        <v>290.5</v>
      </c>
      <c r="AB57" s="210">
        <f t="shared" si="35"/>
        <v>328</v>
      </c>
      <c r="AC57" s="210">
        <f t="shared" si="35"/>
        <v>403</v>
      </c>
      <c r="AD57" s="467">
        <f t="shared" si="35"/>
        <v>97.5</v>
      </c>
      <c r="AE57" s="216" t="e">
        <f t="shared" si="35"/>
        <v>#DIV/0!</v>
      </c>
      <c r="AF57" s="210" t="e">
        <f t="shared" si="35"/>
        <v>#DIV/0!</v>
      </c>
      <c r="AG57" s="210" t="e">
        <f t="shared" si="35"/>
        <v>#DIV/0!</v>
      </c>
      <c r="AH57" s="210" t="e">
        <f t="shared" si="35"/>
        <v>#DIV/0!</v>
      </c>
      <c r="AI57" s="467" t="e">
        <f t="shared" si="35"/>
        <v>#DIV/0!</v>
      </c>
      <c r="AJ57" s="216" t="e">
        <f t="shared" si="35"/>
        <v>#DIV/0!</v>
      </c>
      <c r="AK57" s="467" t="e">
        <f t="shared" si="35"/>
        <v>#DIV/0!</v>
      </c>
      <c r="AL57" s="474">
        <f t="shared" si="35"/>
        <v>2976.3333333333335</v>
      </c>
    </row>
    <row r="58" spans="1:38" ht="15.75" thickBot="1" x14ac:dyDescent="0.3">
      <c r="A58" s="26" t="s">
        <v>20</v>
      </c>
      <c r="B58" s="612"/>
      <c r="C58" s="217">
        <f>SUM(C49:C53)</f>
        <v>904</v>
      </c>
      <c r="D58" s="211">
        <f t="shared" ref="D58:AL58" si="36">SUM(D49:D53)</f>
        <v>745</v>
      </c>
      <c r="E58" s="211">
        <f t="shared" si="36"/>
        <v>467</v>
      </c>
      <c r="F58" s="211">
        <f t="shared" si="36"/>
        <v>835</v>
      </c>
      <c r="G58" s="211">
        <f t="shared" si="36"/>
        <v>590</v>
      </c>
      <c r="H58" s="211">
        <f t="shared" si="36"/>
        <v>705</v>
      </c>
      <c r="I58" s="469">
        <f t="shared" si="36"/>
        <v>1672</v>
      </c>
      <c r="J58" s="217">
        <f t="shared" si="36"/>
        <v>1406</v>
      </c>
      <c r="K58" s="211">
        <f t="shared" si="36"/>
        <v>466</v>
      </c>
      <c r="L58" s="469">
        <f t="shared" si="36"/>
        <v>1494</v>
      </c>
      <c r="M58" s="217">
        <f t="shared" si="36"/>
        <v>522</v>
      </c>
      <c r="N58" s="211">
        <f t="shared" si="36"/>
        <v>185</v>
      </c>
      <c r="O58" s="211">
        <f t="shared" si="36"/>
        <v>326</v>
      </c>
      <c r="P58" s="211">
        <f t="shared" si="36"/>
        <v>144</v>
      </c>
      <c r="Q58" s="211">
        <f t="shared" si="36"/>
        <v>130</v>
      </c>
      <c r="R58" s="211">
        <f t="shared" si="36"/>
        <v>428</v>
      </c>
      <c r="S58" s="469">
        <f t="shared" si="36"/>
        <v>140</v>
      </c>
      <c r="T58" s="217">
        <f t="shared" si="36"/>
        <v>667</v>
      </c>
      <c r="U58" s="211">
        <f t="shared" si="36"/>
        <v>267</v>
      </c>
      <c r="V58" s="211">
        <f t="shared" si="36"/>
        <v>1035</v>
      </c>
      <c r="W58" s="211">
        <f t="shared" si="36"/>
        <v>697</v>
      </c>
      <c r="X58" s="211">
        <f t="shared" si="36"/>
        <v>467</v>
      </c>
      <c r="Y58" s="469">
        <f t="shared" si="36"/>
        <v>634</v>
      </c>
      <c r="Z58" s="217">
        <f t="shared" si="36"/>
        <v>694</v>
      </c>
      <c r="AA58" s="211">
        <f t="shared" si="36"/>
        <v>581</v>
      </c>
      <c r="AB58" s="211">
        <f t="shared" si="36"/>
        <v>656</v>
      </c>
      <c r="AC58" s="211">
        <f t="shared" si="36"/>
        <v>806</v>
      </c>
      <c r="AD58" s="469">
        <f t="shared" si="36"/>
        <v>195</v>
      </c>
      <c r="AE58" s="217">
        <f t="shared" si="36"/>
        <v>0</v>
      </c>
      <c r="AF58" s="211">
        <f t="shared" si="36"/>
        <v>0</v>
      </c>
      <c r="AG58" s="211">
        <f t="shared" si="36"/>
        <v>0</v>
      </c>
      <c r="AH58" s="211">
        <f t="shared" si="36"/>
        <v>0</v>
      </c>
      <c r="AI58" s="469">
        <f t="shared" si="36"/>
        <v>0</v>
      </c>
      <c r="AJ58" s="217">
        <f t="shared" si="36"/>
        <v>0</v>
      </c>
      <c r="AK58" s="469">
        <f t="shared" si="36"/>
        <v>0</v>
      </c>
      <c r="AL58" s="489">
        <f t="shared" si="36"/>
        <v>17858</v>
      </c>
    </row>
    <row r="59" spans="1:38" ht="15.75" thickBot="1" x14ac:dyDescent="0.3">
      <c r="A59" s="26" t="s">
        <v>22</v>
      </c>
      <c r="B59" s="639"/>
      <c r="C59" s="39">
        <f t="shared" ref="C59" si="37">AVERAGE(C49:C53)</f>
        <v>452</v>
      </c>
      <c r="D59" s="204">
        <f t="shared" ref="D59:AL59" si="38">AVERAGE(D49:D53)</f>
        <v>372.5</v>
      </c>
      <c r="E59" s="204">
        <f t="shared" si="38"/>
        <v>233.5</v>
      </c>
      <c r="F59" s="204">
        <f t="shared" si="38"/>
        <v>417.5</v>
      </c>
      <c r="G59" s="204">
        <f t="shared" si="38"/>
        <v>295</v>
      </c>
      <c r="H59" s="204">
        <f t="shared" si="38"/>
        <v>352.5</v>
      </c>
      <c r="I59" s="470">
        <f t="shared" si="38"/>
        <v>836</v>
      </c>
      <c r="J59" s="39">
        <f t="shared" si="38"/>
        <v>703</v>
      </c>
      <c r="K59" s="204">
        <f t="shared" si="38"/>
        <v>233</v>
      </c>
      <c r="L59" s="470">
        <f t="shared" si="38"/>
        <v>747</v>
      </c>
      <c r="M59" s="39">
        <f t="shared" si="38"/>
        <v>261</v>
      </c>
      <c r="N59" s="204">
        <f t="shared" si="38"/>
        <v>92.5</v>
      </c>
      <c r="O59" s="204">
        <f t="shared" si="38"/>
        <v>163</v>
      </c>
      <c r="P59" s="204">
        <f t="shared" si="38"/>
        <v>72</v>
      </c>
      <c r="Q59" s="204">
        <f t="shared" si="38"/>
        <v>65</v>
      </c>
      <c r="R59" s="204">
        <f t="shared" si="38"/>
        <v>214</v>
      </c>
      <c r="S59" s="470">
        <f t="shared" si="38"/>
        <v>70</v>
      </c>
      <c r="T59" s="39">
        <f t="shared" si="38"/>
        <v>333.5</v>
      </c>
      <c r="U59" s="204">
        <f t="shared" si="38"/>
        <v>133.5</v>
      </c>
      <c r="V59" s="204">
        <f t="shared" si="38"/>
        <v>517.5</v>
      </c>
      <c r="W59" s="204">
        <f t="shared" si="38"/>
        <v>348.5</v>
      </c>
      <c r="X59" s="204">
        <f t="shared" si="38"/>
        <v>233.5</v>
      </c>
      <c r="Y59" s="470">
        <f t="shared" si="38"/>
        <v>317</v>
      </c>
      <c r="Z59" s="39">
        <f t="shared" si="38"/>
        <v>347</v>
      </c>
      <c r="AA59" s="204">
        <f t="shared" si="38"/>
        <v>290.5</v>
      </c>
      <c r="AB59" s="204">
        <f t="shared" si="38"/>
        <v>328</v>
      </c>
      <c r="AC59" s="204">
        <f t="shared" si="38"/>
        <v>403</v>
      </c>
      <c r="AD59" s="470">
        <f t="shared" si="38"/>
        <v>97.5</v>
      </c>
      <c r="AE59" s="39" t="e">
        <f t="shared" si="38"/>
        <v>#DIV/0!</v>
      </c>
      <c r="AF59" s="204" t="e">
        <f t="shared" si="38"/>
        <v>#DIV/0!</v>
      </c>
      <c r="AG59" s="204" t="e">
        <f t="shared" si="38"/>
        <v>#DIV/0!</v>
      </c>
      <c r="AH59" s="204" t="e">
        <f t="shared" si="38"/>
        <v>#DIV/0!</v>
      </c>
      <c r="AI59" s="470" t="e">
        <f t="shared" si="38"/>
        <v>#DIV/0!</v>
      </c>
      <c r="AJ59" s="39" t="e">
        <f t="shared" si="38"/>
        <v>#DIV/0!</v>
      </c>
      <c r="AK59" s="470" t="e">
        <f t="shared" si="38"/>
        <v>#DIV/0!</v>
      </c>
      <c r="AL59" s="490">
        <f t="shared" si="38"/>
        <v>3571.6</v>
      </c>
    </row>
    <row r="60" spans="1:38" x14ac:dyDescent="0.25">
      <c r="A60" s="4"/>
      <c r="B60" s="127"/>
      <c r="C60" s="127"/>
      <c r="D60" s="5"/>
      <c r="E60" s="5"/>
      <c r="F60" s="5"/>
      <c r="G60" s="5"/>
      <c r="H60" s="5"/>
      <c r="I60" s="5"/>
      <c r="J60" s="5"/>
      <c r="K60" s="5"/>
      <c r="L60" s="5"/>
      <c r="M60" s="5"/>
      <c r="N60" s="209"/>
      <c r="O60" s="5"/>
      <c r="P60" s="5"/>
      <c r="Q60" s="5"/>
      <c r="R60" s="5"/>
      <c r="S60" s="5"/>
      <c r="T60" s="5"/>
      <c r="U60" s="209"/>
      <c r="V60" s="5"/>
      <c r="W60" s="5"/>
      <c r="X60" s="5"/>
      <c r="Y60" s="5"/>
      <c r="Z60" s="5"/>
      <c r="AE60" s="5"/>
    </row>
    <row r="61" spans="1:38" ht="44.25" customHeight="1" x14ac:dyDescent="0.25">
      <c r="A61" s="4"/>
      <c r="B61" s="178"/>
      <c r="C61" s="38" t="s">
        <v>10</v>
      </c>
      <c r="D61" s="38" t="s">
        <v>14</v>
      </c>
      <c r="E61" s="38" t="s">
        <v>60</v>
      </c>
      <c r="F61" s="38" t="s">
        <v>62</v>
      </c>
      <c r="G61" s="38" t="s">
        <v>12</v>
      </c>
      <c r="H61" s="38" t="s">
        <v>96</v>
      </c>
      <c r="I61" s="38" t="s">
        <v>61</v>
      </c>
      <c r="J61" s="38" t="s">
        <v>11</v>
      </c>
      <c r="K61" s="38" t="s">
        <v>105</v>
      </c>
      <c r="L61" s="38" t="s">
        <v>68</v>
      </c>
      <c r="M61" s="207" t="s">
        <v>113</v>
      </c>
      <c r="N61" s="207" t="s">
        <v>74</v>
      </c>
      <c r="O61" s="207" t="s">
        <v>73</v>
      </c>
      <c r="P61" s="38" t="s">
        <v>103</v>
      </c>
      <c r="Q61" s="38" t="s">
        <v>76</v>
      </c>
      <c r="R61" s="38" t="s">
        <v>75</v>
      </c>
      <c r="S61" s="38" t="s">
        <v>82</v>
      </c>
      <c r="T61" s="38" t="s">
        <v>83</v>
      </c>
      <c r="U61" s="38" t="s">
        <v>81</v>
      </c>
      <c r="V61" s="38" t="s">
        <v>80</v>
      </c>
      <c r="W61" s="38" t="s">
        <v>31</v>
      </c>
      <c r="X61" s="151"/>
      <c r="Y61" s="151"/>
      <c r="Z61"/>
      <c r="AB61" s="269"/>
      <c r="AC61" s="222"/>
      <c r="AD61" s="151"/>
      <c r="AE61" s="151"/>
      <c r="AF61" s="1"/>
      <c r="AI61" s="222"/>
      <c r="AK61"/>
    </row>
    <row r="62" spans="1:38" ht="25.5" x14ac:dyDescent="0.25">
      <c r="B62" s="40" t="s">
        <v>114</v>
      </c>
      <c r="C62" s="179">
        <f>SUM(,C12,J12,M12,T12,,Z12,AE12,AJ12,C23,J23,M23,T23,Z23,AE23,AJ23,C34,J34,M34,T34,Z34,AE34,AJ34,C45,J45,M45,T45,Z45,AE45,AJ45,,C56,J56,M56,T56,Z56,AE56,AJ56,)</f>
        <v>59190</v>
      </c>
      <c r="D62" s="179">
        <f>SUM(,I12,V12,AA12,AH12,I23,V23,AA23,AH23,,I34,V34,AA34,AH34,I45,V45,AA45,AH45,I56,V56,AA56,AH56)</f>
        <v>40947</v>
      </c>
      <c r="E62" s="179">
        <f>SUM(,D12,D23,D34,D45,N12,N23,N34,N45,D56,N56)</f>
        <v>16843</v>
      </c>
      <c r="F62" s="179">
        <f>SUM(,W12,W23,W34,W45,AI12,AI23,AI34,AI45,W56,AI56)</f>
        <v>11451</v>
      </c>
      <c r="G62" s="179">
        <f>SUM(G12,G23,G34,G45,G56)</f>
        <v>7191</v>
      </c>
      <c r="H62" s="179">
        <f>SUM(,H12,H23,H34,H45,H56)</f>
        <v>11066</v>
      </c>
      <c r="I62" s="179">
        <f>SUM(,E12,E23,E34,E45,E56)</f>
        <v>7641</v>
      </c>
      <c r="J62" s="179">
        <f>SUM(,F12,F23,F34,F45,F56)</f>
        <v>11725</v>
      </c>
      <c r="K62" s="179">
        <f>SUM(,K12,K23,K34,K45,,Q12,Q23,Q34,Q45,K56,Q56)</f>
        <v>7614</v>
      </c>
      <c r="L62" s="179">
        <f>SUM(,L12,L23,L34,L45,L56)</f>
        <v>18757</v>
      </c>
      <c r="M62" s="208">
        <f>SUM(,O12,O23,O34,O45,O56)</f>
        <v>3992</v>
      </c>
      <c r="N62" s="208">
        <f>SUM(,P12,P23,P34,P45,P56)</f>
        <v>2164</v>
      </c>
      <c r="O62" s="179">
        <f>SUM(,R12,R23,R34,R45,R56)</f>
        <v>6254</v>
      </c>
      <c r="P62" s="179">
        <f>SUM(,U12,U23,U34,U45,U56)</f>
        <v>3310</v>
      </c>
      <c r="Q62" s="179">
        <f>SUM(,X12,X23,X34,X45,X56)</f>
        <v>6038</v>
      </c>
      <c r="R62" s="179">
        <f>SUM(,Y12,Y23,Y34,Y45,Y56)</f>
        <v>10339</v>
      </c>
      <c r="S62" s="179">
        <f>SUM(,AB12,AB23,AB34,AB45,AB56)</f>
        <v>9894</v>
      </c>
      <c r="T62" s="179">
        <f>SUM(,AC12,AC23,AC34,AC45,AC56)</f>
        <v>10509</v>
      </c>
      <c r="U62" s="179">
        <f>SUM(,AF12,AF23,AF34,AF45,AF56,,S12,S23,S34,S45,S56)</f>
        <v>2790</v>
      </c>
      <c r="V62" s="179">
        <f>SUM(,AG12,AG23,AG34,AG45,AG56,,AD12,AD23,AD34,AD45,AD56)</f>
        <v>2938</v>
      </c>
      <c r="W62" s="179">
        <f>SUM(,AK12,AK23,AK34,AK45,AK56)</f>
        <v>0</v>
      </c>
      <c r="X62" s="183"/>
      <c r="Y62" s="183"/>
      <c r="Z62"/>
      <c r="AB62" s="269"/>
      <c r="AC62" s="222"/>
      <c r="AD62" s="183"/>
      <c r="AE62" s="183"/>
      <c r="AF62" s="1"/>
      <c r="AI62" s="222"/>
      <c r="AK62"/>
    </row>
    <row r="63" spans="1:38" ht="25.5" x14ac:dyDescent="0.25">
      <c r="B63" s="40" t="s">
        <v>30</v>
      </c>
      <c r="C63" s="179">
        <f>SUM(C14,J14,M14,T14,,Z14,AE14,AJ14,C25,J25,M25,T25,Z25,AE25,AJ25,C36,J36,M36,T36,Z36,AE36,AJ36,C47,J47,M47,T47,Z47,AE47,AJ47,C58,J58,M58,T58,Z58,AE58,AJ58)</f>
        <v>35231</v>
      </c>
      <c r="D63" s="179">
        <f>SUM(I14,V14,AA14,AH14,I25,V25,,AA25,AH25,I36,V36,AA36,AH36,,I47,V47,AA47,AH47,I58,AA58,AH58)</f>
        <v>26473</v>
      </c>
      <c r="E63" s="179">
        <f>SUM(D14,D25,D36,D47,N14,N25,N36,N47,)</f>
        <v>7132</v>
      </c>
      <c r="F63" s="179">
        <f>SUM(W14,W25,W36,W47,AI14,AI25,AI36,AI47,W58,AI58)</f>
        <v>7043</v>
      </c>
      <c r="G63" s="179">
        <f>SUM(G14,G25,G36,G47)</f>
        <v>4369</v>
      </c>
      <c r="H63" s="179">
        <f>SUM(H14,H25,H36,H47,H58)</f>
        <v>6253</v>
      </c>
      <c r="I63" s="179">
        <f>SUM(E14,E25,E36,E47,E58)</f>
        <v>5055</v>
      </c>
      <c r="J63" s="179">
        <f>SUM(F14,F25,F36,F47,F58)</f>
        <v>6906</v>
      </c>
      <c r="K63" s="179">
        <f>SUM(K14,K25,K36,K47,Q14,Q25,Q36,Q47,K58,Q58)</f>
        <v>4791</v>
      </c>
      <c r="L63" s="179">
        <f>SUM(L14,L25,L36,L47,L58)</f>
        <v>11734</v>
      </c>
      <c r="M63" s="179">
        <f>SUM(O14,O25,O36,O47,O58)</f>
        <v>2296</v>
      </c>
      <c r="N63" s="179">
        <f>SUM(P14,P25,P36,P47,P58)</f>
        <v>1207</v>
      </c>
      <c r="O63" s="179">
        <f>SUM(R14,R25,R36,R47,R58)</f>
        <v>3545</v>
      </c>
      <c r="P63" s="179">
        <f>SUM(U14,U25,U36,U47,U58)</f>
        <v>2331</v>
      </c>
      <c r="Q63" s="179">
        <f>SUM(X14,X25,X36,X47,X58)</f>
        <v>3363</v>
      </c>
      <c r="R63" s="179">
        <f>SUM(Y14,Y25,Y36,Y47,Y58)</f>
        <v>6444</v>
      </c>
      <c r="S63" s="179">
        <f>SUM(AB14,AB25,AB36,AB47,AB58)</f>
        <v>5683</v>
      </c>
      <c r="T63" s="179">
        <f>SUM(AC14,AC25,AC36,AC47,AC58)</f>
        <v>7247</v>
      </c>
      <c r="U63" s="179">
        <f>SUM(AF14,AF25,AF36,AF47,AF58,S14,S25,S36,S47,S58)</f>
        <v>1446</v>
      </c>
      <c r="V63" s="179">
        <f>SUM(AG14,AG25,AG36,AG47,AG58,AD14,AD25,AD36,AD47,AD58)</f>
        <v>1831</v>
      </c>
      <c r="W63" s="179">
        <f>SUM(AK14,AK25,AK36,AK47,AK58)</f>
        <v>0</v>
      </c>
      <c r="X63" s="206"/>
      <c r="Y63" s="206"/>
      <c r="Z63"/>
      <c r="AB63" s="269"/>
      <c r="AC63" s="222"/>
      <c r="AD63" s="206"/>
      <c r="AE63" s="206"/>
      <c r="AF63" s="1"/>
      <c r="AI63" s="222"/>
      <c r="AK63"/>
    </row>
    <row r="64" spans="1:38" x14ac:dyDescent="0.25">
      <c r="B64" s="1"/>
      <c r="C64" s="1"/>
      <c r="E64" s="128"/>
    </row>
    <row r="65" spans="1:33" ht="15.75" thickBot="1" x14ac:dyDescent="0.3">
      <c r="B65" s="1"/>
      <c r="C65" s="1"/>
      <c r="E65" s="128"/>
      <c r="U65" s="221"/>
    </row>
    <row r="66" spans="1:33" x14ac:dyDescent="0.25">
      <c r="B66" s="1"/>
      <c r="C66" s="640" t="s">
        <v>70</v>
      </c>
      <c r="D66" s="641"/>
      <c r="E66" s="642"/>
      <c r="AF66" s="1"/>
      <c r="AG66" s="1"/>
    </row>
    <row r="67" spans="1:33" x14ac:dyDescent="0.25">
      <c r="C67" s="622" t="s">
        <v>19</v>
      </c>
      <c r="D67" s="623"/>
      <c r="E67" s="437">
        <f>SUM(AL12,AL23,AL34,AL45,AL56)</f>
        <v>250653</v>
      </c>
      <c r="Q67" s="222"/>
      <c r="R67" s="222"/>
      <c r="S67" s="222"/>
      <c r="T67" s="222"/>
      <c r="U67" s="222"/>
      <c r="V67" s="222"/>
    </row>
    <row r="68" spans="1:33" x14ac:dyDescent="0.25">
      <c r="C68" s="622" t="s">
        <v>30</v>
      </c>
      <c r="D68" s="623"/>
      <c r="E68" s="462">
        <f>SUM(,AL14, AL25, AL36, AL47, AL58)</f>
        <v>152935</v>
      </c>
      <c r="N68" s="221"/>
    </row>
    <row r="69" spans="1:33" x14ac:dyDescent="0.25">
      <c r="C69" s="622" t="s">
        <v>120</v>
      </c>
      <c r="D69" s="623"/>
      <c r="E69" s="437">
        <f>AVERAGE(,AL57, AL46, AL35, AL24, AL13)</f>
        <v>6038.7936507936511</v>
      </c>
    </row>
    <row r="70" spans="1:33" ht="15.75" thickBot="1" x14ac:dyDescent="0.3">
      <c r="A70"/>
      <c r="B70"/>
      <c r="C70" s="624" t="s">
        <v>22</v>
      </c>
      <c r="D70" s="625"/>
      <c r="E70" s="334">
        <f>AVERAGE(AL15, AL26, AL37, AL48, AL59)</f>
        <v>6117.4</v>
      </c>
      <c r="F70"/>
      <c r="G70"/>
      <c r="H70"/>
      <c r="I70"/>
      <c r="J70"/>
      <c r="K70"/>
      <c r="L70" s="222"/>
      <c r="M70" s="222"/>
      <c r="N70" s="222"/>
      <c r="O70"/>
      <c r="P70"/>
      <c r="W70" s="222"/>
      <c r="X70" s="222"/>
      <c r="Y70" s="222"/>
      <c r="Z70" s="222"/>
      <c r="AE70" s="222"/>
    </row>
  </sheetData>
  <mergeCells count="55">
    <mergeCell ref="AE1:AI2"/>
    <mergeCell ref="Z3:Z4"/>
    <mergeCell ref="AL1:AL4"/>
    <mergeCell ref="AC3:AC4"/>
    <mergeCell ref="AB3:AB4"/>
    <mergeCell ref="AA3:AA4"/>
    <mergeCell ref="AJ1:AK2"/>
    <mergeCell ref="AJ3:AJ4"/>
    <mergeCell ref="AK3:AK4"/>
    <mergeCell ref="AI3:AI4"/>
    <mergeCell ref="AH3:AH4"/>
    <mergeCell ref="AG3:AG4"/>
    <mergeCell ref="AF3:AF4"/>
    <mergeCell ref="AE3:AE4"/>
    <mergeCell ref="AD3:AD4"/>
    <mergeCell ref="B23:B26"/>
    <mergeCell ref="B34:B37"/>
    <mergeCell ref="B45:B48"/>
    <mergeCell ref="B56:B59"/>
    <mergeCell ref="C66:E66"/>
    <mergeCell ref="A1:A4"/>
    <mergeCell ref="B1:B4"/>
    <mergeCell ref="C3:C4"/>
    <mergeCell ref="D3:D4"/>
    <mergeCell ref="C1:I2"/>
    <mergeCell ref="J1:L2"/>
    <mergeCell ref="C67:D67"/>
    <mergeCell ref="C68:D68"/>
    <mergeCell ref="C69:D69"/>
    <mergeCell ref="C70:D70"/>
    <mergeCell ref="B12:B15"/>
    <mergeCell ref="J3:J4"/>
    <mergeCell ref="L3:L4"/>
    <mergeCell ref="K3:K4"/>
    <mergeCell ref="I3:I4"/>
    <mergeCell ref="E3:E4"/>
    <mergeCell ref="F3:F4"/>
    <mergeCell ref="G3:G4"/>
    <mergeCell ref="H3:H4"/>
    <mergeCell ref="O3:O4"/>
    <mergeCell ref="Y3:Y4"/>
    <mergeCell ref="X3:X4"/>
    <mergeCell ref="W3:W4"/>
    <mergeCell ref="V3:V4"/>
    <mergeCell ref="T3:T4"/>
    <mergeCell ref="U3:U4"/>
    <mergeCell ref="S3:S4"/>
    <mergeCell ref="Z1:AD2"/>
    <mergeCell ref="T1:Y2"/>
    <mergeCell ref="R3:R4"/>
    <mergeCell ref="Q3:Q4"/>
    <mergeCell ref="P3:P4"/>
    <mergeCell ref="M1:S2"/>
    <mergeCell ref="N3:N4"/>
    <mergeCell ref="M3:M4"/>
  </mergeCells>
  <pageMargins left="0.7" right="0.7" top="0.75" bottom="0.75" header="0.3" footer="0.3"/>
  <pageSetup orientation="portrait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W82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P20" sqref="P20"/>
    </sheetView>
  </sheetViews>
  <sheetFormatPr defaultRowHeight="15" outlineLevelRow="1" x14ac:dyDescent="0.25"/>
  <cols>
    <col min="1" max="1" width="18.7109375" style="1" bestFit="1" customWidth="1"/>
    <col min="2" max="2" width="8.7109375" style="128" bestFit="1" customWidth="1"/>
    <col min="3" max="4" width="10.7109375" style="1" customWidth="1"/>
    <col min="5" max="5" width="11.28515625" style="1" bestFit="1" customWidth="1"/>
    <col min="6" max="6" width="12.28515625" style="1" bestFit="1" customWidth="1"/>
    <col min="7" max="7" width="10.7109375" style="1" customWidth="1"/>
    <col min="8" max="8" width="11.28515625" style="1" bestFit="1" customWidth="1"/>
    <col min="9" max="9" width="12.28515625" style="1" bestFit="1" customWidth="1"/>
    <col min="10" max="10" width="16.140625" style="1" customWidth="1"/>
    <col min="11" max="11" width="18.5703125" style="1" customWidth="1"/>
    <col min="12" max="12" width="12.28515625" style="1" bestFit="1" customWidth="1"/>
    <col min="13" max="20" width="15.7109375" style="11" customWidth="1"/>
    <col min="21" max="21" width="10.7109375" style="11" customWidth="1"/>
    <col min="22" max="16384" width="9.140625" style="1"/>
  </cols>
  <sheetData>
    <row r="1" spans="1:22" ht="15" customHeight="1" x14ac:dyDescent="0.25">
      <c r="A1" s="23"/>
      <c r="B1" s="160"/>
      <c r="C1" s="669" t="s">
        <v>10</v>
      </c>
      <c r="D1" s="659"/>
      <c r="E1" s="659"/>
      <c r="F1" s="659"/>
      <c r="G1" s="660"/>
      <c r="H1" s="669" t="s">
        <v>63</v>
      </c>
      <c r="I1" s="671" t="s">
        <v>77</v>
      </c>
      <c r="J1" s="672"/>
      <c r="K1" s="672"/>
      <c r="L1" s="673"/>
      <c r="M1" s="659" t="s">
        <v>8</v>
      </c>
      <c r="N1" s="659"/>
      <c r="O1" s="659"/>
      <c r="P1" s="659"/>
      <c r="Q1" s="659"/>
      <c r="R1" s="659"/>
      <c r="S1" s="659"/>
      <c r="T1" s="660"/>
      <c r="U1" s="652" t="s">
        <v>19</v>
      </c>
    </row>
    <row r="2" spans="1:22" ht="15" customHeight="1" thickBot="1" x14ac:dyDescent="0.3">
      <c r="A2" s="24"/>
      <c r="B2" s="161"/>
      <c r="C2" s="670"/>
      <c r="D2" s="661"/>
      <c r="E2" s="661"/>
      <c r="F2" s="661"/>
      <c r="G2" s="662"/>
      <c r="H2" s="676"/>
      <c r="I2" s="613"/>
      <c r="J2" s="609"/>
      <c r="K2" s="609"/>
      <c r="L2" s="614"/>
      <c r="M2" s="661"/>
      <c r="N2" s="661"/>
      <c r="O2" s="661"/>
      <c r="P2" s="661"/>
      <c r="Q2" s="661"/>
      <c r="R2" s="661"/>
      <c r="S2" s="661"/>
      <c r="T2" s="662"/>
      <c r="U2" s="653"/>
    </row>
    <row r="3" spans="1:22" ht="15" customHeight="1" x14ac:dyDescent="0.25">
      <c r="A3" s="616" t="s">
        <v>51</v>
      </c>
      <c r="B3" s="682" t="s">
        <v>52</v>
      </c>
      <c r="C3" s="663" t="s">
        <v>15</v>
      </c>
      <c r="D3" s="656" t="s">
        <v>17</v>
      </c>
      <c r="E3" s="665" t="s">
        <v>16</v>
      </c>
      <c r="F3" s="616" t="s">
        <v>39</v>
      </c>
      <c r="G3" s="667" t="s">
        <v>40</v>
      </c>
      <c r="H3" s="626" t="s">
        <v>18</v>
      </c>
      <c r="I3" s="596" t="s">
        <v>15</v>
      </c>
      <c r="J3" s="597" t="s">
        <v>16</v>
      </c>
      <c r="K3" s="597" t="s">
        <v>78</v>
      </c>
      <c r="L3" s="598" t="s">
        <v>38</v>
      </c>
      <c r="M3" s="617" t="s">
        <v>34</v>
      </c>
      <c r="N3" s="656" t="s">
        <v>35</v>
      </c>
      <c r="O3" s="617" t="s">
        <v>36</v>
      </c>
      <c r="P3" s="656" t="s">
        <v>37</v>
      </c>
      <c r="Q3" s="618" t="s">
        <v>87</v>
      </c>
      <c r="R3" s="663" t="s">
        <v>15</v>
      </c>
      <c r="S3" s="665" t="s">
        <v>16</v>
      </c>
      <c r="T3" s="667" t="s">
        <v>78</v>
      </c>
      <c r="U3" s="653"/>
    </row>
    <row r="4" spans="1:22" ht="25.5" customHeight="1" thickBot="1" x14ac:dyDescent="0.3">
      <c r="A4" s="681"/>
      <c r="B4" s="683"/>
      <c r="C4" s="664"/>
      <c r="D4" s="657"/>
      <c r="E4" s="666"/>
      <c r="F4" s="681"/>
      <c r="G4" s="668"/>
      <c r="H4" s="628"/>
      <c r="I4" s="675"/>
      <c r="J4" s="674"/>
      <c r="K4" s="674"/>
      <c r="L4" s="680"/>
      <c r="M4" s="655"/>
      <c r="N4" s="657"/>
      <c r="O4" s="655"/>
      <c r="P4" s="657"/>
      <c r="Q4" s="658"/>
      <c r="R4" s="664"/>
      <c r="S4" s="666"/>
      <c r="T4" s="668"/>
      <c r="U4" s="654"/>
    </row>
    <row r="5" spans="1:22" ht="15.75" hidden="1" thickBot="1" x14ac:dyDescent="0.3">
      <c r="A5" s="394"/>
      <c r="B5" s="408"/>
      <c r="C5" s="411"/>
      <c r="D5" s="412"/>
      <c r="E5" s="409"/>
      <c r="F5" s="403"/>
      <c r="G5" s="407"/>
      <c r="H5" s="477"/>
      <c r="I5" s="486"/>
      <c r="J5" s="487"/>
      <c r="K5" s="487"/>
      <c r="L5" s="488"/>
      <c r="M5" s="405"/>
      <c r="N5" s="404"/>
      <c r="O5" s="405"/>
      <c r="P5" s="404"/>
      <c r="Q5" s="406"/>
      <c r="R5" s="411"/>
      <c r="S5" s="409"/>
      <c r="T5" s="410"/>
      <c r="U5" s="422"/>
    </row>
    <row r="6" spans="1:22" s="3" customFormat="1" ht="15" hidden="1" customHeight="1" outlineLevel="1" thickBot="1" x14ac:dyDescent="0.3">
      <c r="A6" s="153" t="s">
        <v>21</v>
      </c>
      <c r="B6" s="677" t="s">
        <v>24</v>
      </c>
      <c r="C6" s="216">
        <f t="shared" ref="C6:U6" si="0">SUM(C5)</f>
        <v>0</v>
      </c>
      <c r="D6" s="216">
        <f t="shared" si="0"/>
        <v>0</v>
      </c>
      <c r="E6" s="216">
        <f t="shared" si="0"/>
        <v>0</v>
      </c>
      <c r="F6" s="216">
        <f t="shared" si="0"/>
        <v>0</v>
      </c>
      <c r="G6" s="216">
        <f t="shared" si="0"/>
        <v>0</v>
      </c>
      <c r="H6" s="468">
        <f t="shared" si="0"/>
        <v>0</v>
      </c>
      <c r="I6" s="216">
        <f t="shared" si="0"/>
        <v>0</v>
      </c>
      <c r="J6" s="210">
        <f t="shared" si="0"/>
        <v>0</v>
      </c>
      <c r="K6" s="210">
        <f t="shared" si="0"/>
        <v>0</v>
      </c>
      <c r="L6" s="473">
        <f t="shared" si="0"/>
        <v>0</v>
      </c>
      <c r="M6" s="471">
        <f t="shared" si="0"/>
        <v>0</v>
      </c>
      <c r="N6" s="216">
        <f t="shared" si="0"/>
        <v>0</v>
      </c>
      <c r="O6" s="216">
        <f t="shared" si="0"/>
        <v>0</v>
      </c>
      <c r="P6" s="216">
        <f t="shared" si="0"/>
        <v>0</v>
      </c>
      <c r="Q6" s="216">
        <f t="shared" si="0"/>
        <v>0</v>
      </c>
      <c r="R6" s="216">
        <f t="shared" si="0"/>
        <v>0</v>
      </c>
      <c r="S6" s="216">
        <f t="shared" si="0"/>
        <v>0</v>
      </c>
      <c r="T6" s="474">
        <f t="shared" si="0"/>
        <v>0</v>
      </c>
      <c r="U6" s="216">
        <f t="shared" si="0"/>
        <v>0</v>
      </c>
    </row>
    <row r="7" spans="1:22" s="3" customFormat="1" ht="15" hidden="1" customHeight="1" outlineLevel="1" thickBot="1" x14ac:dyDescent="0.3">
      <c r="A7" s="105" t="s">
        <v>23</v>
      </c>
      <c r="B7" s="678"/>
      <c r="C7" s="216" t="e">
        <f t="shared" ref="C7:U7" si="1">AVERAGE(C5)</f>
        <v>#DIV/0!</v>
      </c>
      <c r="D7" s="216" t="e">
        <f t="shared" si="1"/>
        <v>#DIV/0!</v>
      </c>
      <c r="E7" s="216" t="e">
        <f t="shared" si="1"/>
        <v>#DIV/0!</v>
      </c>
      <c r="F7" s="216" t="e">
        <f t="shared" si="1"/>
        <v>#DIV/0!</v>
      </c>
      <c r="G7" s="216" t="e">
        <f t="shared" si="1"/>
        <v>#DIV/0!</v>
      </c>
      <c r="H7" s="468" t="e">
        <f t="shared" si="1"/>
        <v>#DIV/0!</v>
      </c>
      <c r="I7" s="216" t="e">
        <f t="shared" si="1"/>
        <v>#DIV/0!</v>
      </c>
      <c r="J7" s="210" t="e">
        <f t="shared" si="1"/>
        <v>#DIV/0!</v>
      </c>
      <c r="K7" s="210" t="e">
        <f t="shared" si="1"/>
        <v>#DIV/0!</v>
      </c>
      <c r="L7" s="473" t="e">
        <f t="shared" si="1"/>
        <v>#DIV/0!</v>
      </c>
      <c r="M7" s="471" t="e">
        <f t="shared" si="1"/>
        <v>#DIV/0!</v>
      </c>
      <c r="N7" s="216" t="e">
        <f t="shared" si="1"/>
        <v>#DIV/0!</v>
      </c>
      <c r="O7" s="216" t="e">
        <f t="shared" si="1"/>
        <v>#DIV/0!</v>
      </c>
      <c r="P7" s="216" t="e">
        <f t="shared" si="1"/>
        <v>#DIV/0!</v>
      </c>
      <c r="Q7" s="216" t="e">
        <f t="shared" si="1"/>
        <v>#DIV/0!</v>
      </c>
      <c r="R7" s="216" t="e">
        <f t="shared" si="1"/>
        <v>#DIV/0!</v>
      </c>
      <c r="S7" s="216" t="e">
        <f t="shared" si="1"/>
        <v>#DIV/0!</v>
      </c>
      <c r="T7" s="474" t="e">
        <f t="shared" si="1"/>
        <v>#DIV/0!</v>
      </c>
      <c r="U7" s="216" t="e">
        <f t="shared" si="1"/>
        <v>#DIV/0!</v>
      </c>
    </row>
    <row r="8" spans="1:22" s="3" customFormat="1" ht="15" hidden="1" customHeight="1" thickBot="1" x14ac:dyDescent="0.3">
      <c r="A8" s="26" t="s">
        <v>20</v>
      </c>
      <c r="B8" s="678"/>
      <c r="C8" s="217" t="e">
        <f ca="1">D8SUM(#REF!)</f>
        <v>#NAME?</v>
      </c>
      <c r="D8" s="217" t="e">
        <f>SUM(#REF!)</f>
        <v>#REF!</v>
      </c>
      <c r="E8" s="217" t="e">
        <f>SUM(#REF!)</f>
        <v>#REF!</v>
      </c>
      <c r="F8" s="217" t="e">
        <f>SUM(#REF!)</f>
        <v>#REF!</v>
      </c>
      <c r="G8" s="217" t="e">
        <f>SUM(#REF!)</f>
        <v>#REF!</v>
      </c>
      <c r="H8" s="478" t="e">
        <f>SUM(#REF!)</f>
        <v>#REF!</v>
      </c>
      <c r="I8" s="217" t="e">
        <f>SUM(#REF!)</f>
        <v>#REF!</v>
      </c>
      <c r="J8" s="211" t="e">
        <f>SUM(#REF!)</f>
        <v>#REF!</v>
      </c>
      <c r="K8" s="211" t="e">
        <f>SUM(#REF!)</f>
        <v>#REF!</v>
      </c>
      <c r="L8" s="475" t="e">
        <f>SUM(#REF!)</f>
        <v>#REF!</v>
      </c>
      <c r="M8" s="472" t="e">
        <f>SUM(#REF!)</f>
        <v>#REF!</v>
      </c>
      <c r="N8" s="217" t="e">
        <f>SUM(#REF!)</f>
        <v>#REF!</v>
      </c>
      <c r="O8" s="217" t="e">
        <f>SUM(#REF!)</f>
        <v>#REF!</v>
      </c>
      <c r="P8" s="217" t="e">
        <f>SUM(#REF!)</f>
        <v>#REF!</v>
      </c>
      <c r="Q8" s="217" t="e">
        <f>SUM(#REF!)</f>
        <v>#REF!</v>
      </c>
      <c r="R8" s="217" t="e">
        <f>SUM(#REF!)</f>
        <v>#REF!</v>
      </c>
      <c r="S8" s="217" t="e">
        <f>SUM(#REF!)</f>
        <v>#REF!</v>
      </c>
      <c r="T8" s="489" t="e">
        <f>SUM(#REF!)</f>
        <v>#REF!</v>
      </c>
      <c r="U8" s="217" t="e">
        <f>SUM(#REF!)</f>
        <v>#REF!</v>
      </c>
      <c r="V8" s="285"/>
    </row>
    <row r="9" spans="1:22" s="3" customFormat="1" ht="15" hidden="1" customHeight="1" thickBot="1" x14ac:dyDescent="0.3">
      <c r="A9" s="26" t="s">
        <v>22</v>
      </c>
      <c r="B9" s="679"/>
      <c r="C9" s="217" t="e">
        <f>AVERAGE(#REF!)</f>
        <v>#REF!</v>
      </c>
      <c r="D9" s="217" t="e">
        <f>AVERAGE(#REF!)</f>
        <v>#REF!</v>
      </c>
      <c r="E9" s="217" t="e">
        <f>AVERAGE(#REF!)</f>
        <v>#REF!</v>
      </c>
      <c r="F9" s="217" t="e">
        <f>AVERAGE(#REF!)</f>
        <v>#REF!</v>
      </c>
      <c r="G9" s="217" t="e">
        <f>AVERAGE(#REF!)</f>
        <v>#REF!</v>
      </c>
      <c r="H9" s="478" t="e">
        <f>AVERAGE(#REF!)</f>
        <v>#REF!</v>
      </c>
      <c r="I9" s="217" t="e">
        <f>AVERAGE(#REF!)</f>
        <v>#REF!</v>
      </c>
      <c r="J9" s="211" t="e">
        <f>AVERAGE(#REF!)</f>
        <v>#REF!</v>
      </c>
      <c r="K9" s="211" t="e">
        <f>AVERAGE(#REF!)</f>
        <v>#REF!</v>
      </c>
      <c r="L9" s="475" t="e">
        <f>AVERAGE(#REF!)</f>
        <v>#REF!</v>
      </c>
      <c r="M9" s="472" t="e">
        <f>AVERAGE(#REF!)</f>
        <v>#REF!</v>
      </c>
      <c r="N9" s="217" t="e">
        <f>AVERAGE(#REF!)</f>
        <v>#REF!</v>
      </c>
      <c r="O9" s="217" t="e">
        <f>AVERAGE(#REF!)</f>
        <v>#REF!</v>
      </c>
      <c r="P9" s="217" t="e">
        <f>AVERAGE(#REF!)</f>
        <v>#REF!</v>
      </c>
      <c r="Q9" s="217" t="e">
        <f>AVERAGE(#REF!)</f>
        <v>#REF!</v>
      </c>
      <c r="R9" s="217" t="e">
        <f>AVERAGE(#REF!)</f>
        <v>#REF!</v>
      </c>
      <c r="S9" s="217" t="e">
        <f>AVERAGE(#REF!)</f>
        <v>#REF!</v>
      </c>
      <c r="T9" s="489" t="e">
        <f>AVERAGE(#REF!)</f>
        <v>#REF!</v>
      </c>
      <c r="U9" s="217" t="e">
        <f>AVERAGE(#REF!)</f>
        <v>#REF!</v>
      </c>
      <c r="V9" s="285"/>
    </row>
    <row r="10" spans="1:22" s="2" customFormat="1" ht="15.75" hidden="1" thickBot="1" x14ac:dyDescent="0.3">
      <c r="A10" s="25" t="s">
        <v>3</v>
      </c>
      <c r="B10" s="297">
        <v>43948</v>
      </c>
      <c r="C10" s="219"/>
      <c r="D10" s="205"/>
      <c r="E10" s="281"/>
      <c r="F10" s="49"/>
      <c r="G10" s="50"/>
      <c r="H10" s="479"/>
      <c r="I10" s="215"/>
      <c r="J10" s="203"/>
      <c r="K10" s="203"/>
      <c r="L10" s="19"/>
      <c r="M10" s="481"/>
      <c r="N10" s="51"/>
      <c r="O10" s="51"/>
      <c r="P10" s="51"/>
      <c r="Q10" s="50"/>
      <c r="R10" s="299"/>
      <c r="S10" s="300"/>
      <c r="T10" s="301"/>
      <c r="U10" s="17">
        <f>SUM(C10:T10)</f>
        <v>0</v>
      </c>
    </row>
    <row r="11" spans="1:22" s="2" customFormat="1" ht="15.75" hidden="1" thickBot="1" x14ac:dyDescent="0.3">
      <c r="A11" s="25" t="s">
        <v>4</v>
      </c>
      <c r="B11" s="298">
        <v>43949</v>
      </c>
      <c r="C11" s="215"/>
      <c r="D11" s="203"/>
      <c r="E11" s="213"/>
      <c r="F11" s="18"/>
      <c r="G11" s="19"/>
      <c r="H11" s="182"/>
      <c r="I11" s="215"/>
      <c r="J11" s="203"/>
      <c r="K11" s="203"/>
      <c r="L11" s="19"/>
      <c r="M11" s="137"/>
      <c r="N11" s="235"/>
      <c r="O11" s="20"/>
      <c r="P11" s="20"/>
      <c r="Q11" s="19"/>
      <c r="R11" s="215"/>
      <c r="S11" s="203"/>
      <c r="T11" s="213"/>
      <c r="U11" s="17">
        <f t="shared" ref="U11:U13" si="2">SUM(C11:T11)</f>
        <v>0</v>
      </c>
    </row>
    <row r="12" spans="1:22" s="2" customFormat="1" ht="15.75" hidden="1" outlineLevel="1" thickBot="1" x14ac:dyDescent="0.3">
      <c r="A12" s="25" t="s">
        <v>5</v>
      </c>
      <c r="B12" s="298">
        <v>43950</v>
      </c>
      <c r="C12" s="215"/>
      <c r="D12" s="203"/>
      <c r="E12" s="213"/>
      <c r="F12" s="18"/>
      <c r="G12" s="61"/>
      <c r="H12" s="182"/>
      <c r="I12" s="485"/>
      <c r="J12" s="203"/>
      <c r="K12" s="203"/>
      <c r="L12" s="19"/>
      <c r="M12" s="137"/>
      <c r="N12" s="20"/>
      <c r="O12" s="20"/>
      <c r="P12" s="20"/>
      <c r="Q12" s="19"/>
      <c r="R12" s="215"/>
      <c r="S12" s="203"/>
      <c r="T12" s="213"/>
      <c r="U12" s="17">
        <f t="shared" si="2"/>
        <v>0</v>
      </c>
    </row>
    <row r="13" spans="1:22" s="2" customFormat="1" ht="15.75" hidden="1" outlineLevel="1" thickBot="1" x14ac:dyDescent="0.3">
      <c r="A13" s="25" t="s">
        <v>6</v>
      </c>
      <c r="B13" s="298">
        <v>43951</v>
      </c>
      <c r="C13" s="215"/>
      <c r="D13" s="203"/>
      <c r="E13" s="213"/>
      <c r="F13" s="18"/>
      <c r="G13" s="61"/>
      <c r="H13" s="182"/>
      <c r="I13" s="485"/>
      <c r="J13" s="203"/>
      <c r="K13" s="203"/>
      <c r="L13" s="19"/>
      <c r="M13" s="137"/>
      <c r="N13" s="20"/>
      <c r="O13" s="20"/>
      <c r="P13" s="20"/>
      <c r="Q13" s="19"/>
      <c r="R13" s="215"/>
      <c r="S13" s="203"/>
      <c r="T13" s="213"/>
      <c r="U13" s="17">
        <f t="shared" si="2"/>
        <v>0</v>
      </c>
    </row>
    <row r="14" spans="1:22" s="2" customFormat="1" ht="15.75" outlineLevel="1" thickBot="1" x14ac:dyDescent="0.3">
      <c r="A14" s="25"/>
      <c r="B14" s="298"/>
      <c r="C14" s="215"/>
      <c r="D14" s="203"/>
      <c r="E14" s="213"/>
      <c r="F14" s="18"/>
      <c r="G14" s="61"/>
      <c r="H14" s="182"/>
      <c r="I14" s="485"/>
      <c r="J14" s="203"/>
      <c r="K14" s="203"/>
      <c r="L14" s="19"/>
      <c r="M14" s="137"/>
      <c r="N14" s="20"/>
      <c r="O14" s="20"/>
      <c r="P14" s="20"/>
      <c r="Q14" s="19"/>
      <c r="R14" s="215"/>
      <c r="S14" s="203"/>
      <c r="T14" s="213"/>
      <c r="U14" s="17"/>
    </row>
    <row r="15" spans="1:22" s="2" customFormat="1" ht="15.75" outlineLevel="1" thickBot="1" x14ac:dyDescent="0.3">
      <c r="A15" s="25"/>
      <c r="B15" s="298"/>
      <c r="C15" s="215"/>
      <c r="D15" s="203"/>
      <c r="E15" s="213"/>
      <c r="F15" s="18"/>
      <c r="G15" s="61"/>
      <c r="H15" s="182"/>
      <c r="I15" s="215"/>
      <c r="J15" s="203"/>
      <c r="K15" s="203"/>
      <c r="L15" s="19"/>
      <c r="M15" s="137"/>
      <c r="N15" s="20"/>
      <c r="O15" s="20"/>
      <c r="P15" s="20"/>
      <c r="Q15" s="19"/>
      <c r="R15" s="215"/>
      <c r="S15" s="203"/>
      <c r="T15" s="213"/>
      <c r="U15" s="17"/>
    </row>
    <row r="16" spans="1:22" s="2" customFormat="1" ht="15" customHeight="1" outlineLevel="1" thickBot="1" x14ac:dyDescent="0.3">
      <c r="A16" s="25"/>
      <c r="B16" s="298"/>
      <c r="C16" s="215"/>
      <c r="D16" s="203"/>
      <c r="E16" s="213"/>
      <c r="F16" s="18"/>
      <c r="G16" s="61"/>
      <c r="H16" s="182"/>
      <c r="I16" s="215"/>
      <c r="J16" s="203"/>
      <c r="K16" s="203"/>
      <c r="L16" s="19"/>
      <c r="M16" s="137"/>
      <c r="N16" s="235"/>
      <c r="O16" s="20"/>
      <c r="P16" s="20"/>
      <c r="Q16" s="19"/>
      <c r="R16" s="215"/>
      <c r="S16" s="203"/>
      <c r="T16" s="213"/>
      <c r="U16" s="17"/>
    </row>
    <row r="17" spans="1:23" s="3" customFormat="1" ht="15" customHeight="1" outlineLevel="1" thickBot="1" x14ac:dyDescent="0.3">
      <c r="A17" s="153" t="s">
        <v>21</v>
      </c>
      <c r="B17" s="678" t="s">
        <v>119</v>
      </c>
      <c r="C17" s="216">
        <f t="shared" ref="C17:T17" si="3">SUM(C10:C16)</f>
        <v>0</v>
      </c>
      <c r="D17" s="216">
        <f t="shared" si="3"/>
        <v>0</v>
      </c>
      <c r="E17" s="216">
        <f t="shared" si="3"/>
        <v>0</v>
      </c>
      <c r="F17" s="216">
        <f t="shared" si="3"/>
        <v>0</v>
      </c>
      <c r="G17" s="216">
        <f t="shared" si="3"/>
        <v>0</v>
      </c>
      <c r="H17" s="468">
        <f t="shared" si="3"/>
        <v>0</v>
      </c>
      <c r="I17" s="216">
        <f t="shared" si="3"/>
        <v>0</v>
      </c>
      <c r="J17" s="210">
        <f t="shared" si="3"/>
        <v>0</v>
      </c>
      <c r="K17" s="210">
        <f t="shared" si="3"/>
        <v>0</v>
      </c>
      <c r="L17" s="473">
        <f t="shared" si="3"/>
        <v>0</v>
      </c>
      <c r="M17" s="471">
        <f t="shared" si="3"/>
        <v>0</v>
      </c>
      <c r="N17" s="216">
        <f t="shared" si="3"/>
        <v>0</v>
      </c>
      <c r="O17" s="216">
        <f t="shared" si="3"/>
        <v>0</v>
      </c>
      <c r="P17" s="216">
        <f t="shared" si="3"/>
        <v>0</v>
      </c>
      <c r="Q17" s="216">
        <f t="shared" si="3"/>
        <v>0</v>
      </c>
      <c r="R17" s="216">
        <f t="shared" si="3"/>
        <v>0</v>
      </c>
      <c r="S17" s="216">
        <f t="shared" si="3"/>
        <v>0</v>
      </c>
      <c r="T17" s="474">
        <f t="shared" si="3"/>
        <v>0</v>
      </c>
      <c r="U17" s="216">
        <f>SUM(U10:U16)</f>
        <v>0</v>
      </c>
    </row>
    <row r="18" spans="1:23" s="3" customFormat="1" ht="15" customHeight="1" outlineLevel="1" thickBot="1" x14ac:dyDescent="0.3">
      <c r="A18" s="105" t="s">
        <v>23</v>
      </c>
      <c r="B18" s="678"/>
      <c r="C18" s="216" t="e">
        <f t="shared" ref="C18:U18" si="4">AVERAGE(C10:C16)</f>
        <v>#DIV/0!</v>
      </c>
      <c r="D18" s="216" t="e">
        <f t="shared" si="4"/>
        <v>#DIV/0!</v>
      </c>
      <c r="E18" s="216" t="e">
        <f t="shared" si="4"/>
        <v>#DIV/0!</v>
      </c>
      <c r="F18" s="216" t="e">
        <f t="shared" si="4"/>
        <v>#DIV/0!</v>
      </c>
      <c r="G18" s="216" t="e">
        <f t="shared" si="4"/>
        <v>#DIV/0!</v>
      </c>
      <c r="H18" s="468" t="e">
        <f t="shared" si="4"/>
        <v>#DIV/0!</v>
      </c>
      <c r="I18" s="216" t="e">
        <f t="shared" si="4"/>
        <v>#DIV/0!</v>
      </c>
      <c r="J18" s="210" t="e">
        <f t="shared" si="4"/>
        <v>#DIV/0!</v>
      </c>
      <c r="K18" s="210" t="e">
        <f t="shared" si="4"/>
        <v>#DIV/0!</v>
      </c>
      <c r="L18" s="473" t="e">
        <f t="shared" si="4"/>
        <v>#DIV/0!</v>
      </c>
      <c r="M18" s="471" t="e">
        <f t="shared" si="4"/>
        <v>#DIV/0!</v>
      </c>
      <c r="N18" s="216" t="e">
        <f t="shared" si="4"/>
        <v>#DIV/0!</v>
      </c>
      <c r="O18" s="216" t="e">
        <f t="shared" si="4"/>
        <v>#DIV/0!</v>
      </c>
      <c r="P18" s="216" t="e">
        <f t="shared" si="4"/>
        <v>#DIV/0!</v>
      </c>
      <c r="Q18" s="216" t="e">
        <f t="shared" si="4"/>
        <v>#DIV/0!</v>
      </c>
      <c r="R18" s="216" t="e">
        <f t="shared" si="4"/>
        <v>#DIV/0!</v>
      </c>
      <c r="S18" s="216" t="e">
        <f t="shared" si="4"/>
        <v>#DIV/0!</v>
      </c>
      <c r="T18" s="474" t="e">
        <f t="shared" si="4"/>
        <v>#DIV/0!</v>
      </c>
      <c r="U18" s="216">
        <f t="shared" si="4"/>
        <v>0</v>
      </c>
    </row>
    <row r="19" spans="1:23" s="3" customFormat="1" ht="15" customHeight="1" thickBot="1" x14ac:dyDescent="0.3">
      <c r="A19" s="26" t="s">
        <v>20</v>
      </c>
      <c r="B19" s="678"/>
      <c r="C19" s="217">
        <f t="shared" ref="C19:U19" si="5">SUM(C10:C14)</f>
        <v>0</v>
      </c>
      <c r="D19" s="217">
        <f t="shared" si="5"/>
        <v>0</v>
      </c>
      <c r="E19" s="217">
        <f t="shared" si="5"/>
        <v>0</v>
      </c>
      <c r="F19" s="217">
        <f t="shared" si="5"/>
        <v>0</v>
      </c>
      <c r="G19" s="217">
        <f t="shared" si="5"/>
        <v>0</v>
      </c>
      <c r="H19" s="478">
        <f t="shared" si="5"/>
        <v>0</v>
      </c>
      <c r="I19" s="217">
        <f t="shared" si="5"/>
        <v>0</v>
      </c>
      <c r="J19" s="211">
        <f t="shared" si="5"/>
        <v>0</v>
      </c>
      <c r="K19" s="211">
        <f t="shared" si="5"/>
        <v>0</v>
      </c>
      <c r="L19" s="475">
        <f t="shared" si="5"/>
        <v>0</v>
      </c>
      <c r="M19" s="472">
        <f t="shared" si="5"/>
        <v>0</v>
      </c>
      <c r="N19" s="217">
        <f t="shared" si="5"/>
        <v>0</v>
      </c>
      <c r="O19" s="217">
        <f t="shared" si="5"/>
        <v>0</v>
      </c>
      <c r="P19" s="217">
        <f t="shared" si="5"/>
        <v>0</v>
      </c>
      <c r="Q19" s="217">
        <f t="shared" si="5"/>
        <v>0</v>
      </c>
      <c r="R19" s="217">
        <f t="shared" si="5"/>
        <v>0</v>
      </c>
      <c r="S19" s="217">
        <f t="shared" si="5"/>
        <v>0</v>
      </c>
      <c r="T19" s="489">
        <f t="shared" si="5"/>
        <v>0</v>
      </c>
      <c r="U19" s="217">
        <f t="shared" si="5"/>
        <v>0</v>
      </c>
      <c r="V19" s="285"/>
    </row>
    <row r="20" spans="1:23" s="3" customFormat="1" ht="15" customHeight="1" thickBot="1" x14ac:dyDescent="0.3">
      <c r="A20" s="26" t="s">
        <v>22</v>
      </c>
      <c r="B20" s="678"/>
      <c r="C20" s="217" t="e">
        <f>AVERAGE(C10:C14)</f>
        <v>#DIV/0!</v>
      </c>
      <c r="D20" s="217" t="e">
        <f t="shared" ref="D20:U20" si="6">AVERAGE(D10:D14)</f>
        <v>#DIV/0!</v>
      </c>
      <c r="E20" s="217" t="e">
        <f t="shared" si="6"/>
        <v>#DIV/0!</v>
      </c>
      <c r="F20" s="217" t="e">
        <f t="shared" si="6"/>
        <v>#DIV/0!</v>
      </c>
      <c r="G20" s="217" t="e">
        <f t="shared" si="6"/>
        <v>#DIV/0!</v>
      </c>
      <c r="H20" s="478" t="e">
        <f t="shared" si="6"/>
        <v>#DIV/0!</v>
      </c>
      <c r="I20" s="217" t="e">
        <f t="shared" si="6"/>
        <v>#DIV/0!</v>
      </c>
      <c r="J20" s="211" t="e">
        <f t="shared" si="6"/>
        <v>#DIV/0!</v>
      </c>
      <c r="K20" s="211" t="e">
        <f t="shared" si="6"/>
        <v>#DIV/0!</v>
      </c>
      <c r="L20" s="475" t="e">
        <f t="shared" si="6"/>
        <v>#DIV/0!</v>
      </c>
      <c r="M20" s="472" t="e">
        <f t="shared" si="6"/>
        <v>#DIV/0!</v>
      </c>
      <c r="N20" s="217" t="e">
        <f t="shared" si="6"/>
        <v>#DIV/0!</v>
      </c>
      <c r="O20" s="217" t="e">
        <f t="shared" si="6"/>
        <v>#DIV/0!</v>
      </c>
      <c r="P20" s="217" t="e">
        <f t="shared" si="6"/>
        <v>#DIV/0!</v>
      </c>
      <c r="Q20" s="217" t="e">
        <f t="shared" si="6"/>
        <v>#DIV/0!</v>
      </c>
      <c r="R20" s="217" t="e">
        <f t="shared" si="6"/>
        <v>#DIV/0!</v>
      </c>
      <c r="S20" s="217" t="e">
        <f t="shared" si="6"/>
        <v>#DIV/0!</v>
      </c>
      <c r="T20" s="489" t="e">
        <f t="shared" si="6"/>
        <v>#DIV/0!</v>
      </c>
      <c r="U20" s="217">
        <f t="shared" si="6"/>
        <v>0</v>
      </c>
      <c r="V20" s="285"/>
    </row>
    <row r="21" spans="1:23" s="3" customFormat="1" ht="15" customHeight="1" x14ac:dyDescent="0.25">
      <c r="A21" s="25" t="s">
        <v>3</v>
      </c>
      <c r="B21" s="162">
        <v>43983</v>
      </c>
      <c r="C21" s="215"/>
      <c r="D21" s="203"/>
      <c r="E21" s="212"/>
      <c r="F21" s="18"/>
      <c r="G21" s="19"/>
      <c r="H21" s="182"/>
      <c r="I21" s="215">
        <v>224</v>
      </c>
      <c r="J21" s="203"/>
      <c r="K21" s="203"/>
      <c r="L21" s="19"/>
      <c r="M21" s="137"/>
      <c r="N21" s="20"/>
      <c r="O21" s="20"/>
      <c r="P21" s="20"/>
      <c r="Q21" s="19"/>
      <c r="R21" s="215"/>
      <c r="S21" s="203"/>
      <c r="T21" s="213"/>
      <c r="U21" s="270">
        <f t="shared" ref="U21:U27" si="7">SUM(C21:T21)</f>
        <v>224</v>
      </c>
      <c r="V21" s="285"/>
    </row>
    <row r="22" spans="1:23" s="3" customFormat="1" ht="15" customHeight="1" x14ac:dyDescent="0.25">
      <c r="A22" s="25" t="s">
        <v>4</v>
      </c>
      <c r="B22" s="163">
        <v>43984</v>
      </c>
      <c r="C22" s="215"/>
      <c r="D22" s="203"/>
      <c r="E22" s="212"/>
      <c r="F22" s="18"/>
      <c r="G22" s="19"/>
      <c r="H22" s="182"/>
      <c r="I22" s="215">
        <v>206</v>
      </c>
      <c r="J22" s="203"/>
      <c r="K22" s="203"/>
      <c r="L22" s="19"/>
      <c r="M22" s="137"/>
      <c r="N22" s="20"/>
      <c r="O22" s="20"/>
      <c r="P22" s="20"/>
      <c r="Q22" s="19"/>
      <c r="R22" s="215"/>
      <c r="S22" s="203"/>
      <c r="T22" s="213"/>
      <c r="U22" s="270">
        <f t="shared" si="7"/>
        <v>206</v>
      </c>
      <c r="V22" s="285"/>
    </row>
    <row r="23" spans="1:23" s="3" customFormat="1" ht="15" customHeight="1" x14ac:dyDescent="0.25">
      <c r="A23" s="25" t="s">
        <v>5</v>
      </c>
      <c r="B23" s="163">
        <v>43985</v>
      </c>
      <c r="C23" s="215"/>
      <c r="D23" s="203"/>
      <c r="E23" s="212"/>
      <c r="F23" s="190"/>
      <c r="G23" s="248"/>
      <c r="H23" s="182"/>
      <c r="I23" s="215">
        <v>156</v>
      </c>
      <c r="J23" s="203"/>
      <c r="K23" s="203"/>
      <c r="L23" s="248"/>
      <c r="M23" s="198"/>
      <c r="N23" s="247"/>
      <c r="O23" s="247"/>
      <c r="P23" s="247"/>
      <c r="Q23" s="248"/>
      <c r="R23" s="215"/>
      <c r="S23" s="203"/>
      <c r="T23" s="213"/>
      <c r="U23" s="270">
        <f t="shared" si="7"/>
        <v>156</v>
      </c>
      <c r="V23" s="285"/>
    </row>
    <row r="24" spans="1:23" s="3" customFormat="1" ht="15" customHeight="1" x14ac:dyDescent="0.25">
      <c r="A24" s="25" t="s">
        <v>6</v>
      </c>
      <c r="B24" s="164">
        <v>43986</v>
      </c>
      <c r="C24" s="215"/>
      <c r="D24" s="203"/>
      <c r="E24" s="212"/>
      <c r="F24" s="18"/>
      <c r="G24" s="19"/>
      <c r="H24" s="182"/>
      <c r="I24" s="215">
        <v>259</v>
      </c>
      <c r="J24" s="178"/>
      <c r="K24" s="203"/>
      <c r="L24" s="19"/>
      <c r="M24" s="137"/>
      <c r="N24" s="20"/>
      <c r="O24" s="20"/>
      <c r="P24" s="20"/>
      <c r="Q24" s="19"/>
      <c r="R24" s="215"/>
      <c r="S24" s="203"/>
      <c r="T24" s="213"/>
      <c r="U24" s="270">
        <f t="shared" si="7"/>
        <v>259</v>
      </c>
      <c r="V24" s="285"/>
    </row>
    <row r="25" spans="1:23" s="3" customFormat="1" ht="15" customHeight="1" x14ac:dyDescent="0.25">
      <c r="A25" s="25" t="s">
        <v>0</v>
      </c>
      <c r="B25" s="164">
        <v>43987</v>
      </c>
      <c r="C25" s="215"/>
      <c r="D25" s="203"/>
      <c r="E25" s="212"/>
      <c r="F25" s="18"/>
      <c r="G25" s="19"/>
      <c r="H25" s="182"/>
      <c r="I25" s="215">
        <v>193</v>
      </c>
      <c r="J25" s="203"/>
      <c r="K25" s="203"/>
      <c r="L25" s="19"/>
      <c r="M25" s="137"/>
      <c r="N25" s="20"/>
      <c r="O25" s="20"/>
      <c r="P25" s="20"/>
      <c r="Q25" s="19"/>
      <c r="R25" s="215"/>
      <c r="S25" s="203"/>
      <c r="T25" s="213"/>
      <c r="U25" s="270">
        <f t="shared" si="7"/>
        <v>193</v>
      </c>
    </row>
    <row r="26" spans="1:23" s="3" customFormat="1" ht="15" customHeight="1" outlineLevel="1" x14ac:dyDescent="0.25">
      <c r="A26" s="25" t="s">
        <v>1</v>
      </c>
      <c r="B26" s="176">
        <v>43988</v>
      </c>
      <c r="C26" s="215"/>
      <c r="D26" s="203"/>
      <c r="E26" s="212"/>
      <c r="F26" s="18"/>
      <c r="G26" s="19"/>
      <c r="H26" s="182"/>
      <c r="I26" s="215"/>
      <c r="J26" s="203"/>
      <c r="K26" s="203"/>
      <c r="L26" s="19"/>
      <c r="M26" s="137"/>
      <c r="N26" s="225"/>
      <c r="O26" s="20"/>
      <c r="P26" s="20"/>
      <c r="Q26" s="19"/>
      <c r="R26" s="215"/>
      <c r="S26" s="302"/>
      <c r="T26" s="213"/>
      <c r="U26" s="270">
        <f t="shared" si="7"/>
        <v>0</v>
      </c>
    </row>
    <row r="27" spans="1:23" s="3" customFormat="1" ht="15" customHeight="1" outlineLevel="1" thickBot="1" x14ac:dyDescent="0.3">
      <c r="A27" s="25" t="s">
        <v>2</v>
      </c>
      <c r="B27" s="163">
        <v>43989</v>
      </c>
      <c r="C27" s="215"/>
      <c r="D27" s="203"/>
      <c r="E27" s="212"/>
      <c r="F27" s="18"/>
      <c r="G27" s="19"/>
      <c r="H27" s="182"/>
      <c r="I27" s="215"/>
      <c r="J27" s="203"/>
      <c r="K27" s="203"/>
      <c r="L27" s="19"/>
      <c r="M27" s="482"/>
      <c r="N27" s="36"/>
      <c r="O27" s="36"/>
      <c r="P27" s="36"/>
      <c r="Q27" s="296"/>
      <c r="R27" s="215"/>
      <c r="S27" s="203"/>
      <c r="T27" s="213"/>
      <c r="U27" s="270">
        <f t="shared" si="7"/>
        <v>0</v>
      </c>
    </row>
    <row r="28" spans="1:23" s="3" customFormat="1" ht="15" customHeight="1" outlineLevel="1" thickBot="1" x14ac:dyDescent="0.3">
      <c r="A28" s="153" t="s">
        <v>21</v>
      </c>
      <c r="B28" s="677" t="s">
        <v>24</v>
      </c>
      <c r="C28" s="216">
        <f t="shared" ref="C28:T28" si="8">SUM(C21:C27)</f>
        <v>0</v>
      </c>
      <c r="D28" s="216">
        <f t="shared" si="8"/>
        <v>0</v>
      </c>
      <c r="E28" s="216">
        <f t="shared" si="8"/>
        <v>0</v>
      </c>
      <c r="F28" s="216">
        <f t="shared" si="8"/>
        <v>0</v>
      </c>
      <c r="G28" s="216">
        <f t="shared" si="8"/>
        <v>0</v>
      </c>
      <c r="H28" s="468">
        <f t="shared" si="8"/>
        <v>0</v>
      </c>
      <c r="I28" s="216">
        <f>SUM(I21:I27)</f>
        <v>1038</v>
      </c>
      <c r="J28" s="210">
        <f t="shared" si="8"/>
        <v>0</v>
      </c>
      <c r="K28" s="210">
        <f t="shared" si="8"/>
        <v>0</v>
      </c>
      <c r="L28" s="473">
        <f t="shared" si="8"/>
        <v>0</v>
      </c>
      <c r="M28" s="471">
        <f t="shared" si="8"/>
        <v>0</v>
      </c>
      <c r="N28" s="216">
        <f t="shared" si="8"/>
        <v>0</v>
      </c>
      <c r="O28" s="216">
        <f t="shared" si="8"/>
        <v>0</v>
      </c>
      <c r="P28" s="216">
        <f t="shared" si="8"/>
        <v>0</v>
      </c>
      <c r="Q28" s="216">
        <f t="shared" si="8"/>
        <v>0</v>
      </c>
      <c r="R28" s="216">
        <f t="shared" si="8"/>
        <v>0</v>
      </c>
      <c r="S28" s="216">
        <f t="shared" si="8"/>
        <v>0</v>
      </c>
      <c r="T28" s="474">
        <f t="shared" si="8"/>
        <v>0</v>
      </c>
      <c r="U28" s="216">
        <f>SUM(U21:U27)</f>
        <v>1038</v>
      </c>
      <c r="V28" s="285"/>
    </row>
    <row r="29" spans="1:23" s="3" customFormat="1" ht="15" customHeight="1" outlineLevel="1" thickBot="1" x14ac:dyDescent="0.3">
      <c r="A29" s="105" t="s">
        <v>23</v>
      </c>
      <c r="B29" s="678"/>
      <c r="C29" s="216" t="e">
        <f t="shared" ref="C29:U29" si="9">AVERAGE(C21:C27)</f>
        <v>#DIV/0!</v>
      </c>
      <c r="D29" s="216" t="e">
        <f t="shared" si="9"/>
        <v>#DIV/0!</v>
      </c>
      <c r="E29" s="216" t="e">
        <f t="shared" si="9"/>
        <v>#DIV/0!</v>
      </c>
      <c r="F29" s="216" t="e">
        <f t="shared" si="9"/>
        <v>#DIV/0!</v>
      </c>
      <c r="G29" s="216" t="e">
        <f t="shared" si="9"/>
        <v>#DIV/0!</v>
      </c>
      <c r="H29" s="468" t="e">
        <f t="shared" si="9"/>
        <v>#DIV/0!</v>
      </c>
      <c r="I29" s="216">
        <f>AVERAGE(I21:I27)</f>
        <v>207.6</v>
      </c>
      <c r="J29" s="210" t="e">
        <f t="shared" si="9"/>
        <v>#DIV/0!</v>
      </c>
      <c r="K29" s="210" t="e">
        <f t="shared" si="9"/>
        <v>#DIV/0!</v>
      </c>
      <c r="L29" s="473" t="e">
        <f t="shared" si="9"/>
        <v>#DIV/0!</v>
      </c>
      <c r="M29" s="471" t="e">
        <f t="shared" si="9"/>
        <v>#DIV/0!</v>
      </c>
      <c r="N29" s="216" t="e">
        <f t="shared" si="9"/>
        <v>#DIV/0!</v>
      </c>
      <c r="O29" s="216" t="e">
        <f t="shared" si="9"/>
        <v>#DIV/0!</v>
      </c>
      <c r="P29" s="216" t="e">
        <f t="shared" si="9"/>
        <v>#DIV/0!</v>
      </c>
      <c r="Q29" s="216" t="e">
        <f t="shared" si="9"/>
        <v>#DIV/0!</v>
      </c>
      <c r="R29" s="216" t="e">
        <f t="shared" si="9"/>
        <v>#DIV/0!</v>
      </c>
      <c r="S29" s="216" t="e">
        <f t="shared" si="9"/>
        <v>#DIV/0!</v>
      </c>
      <c r="T29" s="474" t="e">
        <f t="shared" si="9"/>
        <v>#DIV/0!</v>
      </c>
      <c r="U29" s="216">
        <f t="shared" si="9"/>
        <v>148.28571428571428</v>
      </c>
      <c r="V29" s="285"/>
    </row>
    <row r="30" spans="1:23" s="3" customFormat="1" ht="15" customHeight="1" thickBot="1" x14ac:dyDescent="0.3">
      <c r="A30" s="26" t="s">
        <v>20</v>
      </c>
      <c r="B30" s="678"/>
      <c r="C30" s="217">
        <f t="shared" ref="C30:T30" si="10">SUM(C21:C25)</f>
        <v>0</v>
      </c>
      <c r="D30" s="217">
        <f t="shared" si="10"/>
        <v>0</v>
      </c>
      <c r="E30" s="217">
        <f t="shared" si="10"/>
        <v>0</v>
      </c>
      <c r="F30" s="217">
        <f t="shared" si="10"/>
        <v>0</v>
      </c>
      <c r="G30" s="217">
        <f t="shared" si="10"/>
        <v>0</v>
      </c>
      <c r="H30" s="478">
        <f t="shared" si="10"/>
        <v>0</v>
      </c>
      <c r="I30" s="217">
        <f>SUM(I21:I25)</f>
        <v>1038</v>
      </c>
      <c r="J30" s="211">
        <f>SUM(J21:J25)</f>
        <v>0</v>
      </c>
      <c r="K30" s="211">
        <f t="shared" si="10"/>
        <v>0</v>
      </c>
      <c r="L30" s="475">
        <f t="shared" si="10"/>
        <v>0</v>
      </c>
      <c r="M30" s="472">
        <f t="shared" si="10"/>
        <v>0</v>
      </c>
      <c r="N30" s="217">
        <f t="shared" si="10"/>
        <v>0</v>
      </c>
      <c r="O30" s="217">
        <f t="shared" si="10"/>
        <v>0</v>
      </c>
      <c r="P30" s="217">
        <f t="shared" si="10"/>
        <v>0</v>
      </c>
      <c r="Q30" s="217">
        <f t="shared" si="10"/>
        <v>0</v>
      </c>
      <c r="R30" s="217">
        <f t="shared" si="10"/>
        <v>0</v>
      </c>
      <c r="S30" s="217">
        <f t="shared" si="10"/>
        <v>0</v>
      </c>
      <c r="T30" s="489">
        <f t="shared" si="10"/>
        <v>0</v>
      </c>
      <c r="U30" s="217">
        <f>SUM(U21:U25)</f>
        <v>1038</v>
      </c>
      <c r="V30" s="285"/>
    </row>
    <row r="31" spans="1:23" s="3" customFormat="1" ht="15" customHeight="1" thickBot="1" x14ac:dyDescent="0.3">
      <c r="A31" s="26" t="s">
        <v>22</v>
      </c>
      <c r="B31" s="679"/>
      <c r="C31" s="217" t="e">
        <f>AVERAGE(C21:C25)</f>
        <v>#DIV/0!</v>
      </c>
      <c r="D31" s="217" t="e">
        <f t="shared" ref="D31:U31" si="11">AVERAGE(D21:D25)</f>
        <v>#DIV/0!</v>
      </c>
      <c r="E31" s="217" t="e">
        <f t="shared" si="11"/>
        <v>#DIV/0!</v>
      </c>
      <c r="F31" s="217" t="e">
        <f t="shared" si="11"/>
        <v>#DIV/0!</v>
      </c>
      <c r="G31" s="217" t="e">
        <f t="shared" si="11"/>
        <v>#DIV/0!</v>
      </c>
      <c r="H31" s="478" t="e">
        <f t="shared" si="11"/>
        <v>#DIV/0!</v>
      </c>
      <c r="I31" s="217">
        <f>AVERAGE(I21:I25)</f>
        <v>207.6</v>
      </c>
      <c r="J31" s="211" t="e">
        <f>AVERAGE(J21:J25)</f>
        <v>#DIV/0!</v>
      </c>
      <c r="K31" s="211" t="e">
        <f t="shared" si="11"/>
        <v>#DIV/0!</v>
      </c>
      <c r="L31" s="475" t="e">
        <f t="shared" si="11"/>
        <v>#DIV/0!</v>
      </c>
      <c r="M31" s="472" t="e">
        <f t="shared" si="11"/>
        <v>#DIV/0!</v>
      </c>
      <c r="N31" s="217" t="e">
        <f t="shared" si="11"/>
        <v>#DIV/0!</v>
      </c>
      <c r="O31" s="217" t="e">
        <f t="shared" si="11"/>
        <v>#DIV/0!</v>
      </c>
      <c r="P31" s="217" t="e">
        <f t="shared" si="11"/>
        <v>#DIV/0!</v>
      </c>
      <c r="Q31" s="217" t="e">
        <f t="shared" si="11"/>
        <v>#DIV/0!</v>
      </c>
      <c r="R31" s="217" t="e">
        <f t="shared" si="11"/>
        <v>#DIV/0!</v>
      </c>
      <c r="S31" s="217" t="e">
        <f t="shared" si="11"/>
        <v>#DIV/0!</v>
      </c>
      <c r="T31" s="489" t="e">
        <f t="shared" si="11"/>
        <v>#DIV/0!</v>
      </c>
      <c r="U31" s="217">
        <f t="shared" si="11"/>
        <v>207.6</v>
      </c>
      <c r="V31" s="285"/>
    </row>
    <row r="32" spans="1:23" s="3" customFormat="1" ht="15" customHeight="1" x14ac:dyDescent="0.25">
      <c r="A32" s="25" t="s">
        <v>3</v>
      </c>
      <c r="B32" s="165">
        <f>B27+1</f>
        <v>43990</v>
      </c>
      <c r="C32" s="215"/>
      <c r="D32" s="203"/>
      <c r="E32" s="212"/>
      <c r="F32" s="252"/>
      <c r="G32" s="200"/>
      <c r="H32" s="182"/>
      <c r="I32" s="215">
        <v>267</v>
      </c>
      <c r="J32" s="203"/>
      <c r="K32" s="203"/>
      <c r="L32" s="392"/>
      <c r="M32" s="483"/>
      <c r="N32" s="186"/>
      <c r="O32" s="187"/>
      <c r="P32" s="187"/>
      <c r="Q32" s="200"/>
      <c r="R32" s="215"/>
      <c r="S32" s="203"/>
      <c r="T32" s="213"/>
      <c r="U32" s="270">
        <f>SUM(C32:T32)</f>
        <v>267</v>
      </c>
      <c r="V32" s="285"/>
      <c r="W32" s="285"/>
    </row>
    <row r="33" spans="1:23" s="3" customFormat="1" ht="15" customHeight="1" x14ac:dyDescent="0.25">
      <c r="A33" s="25" t="s">
        <v>4</v>
      </c>
      <c r="B33" s="166">
        <f t="shared" ref="B33:B38" si="12">B32+1</f>
        <v>43991</v>
      </c>
      <c r="C33" s="215"/>
      <c r="D33" s="203"/>
      <c r="E33" s="212"/>
      <c r="F33" s="252"/>
      <c r="G33" s="200"/>
      <c r="H33" s="182"/>
      <c r="I33" s="215">
        <v>362</v>
      </c>
      <c r="J33" s="203"/>
      <c r="K33" s="203"/>
      <c r="L33" s="392"/>
      <c r="M33" s="483"/>
      <c r="N33" s="186"/>
      <c r="O33" s="187"/>
      <c r="P33" s="187"/>
      <c r="Q33" s="200"/>
      <c r="R33" s="303"/>
      <c r="S33" s="203"/>
      <c r="T33" s="213"/>
      <c r="U33" s="270">
        <f t="shared" ref="U33:U38" si="13">SUM(C33:T33)</f>
        <v>362</v>
      </c>
      <c r="V33" s="285"/>
      <c r="W33" s="285"/>
    </row>
    <row r="34" spans="1:23" s="3" customFormat="1" ht="15" customHeight="1" x14ac:dyDescent="0.25">
      <c r="A34" s="25" t="s">
        <v>5</v>
      </c>
      <c r="B34" s="166">
        <f t="shared" si="12"/>
        <v>43992</v>
      </c>
      <c r="C34" s="215"/>
      <c r="D34" s="203"/>
      <c r="E34" s="212"/>
      <c r="F34" s="252"/>
      <c r="G34" s="200"/>
      <c r="H34" s="182"/>
      <c r="I34" s="215">
        <v>322</v>
      </c>
      <c r="J34" s="203"/>
      <c r="K34" s="203"/>
      <c r="L34" s="392"/>
      <c r="M34" s="483"/>
      <c r="N34" s="186"/>
      <c r="O34" s="187"/>
      <c r="P34" s="187"/>
      <c r="Q34" s="200"/>
      <c r="R34" s="303"/>
      <c r="S34" s="203"/>
      <c r="T34" s="213"/>
      <c r="U34" s="270">
        <f t="shared" si="13"/>
        <v>322</v>
      </c>
      <c r="V34" s="285"/>
      <c r="W34" s="285"/>
    </row>
    <row r="35" spans="1:23" s="3" customFormat="1" ht="15" customHeight="1" x14ac:dyDescent="0.25">
      <c r="A35" s="25" t="s">
        <v>6</v>
      </c>
      <c r="B35" s="166">
        <f t="shared" si="12"/>
        <v>43993</v>
      </c>
      <c r="C35" s="215"/>
      <c r="D35" s="203"/>
      <c r="E35" s="212"/>
      <c r="F35" s="252"/>
      <c r="G35" s="200"/>
      <c r="H35" s="182"/>
      <c r="I35" s="215">
        <v>209</v>
      </c>
      <c r="J35" s="203"/>
      <c r="K35" s="203"/>
      <c r="L35" s="392"/>
      <c r="M35" s="483"/>
      <c r="N35" s="186"/>
      <c r="O35" s="187"/>
      <c r="P35" s="187"/>
      <c r="Q35" s="200"/>
      <c r="R35" s="303"/>
      <c r="S35" s="203"/>
      <c r="T35" s="213"/>
      <c r="U35" s="270">
        <f t="shared" si="13"/>
        <v>209</v>
      </c>
      <c r="V35" s="285"/>
      <c r="W35" s="285"/>
    </row>
    <row r="36" spans="1:23" s="3" customFormat="1" ht="15" customHeight="1" x14ac:dyDescent="0.25">
      <c r="A36" s="25" t="s">
        <v>0</v>
      </c>
      <c r="B36" s="166">
        <f t="shared" si="12"/>
        <v>43994</v>
      </c>
      <c r="C36" s="215"/>
      <c r="D36" s="203"/>
      <c r="E36" s="212"/>
      <c r="F36" s="252"/>
      <c r="G36" s="200"/>
      <c r="H36" s="182"/>
      <c r="I36" s="215">
        <v>455</v>
      </c>
      <c r="J36" s="203"/>
      <c r="K36" s="203"/>
      <c r="L36" s="392"/>
      <c r="M36" s="483"/>
      <c r="N36" s="186"/>
      <c r="O36" s="187"/>
      <c r="P36" s="186"/>
      <c r="Q36" s="200"/>
      <c r="R36" s="303"/>
      <c r="S36" s="203"/>
      <c r="T36" s="213"/>
      <c r="U36" s="270">
        <f t="shared" si="13"/>
        <v>455</v>
      </c>
      <c r="V36" s="285"/>
      <c r="W36" s="285"/>
    </row>
    <row r="37" spans="1:23" s="3" customFormat="1" ht="15" customHeight="1" outlineLevel="1" x14ac:dyDescent="0.25">
      <c r="A37" s="25" t="s">
        <v>1</v>
      </c>
      <c r="B37" s="166">
        <f t="shared" si="12"/>
        <v>43995</v>
      </c>
      <c r="C37" s="215"/>
      <c r="D37" s="203"/>
      <c r="E37" s="212"/>
      <c r="F37" s="249"/>
      <c r="G37" s="200"/>
      <c r="H37" s="182"/>
      <c r="I37" s="215"/>
      <c r="J37" s="203"/>
      <c r="K37" s="203"/>
      <c r="L37" s="200"/>
      <c r="M37" s="483"/>
      <c r="N37" s="187"/>
      <c r="O37" s="187"/>
      <c r="P37" s="187"/>
      <c r="Q37" s="200"/>
      <c r="R37" s="215"/>
      <c r="S37" s="203"/>
      <c r="T37" s="213"/>
      <c r="U37" s="270">
        <f t="shared" si="13"/>
        <v>0</v>
      </c>
      <c r="V37" s="285"/>
      <c r="W37" s="285"/>
    </row>
    <row r="38" spans="1:23" s="3" customFormat="1" ht="15" customHeight="1" outlineLevel="1" thickBot="1" x14ac:dyDescent="0.3">
      <c r="A38" s="25" t="s">
        <v>2</v>
      </c>
      <c r="B38" s="166">
        <f t="shared" si="12"/>
        <v>43996</v>
      </c>
      <c r="C38" s="215"/>
      <c r="D38" s="203"/>
      <c r="E38" s="212"/>
      <c r="F38" s="249"/>
      <c r="G38" s="200"/>
      <c r="H38" s="182"/>
      <c r="I38" s="215"/>
      <c r="J38" s="203"/>
      <c r="K38" s="203"/>
      <c r="L38" s="200"/>
      <c r="M38" s="483"/>
      <c r="N38" s="187"/>
      <c r="O38" s="187"/>
      <c r="P38" s="187"/>
      <c r="Q38" s="200"/>
      <c r="R38" s="215"/>
      <c r="S38" s="302"/>
      <c r="T38" s="213"/>
      <c r="U38" s="270">
        <f t="shared" si="13"/>
        <v>0</v>
      </c>
    </row>
    <row r="39" spans="1:23" s="3" customFormat="1" ht="15" customHeight="1" outlineLevel="1" thickBot="1" x14ac:dyDescent="0.3">
      <c r="A39" s="153" t="s">
        <v>21</v>
      </c>
      <c r="B39" s="677" t="s">
        <v>25</v>
      </c>
      <c r="C39" s="216">
        <f t="shared" ref="C39:T39" si="14">SUM(C32:C38)</f>
        <v>0</v>
      </c>
      <c r="D39" s="216">
        <f t="shared" si="14"/>
        <v>0</v>
      </c>
      <c r="E39" s="216">
        <f t="shared" si="14"/>
        <v>0</v>
      </c>
      <c r="F39" s="216">
        <f t="shared" si="14"/>
        <v>0</v>
      </c>
      <c r="G39" s="216">
        <f t="shared" si="14"/>
        <v>0</v>
      </c>
      <c r="H39" s="468">
        <f t="shared" si="14"/>
        <v>0</v>
      </c>
      <c r="I39" s="216">
        <f>SUM(I32:I38)</f>
        <v>1615</v>
      </c>
      <c r="J39" s="210">
        <f t="shared" si="14"/>
        <v>0</v>
      </c>
      <c r="K39" s="210">
        <f t="shared" si="14"/>
        <v>0</v>
      </c>
      <c r="L39" s="473">
        <f t="shared" si="14"/>
        <v>0</v>
      </c>
      <c r="M39" s="471">
        <f t="shared" si="14"/>
        <v>0</v>
      </c>
      <c r="N39" s="216">
        <f t="shared" si="14"/>
        <v>0</v>
      </c>
      <c r="O39" s="216">
        <f t="shared" si="14"/>
        <v>0</v>
      </c>
      <c r="P39" s="216">
        <f t="shared" si="14"/>
        <v>0</v>
      </c>
      <c r="Q39" s="216">
        <f t="shared" si="14"/>
        <v>0</v>
      </c>
      <c r="R39" s="216">
        <f t="shared" si="14"/>
        <v>0</v>
      </c>
      <c r="S39" s="216">
        <f t="shared" si="14"/>
        <v>0</v>
      </c>
      <c r="T39" s="474">
        <f t="shared" si="14"/>
        <v>0</v>
      </c>
      <c r="U39" s="216">
        <f>SUM(U32:U38)</f>
        <v>1615</v>
      </c>
    </row>
    <row r="40" spans="1:23" s="3" customFormat="1" ht="15" customHeight="1" outlineLevel="1" thickBot="1" x14ac:dyDescent="0.3">
      <c r="A40" s="105" t="s">
        <v>23</v>
      </c>
      <c r="B40" s="678"/>
      <c r="C40" s="216" t="e">
        <f t="shared" ref="C40:U40" si="15">AVERAGE(C32:C38)</f>
        <v>#DIV/0!</v>
      </c>
      <c r="D40" s="216" t="e">
        <f t="shared" si="15"/>
        <v>#DIV/0!</v>
      </c>
      <c r="E40" s="216" t="e">
        <f t="shared" si="15"/>
        <v>#DIV/0!</v>
      </c>
      <c r="F40" s="216" t="e">
        <f t="shared" si="15"/>
        <v>#DIV/0!</v>
      </c>
      <c r="G40" s="216" t="e">
        <f t="shared" si="15"/>
        <v>#DIV/0!</v>
      </c>
      <c r="H40" s="468" t="e">
        <f t="shared" si="15"/>
        <v>#DIV/0!</v>
      </c>
      <c r="I40" s="216">
        <f t="shared" si="15"/>
        <v>323</v>
      </c>
      <c r="J40" s="210" t="e">
        <f t="shared" si="15"/>
        <v>#DIV/0!</v>
      </c>
      <c r="K40" s="210" t="e">
        <f t="shared" si="15"/>
        <v>#DIV/0!</v>
      </c>
      <c r="L40" s="473" t="e">
        <f t="shared" si="15"/>
        <v>#DIV/0!</v>
      </c>
      <c r="M40" s="471" t="e">
        <f t="shared" si="15"/>
        <v>#DIV/0!</v>
      </c>
      <c r="N40" s="216" t="e">
        <f t="shared" si="15"/>
        <v>#DIV/0!</v>
      </c>
      <c r="O40" s="216" t="e">
        <f t="shared" si="15"/>
        <v>#DIV/0!</v>
      </c>
      <c r="P40" s="216" t="e">
        <f t="shared" si="15"/>
        <v>#DIV/0!</v>
      </c>
      <c r="Q40" s="216" t="e">
        <f t="shared" si="15"/>
        <v>#DIV/0!</v>
      </c>
      <c r="R40" s="216" t="e">
        <f t="shared" si="15"/>
        <v>#DIV/0!</v>
      </c>
      <c r="S40" s="216" t="e">
        <f t="shared" si="15"/>
        <v>#DIV/0!</v>
      </c>
      <c r="T40" s="474" t="e">
        <f t="shared" si="15"/>
        <v>#DIV/0!</v>
      </c>
      <c r="U40" s="216">
        <f t="shared" si="15"/>
        <v>230.71428571428572</v>
      </c>
    </row>
    <row r="41" spans="1:23" s="3" customFormat="1" ht="15" customHeight="1" thickBot="1" x14ac:dyDescent="0.3">
      <c r="A41" s="26" t="s">
        <v>20</v>
      </c>
      <c r="B41" s="678"/>
      <c r="C41" s="217">
        <f t="shared" ref="C41:T41" si="16">SUM(C32:C36)</f>
        <v>0</v>
      </c>
      <c r="D41" s="217">
        <f t="shared" si="16"/>
        <v>0</v>
      </c>
      <c r="E41" s="217">
        <f t="shared" si="16"/>
        <v>0</v>
      </c>
      <c r="F41" s="217">
        <f t="shared" si="16"/>
        <v>0</v>
      </c>
      <c r="G41" s="217">
        <f t="shared" si="16"/>
        <v>0</v>
      </c>
      <c r="H41" s="478">
        <f t="shared" si="16"/>
        <v>0</v>
      </c>
      <c r="I41" s="217">
        <f t="shared" si="16"/>
        <v>1615</v>
      </c>
      <c r="J41" s="211">
        <f t="shared" si="16"/>
        <v>0</v>
      </c>
      <c r="K41" s="211">
        <f t="shared" si="16"/>
        <v>0</v>
      </c>
      <c r="L41" s="475">
        <f t="shared" si="16"/>
        <v>0</v>
      </c>
      <c r="M41" s="472">
        <f t="shared" si="16"/>
        <v>0</v>
      </c>
      <c r="N41" s="217">
        <f t="shared" si="16"/>
        <v>0</v>
      </c>
      <c r="O41" s="217">
        <f t="shared" si="16"/>
        <v>0</v>
      </c>
      <c r="P41" s="217">
        <f t="shared" si="16"/>
        <v>0</v>
      </c>
      <c r="Q41" s="217">
        <f t="shared" si="16"/>
        <v>0</v>
      </c>
      <c r="R41" s="217">
        <f t="shared" si="16"/>
        <v>0</v>
      </c>
      <c r="S41" s="217">
        <f t="shared" si="16"/>
        <v>0</v>
      </c>
      <c r="T41" s="489">
        <f t="shared" si="16"/>
        <v>0</v>
      </c>
      <c r="U41" s="217">
        <f>SUM(U32:U36)</f>
        <v>1615</v>
      </c>
      <c r="V41" s="285"/>
    </row>
    <row r="42" spans="1:23" s="3" customFormat="1" ht="15" customHeight="1" thickBot="1" x14ac:dyDescent="0.3">
      <c r="A42" s="26" t="s">
        <v>22</v>
      </c>
      <c r="B42" s="679"/>
      <c r="C42" s="217" t="e">
        <f t="shared" ref="C42:U42" si="17">AVERAGE(C32:C36)</f>
        <v>#DIV/0!</v>
      </c>
      <c r="D42" s="217" t="e">
        <f t="shared" si="17"/>
        <v>#DIV/0!</v>
      </c>
      <c r="E42" s="217" t="e">
        <f t="shared" si="17"/>
        <v>#DIV/0!</v>
      </c>
      <c r="F42" s="217" t="e">
        <f t="shared" si="17"/>
        <v>#DIV/0!</v>
      </c>
      <c r="G42" s="217" t="e">
        <f t="shared" si="17"/>
        <v>#DIV/0!</v>
      </c>
      <c r="H42" s="478" t="e">
        <f t="shared" si="17"/>
        <v>#DIV/0!</v>
      </c>
      <c r="I42" s="217">
        <f t="shared" si="17"/>
        <v>323</v>
      </c>
      <c r="J42" s="211" t="e">
        <f t="shared" si="17"/>
        <v>#DIV/0!</v>
      </c>
      <c r="K42" s="211" t="e">
        <f t="shared" si="17"/>
        <v>#DIV/0!</v>
      </c>
      <c r="L42" s="475" t="e">
        <f t="shared" si="17"/>
        <v>#DIV/0!</v>
      </c>
      <c r="M42" s="472" t="e">
        <f t="shared" si="17"/>
        <v>#DIV/0!</v>
      </c>
      <c r="N42" s="217" t="e">
        <f t="shared" si="17"/>
        <v>#DIV/0!</v>
      </c>
      <c r="O42" s="217" t="e">
        <f t="shared" si="17"/>
        <v>#DIV/0!</v>
      </c>
      <c r="P42" s="217" t="e">
        <f t="shared" si="17"/>
        <v>#DIV/0!</v>
      </c>
      <c r="Q42" s="217" t="e">
        <f t="shared" si="17"/>
        <v>#DIV/0!</v>
      </c>
      <c r="R42" s="217" t="e">
        <f t="shared" si="17"/>
        <v>#DIV/0!</v>
      </c>
      <c r="S42" s="217" t="e">
        <f t="shared" si="17"/>
        <v>#DIV/0!</v>
      </c>
      <c r="T42" s="489" t="e">
        <f t="shared" si="17"/>
        <v>#DIV/0!</v>
      </c>
      <c r="U42" s="217">
        <f t="shared" si="17"/>
        <v>323</v>
      </c>
      <c r="V42" s="285"/>
    </row>
    <row r="43" spans="1:23" s="3" customFormat="1" ht="15" customHeight="1" x14ac:dyDescent="0.25">
      <c r="A43" s="25" t="s">
        <v>3</v>
      </c>
      <c r="B43" s="167">
        <f>B38+1</f>
        <v>43997</v>
      </c>
      <c r="C43" s="215"/>
      <c r="D43" s="203"/>
      <c r="E43" s="212"/>
      <c r="F43" s="18"/>
      <c r="G43" s="19"/>
      <c r="H43" s="182"/>
      <c r="I43" s="215">
        <v>353</v>
      </c>
      <c r="J43" s="178"/>
      <c r="K43" s="203"/>
      <c r="L43" s="19"/>
      <c r="M43" s="137"/>
      <c r="N43" s="20"/>
      <c r="O43" s="20"/>
      <c r="P43" s="20"/>
      <c r="Q43" s="19"/>
      <c r="R43" s="215"/>
      <c r="S43" s="203"/>
      <c r="T43" s="213"/>
      <c r="U43" s="270">
        <f>SUM(C43:T43)</f>
        <v>353</v>
      </c>
      <c r="V43" s="285"/>
    </row>
    <row r="44" spans="1:23" s="3" customFormat="1" ht="15" customHeight="1" x14ac:dyDescent="0.25">
      <c r="A44" s="25" t="s">
        <v>4</v>
      </c>
      <c r="B44" s="168">
        <f t="shared" ref="B44:B49" si="18">B43+1</f>
        <v>43998</v>
      </c>
      <c r="C44" s="215"/>
      <c r="D44" s="203"/>
      <c r="E44" s="212"/>
      <c r="F44" s="18"/>
      <c r="G44" s="19"/>
      <c r="H44" s="182"/>
      <c r="I44" s="215">
        <v>387</v>
      </c>
      <c r="J44" s="203"/>
      <c r="K44" s="203"/>
      <c r="L44" s="19"/>
      <c r="M44" s="137"/>
      <c r="N44" s="20"/>
      <c r="O44" s="20"/>
      <c r="P44" s="20"/>
      <c r="Q44" s="19"/>
      <c r="R44" s="215"/>
      <c r="S44" s="203"/>
      <c r="T44" s="213"/>
      <c r="U44" s="270">
        <f t="shared" ref="U44:U49" si="19">SUM(C44:T44)</f>
        <v>387</v>
      </c>
      <c r="V44" s="285"/>
    </row>
    <row r="45" spans="1:23" s="3" customFormat="1" ht="15" customHeight="1" x14ac:dyDescent="0.25">
      <c r="A45" s="25" t="s">
        <v>5</v>
      </c>
      <c r="B45" s="168">
        <f t="shared" si="18"/>
        <v>43999</v>
      </c>
      <c r="C45" s="215"/>
      <c r="D45" s="203"/>
      <c r="E45" s="212"/>
      <c r="F45" s="18"/>
      <c r="G45" s="19"/>
      <c r="H45" s="182"/>
      <c r="I45" s="215">
        <v>389</v>
      </c>
      <c r="J45" s="203"/>
      <c r="K45" s="203"/>
      <c r="L45" s="19"/>
      <c r="M45" s="137"/>
      <c r="N45" s="20"/>
      <c r="O45" s="20"/>
      <c r="P45" s="20"/>
      <c r="Q45" s="19"/>
      <c r="R45" s="215"/>
      <c r="S45" s="203"/>
      <c r="T45" s="213"/>
      <c r="U45" s="270">
        <f t="shared" si="19"/>
        <v>389</v>
      </c>
      <c r="V45" s="285"/>
    </row>
    <row r="46" spans="1:23" s="3" customFormat="1" ht="15" customHeight="1" x14ac:dyDescent="0.25">
      <c r="A46" s="25" t="s">
        <v>6</v>
      </c>
      <c r="B46" s="168">
        <f t="shared" si="18"/>
        <v>44000</v>
      </c>
      <c r="C46" s="215"/>
      <c r="D46" s="203"/>
      <c r="E46" s="212"/>
      <c r="F46" s="18"/>
      <c r="G46" s="19"/>
      <c r="H46" s="182"/>
      <c r="I46" s="215">
        <v>392</v>
      </c>
      <c r="J46" s="203"/>
      <c r="K46" s="203"/>
      <c r="L46" s="19"/>
      <c r="M46" s="137"/>
      <c r="N46" s="20"/>
      <c r="O46" s="20"/>
      <c r="P46" s="20"/>
      <c r="Q46" s="19"/>
      <c r="R46" s="215"/>
      <c r="S46" s="203"/>
      <c r="T46" s="213"/>
      <c r="U46" s="270">
        <f t="shared" si="19"/>
        <v>392</v>
      </c>
      <c r="V46" s="285"/>
    </row>
    <row r="47" spans="1:23" s="3" customFormat="1" ht="15" customHeight="1" x14ac:dyDescent="0.25">
      <c r="A47" s="25" t="s">
        <v>0</v>
      </c>
      <c r="B47" s="168">
        <f t="shared" si="18"/>
        <v>44001</v>
      </c>
      <c r="C47" s="215"/>
      <c r="D47" s="203"/>
      <c r="E47" s="212"/>
      <c r="F47" s="18"/>
      <c r="G47" s="19"/>
      <c r="H47" s="182"/>
      <c r="I47" s="215">
        <v>563</v>
      </c>
      <c r="J47" s="203"/>
      <c r="K47" s="203"/>
      <c r="L47" s="19"/>
      <c r="M47" s="137"/>
      <c r="N47" s="20"/>
      <c r="O47" s="20"/>
      <c r="P47" s="20"/>
      <c r="Q47" s="19"/>
      <c r="R47" s="215"/>
      <c r="S47" s="203"/>
      <c r="T47" s="213"/>
      <c r="U47" s="270">
        <f t="shared" si="19"/>
        <v>563</v>
      </c>
    </row>
    <row r="48" spans="1:23" s="3" customFormat="1" ht="15" customHeight="1" outlineLevel="1" x14ac:dyDescent="0.25">
      <c r="A48" s="25" t="s">
        <v>1</v>
      </c>
      <c r="B48" s="168">
        <f t="shared" si="18"/>
        <v>44002</v>
      </c>
      <c r="C48" s="215"/>
      <c r="D48" s="203"/>
      <c r="E48" s="212"/>
      <c r="F48" s="18"/>
      <c r="G48" s="19"/>
      <c r="H48" s="182"/>
      <c r="I48" s="215"/>
      <c r="J48" s="203"/>
      <c r="K48" s="203"/>
      <c r="L48" s="19"/>
      <c r="M48" s="137"/>
      <c r="N48" s="20"/>
      <c r="O48" s="20"/>
      <c r="P48" s="20"/>
      <c r="Q48" s="19"/>
      <c r="R48" s="215"/>
      <c r="S48" s="203"/>
      <c r="T48" s="213"/>
      <c r="U48" s="270">
        <f t="shared" si="19"/>
        <v>0</v>
      </c>
    </row>
    <row r="49" spans="1:22" s="3" customFormat="1" ht="15" customHeight="1" outlineLevel="1" thickBot="1" x14ac:dyDescent="0.3">
      <c r="A49" s="25" t="s">
        <v>2</v>
      </c>
      <c r="B49" s="168">
        <f t="shared" si="18"/>
        <v>44003</v>
      </c>
      <c r="C49" s="215"/>
      <c r="D49" s="203"/>
      <c r="E49" s="212"/>
      <c r="F49" s="18"/>
      <c r="G49" s="19"/>
      <c r="H49" s="182"/>
      <c r="I49" s="215"/>
      <c r="J49" s="203"/>
      <c r="K49" s="203"/>
      <c r="L49" s="19"/>
      <c r="M49" s="484"/>
      <c r="N49" s="20"/>
      <c r="O49" s="20"/>
      <c r="P49" s="20"/>
      <c r="Q49" s="19"/>
      <c r="R49" s="215"/>
      <c r="S49" s="203"/>
      <c r="T49" s="213"/>
      <c r="U49" s="270">
        <f t="shared" si="19"/>
        <v>0</v>
      </c>
    </row>
    <row r="50" spans="1:22" s="3" customFormat="1" ht="15" customHeight="1" outlineLevel="1" thickBot="1" x14ac:dyDescent="0.3">
      <c r="A50" s="153" t="s">
        <v>21</v>
      </c>
      <c r="B50" s="677" t="s">
        <v>26</v>
      </c>
      <c r="C50" s="216">
        <f t="shared" ref="C50:T50" si="20">SUM(C43:C49)</f>
        <v>0</v>
      </c>
      <c r="D50" s="216">
        <f t="shared" si="20"/>
        <v>0</v>
      </c>
      <c r="E50" s="216">
        <f t="shared" si="20"/>
        <v>0</v>
      </c>
      <c r="F50" s="216">
        <f t="shared" si="20"/>
        <v>0</v>
      </c>
      <c r="G50" s="216">
        <f t="shared" si="20"/>
        <v>0</v>
      </c>
      <c r="H50" s="468">
        <f t="shared" si="20"/>
        <v>0</v>
      </c>
      <c r="I50" s="216">
        <f>SUM(I43:I49)</f>
        <v>2084</v>
      </c>
      <c r="J50" s="210">
        <f t="shared" si="20"/>
        <v>0</v>
      </c>
      <c r="K50" s="210">
        <f t="shared" si="20"/>
        <v>0</v>
      </c>
      <c r="L50" s="473">
        <f t="shared" si="20"/>
        <v>0</v>
      </c>
      <c r="M50" s="471">
        <f t="shared" si="20"/>
        <v>0</v>
      </c>
      <c r="N50" s="216">
        <f t="shared" si="20"/>
        <v>0</v>
      </c>
      <c r="O50" s="216">
        <f t="shared" si="20"/>
        <v>0</v>
      </c>
      <c r="P50" s="216">
        <f t="shared" si="20"/>
        <v>0</v>
      </c>
      <c r="Q50" s="216">
        <f t="shared" si="20"/>
        <v>0</v>
      </c>
      <c r="R50" s="216">
        <f t="shared" si="20"/>
        <v>0</v>
      </c>
      <c r="S50" s="216">
        <f t="shared" si="20"/>
        <v>0</v>
      </c>
      <c r="T50" s="474">
        <f t="shared" si="20"/>
        <v>0</v>
      </c>
      <c r="U50" s="216">
        <f>SUM(U43:U49)</f>
        <v>2084</v>
      </c>
    </row>
    <row r="51" spans="1:22" s="3" customFormat="1" ht="15" customHeight="1" outlineLevel="1" thickBot="1" x14ac:dyDescent="0.3">
      <c r="A51" s="105" t="s">
        <v>23</v>
      </c>
      <c r="B51" s="678"/>
      <c r="C51" s="216" t="e">
        <f t="shared" ref="C51:U51" si="21">AVERAGE(C43:C49)</f>
        <v>#DIV/0!</v>
      </c>
      <c r="D51" s="216" t="e">
        <f t="shared" si="21"/>
        <v>#DIV/0!</v>
      </c>
      <c r="E51" s="216" t="e">
        <f t="shared" si="21"/>
        <v>#DIV/0!</v>
      </c>
      <c r="F51" s="216" t="e">
        <f t="shared" si="21"/>
        <v>#DIV/0!</v>
      </c>
      <c r="G51" s="216" t="e">
        <f t="shared" si="21"/>
        <v>#DIV/0!</v>
      </c>
      <c r="H51" s="468" t="e">
        <f t="shared" si="21"/>
        <v>#DIV/0!</v>
      </c>
      <c r="I51" s="216">
        <f t="shared" si="21"/>
        <v>416.8</v>
      </c>
      <c r="J51" s="210" t="e">
        <f t="shared" si="21"/>
        <v>#DIV/0!</v>
      </c>
      <c r="K51" s="210" t="e">
        <f t="shared" si="21"/>
        <v>#DIV/0!</v>
      </c>
      <c r="L51" s="473" t="e">
        <f t="shared" si="21"/>
        <v>#DIV/0!</v>
      </c>
      <c r="M51" s="471" t="e">
        <f t="shared" si="21"/>
        <v>#DIV/0!</v>
      </c>
      <c r="N51" s="216" t="e">
        <f t="shared" si="21"/>
        <v>#DIV/0!</v>
      </c>
      <c r="O51" s="216" t="e">
        <f t="shared" si="21"/>
        <v>#DIV/0!</v>
      </c>
      <c r="P51" s="216" t="e">
        <f t="shared" si="21"/>
        <v>#DIV/0!</v>
      </c>
      <c r="Q51" s="216" t="e">
        <f t="shared" si="21"/>
        <v>#DIV/0!</v>
      </c>
      <c r="R51" s="216" t="e">
        <f t="shared" si="21"/>
        <v>#DIV/0!</v>
      </c>
      <c r="S51" s="216" t="e">
        <f t="shared" si="21"/>
        <v>#DIV/0!</v>
      </c>
      <c r="T51" s="474" t="e">
        <f t="shared" si="21"/>
        <v>#DIV/0!</v>
      </c>
      <c r="U51" s="216">
        <f t="shared" si="21"/>
        <v>297.71428571428572</v>
      </c>
    </row>
    <row r="52" spans="1:22" s="3" customFormat="1" ht="15" customHeight="1" thickBot="1" x14ac:dyDescent="0.3">
      <c r="A52" s="26" t="s">
        <v>20</v>
      </c>
      <c r="B52" s="678"/>
      <c r="C52" s="217">
        <f t="shared" ref="C52:T52" si="22">SUM(C43:C47)</f>
        <v>0</v>
      </c>
      <c r="D52" s="217">
        <f t="shared" si="22"/>
        <v>0</v>
      </c>
      <c r="E52" s="217">
        <f t="shared" si="22"/>
        <v>0</v>
      </c>
      <c r="F52" s="217">
        <f t="shared" si="22"/>
        <v>0</v>
      </c>
      <c r="G52" s="217">
        <f t="shared" si="22"/>
        <v>0</v>
      </c>
      <c r="H52" s="478">
        <f t="shared" si="22"/>
        <v>0</v>
      </c>
      <c r="I52" s="217">
        <f t="shared" si="22"/>
        <v>2084</v>
      </c>
      <c r="J52" s="211">
        <f t="shared" si="22"/>
        <v>0</v>
      </c>
      <c r="K52" s="211">
        <f t="shared" si="22"/>
        <v>0</v>
      </c>
      <c r="L52" s="475">
        <f t="shared" si="22"/>
        <v>0</v>
      </c>
      <c r="M52" s="472">
        <f t="shared" si="22"/>
        <v>0</v>
      </c>
      <c r="N52" s="217">
        <f t="shared" si="22"/>
        <v>0</v>
      </c>
      <c r="O52" s="217">
        <f t="shared" si="22"/>
        <v>0</v>
      </c>
      <c r="P52" s="217">
        <f t="shared" si="22"/>
        <v>0</v>
      </c>
      <c r="Q52" s="217">
        <f t="shared" si="22"/>
        <v>0</v>
      </c>
      <c r="R52" s="217">
        <f t="shared" si="22"/>
        <v>0</v>
      </c>
      <c r="S52" s="217">
        <f t="shared" si="22"/>
        <v>0</v>
      </c>
      <c r="T52" s="489">
        <f t="shared" si="22"/>
        <v>0</v>
      </c>
      <c r="U52" s="217">
        <f>SUM(U43:U47)</f>
        <v>2084</v>
      </c>
    </row>
    <row r="53" spans="1:22" s="3" customFormat="1" ht="15" customHeight="1" thickBot="1" x14ac:dyDescent="0.3">
      <c r="A53" s="26" t="s">
        <v>22</v>
      </c>
      <c r="B53" s="679"/>
      <c r="C53" s="217" t="e">
        <f>AVERAGE(C43:C47)</f>
        <v>#DIV/0!</v>
      </c>
      <c r="D53" s="217" t="e">
        <f t="shared" ref="D53:U53" si="23">AVERAGE(D43:D47)</f>
        <v>#DIV/0!</v>
      </c>
      <c r="E53" s="217" t="e">
        <f t="shared" si="23"/>
        <v>#DIV/0!</v>
      </c>
      <c r="F53" s="217" t="e">
        <f t="shared" si="23"/>
        <v>#DIV/0!</v>
      </c>
      <c r="G53" s="217" t="e">
        <f t="shared" si="23"/>
        <v>#DIV/0!</v>
      </c>
      <c r="H53" s="478" t="e">
        <f t="shared" si="23"/>
        <v>#DIV/0!</v>
      </c>
      <c r="I53" s="217">
        <f t="shared" si="23"/>
        <v>416.8</v>
      </c>
      <c r="J53" s="211" t="e">
        <f t="shared" si="23"/>
        <v>#DIV/0!</v>
      </c>
      <c r="K53" s="211" t="e">
        <f t="shared" si="23"/>
        <v>#DIV/0!</v>
      </c>
      <c r="L53" s="475" t="e">
        <f t="shared" si="23"/>
        <v>#DIV/0!</v>
      </c>
      <c r="M53" s="472" t="e">
        <f t="shared" si="23"/>
        <v>#DIV/0!</v>
      </c>
      <c r="N53" s="217" t="e">
        <f t="shared" si="23"/>
        <v>#DIV/0!</v>
      </c>
      <c r="O53" s="217" t="e">
        <f t="shared" si="23"/>
        <v>#DIV/0!</v>
      </c>
      <c r="P53" s="217" t="e">
        <f t="shared" si="23"/>
        <v>#DIV/0!</v>
      </c>
      <c r="Q53" s="217" t="e">
        <f t="shared" si="23"/>
        <v>#DIV/0!</v>
      </c>
      <c r="R53" s="217" t="e">
        <f t="shared" si="23"/>
        <v>#DIV/0!</v>
      </c>
      <c r="S53" s="217" t="e">
        <f t="shared" si="23"/>
        <v>#DIV/0!</v>
      </c>
      <c r="T53" s="489" t="e">
        <f t="shared" si="23"/>
        <v>#DIV/0!</v>
      </c>
      <c r="U53" s="217">
        <f t="shared" si="23"/>
        <v>416.8</v>
      </c>
    </row>
    <row r="54" spans="1:22" s="3" customFormat="1" ht="15" customHeight="1" x14ac:dyDescent="0.25">
      <c r="A54" s="25" t="s">
        <v>3</v>
      </c>
      <c r="B54" s="167">
        <f>B49+1</f>
        <v>44004</v>
      </c>
      <c r="C54" s="215"/>
      <c r="D54" s="203"/>
      <c r="E54" s="212"/>
      <c r="F54" s="252"/>
      <c r="G54" s="392"/>
      <c r="H54" s="182"/>
      <c r="I54" s="215">
        <v>503</v>
      </c>
      <c r="J54" s="203"/>
      <c r="K54" s="203"/>
      <c r="L54" s="392"/>
      <c r="M54" s="483"/>
      <c r="N54" s="186"/>
      <c r="O54" s="186"/>
      <c r="P54" s="187"/>
      <c r="Q54" s="200"/>
      <c r="R54" s="215"/>
      <c r="S54" s="203"/>
      <c r="T54" s="214"/>
      <c r="U54" s="270">
        <f>SUM(C54:T54)</f>
        <v>503</v>
      </c>
    </row>
    <row r="55" spans="1:22" s="3" customFormat="1" ht="15" customHeight="1" x14ac:dyDescent="0.25">
      <c r="A55" s="145" t="s">
        <v>4</v>
      </c>
      <c r="B55" s="168">
        <f t="shared" ref="B55:B60" si="24">B54+1</f>
        <v>44005</v>
      </c>
      <c r="C55" s="215"/>
      <c r="D55" s="203"/>
      <c r="E55" s="212"/>
      <c r="F55" s="249"/>
      <c r="G55" s="200"/>
      <c r="H55" s="182"/>
      <c r="I55" s="215">
        <v>525</v>
      </c>
      <c r="J55" s="178"/>
      <c r="K55" s="203"/>
      <c r="L55" s="200"/>
      <c r="M55" s="483"/>
      <c r="N55" s="186"/>
      <c r="O55" s="187"/>
      <c r="P55" s="187"/>
      <c r="Q55" s="200"/>
      <c r="R55" s="215"/>
      <c r="S55" s="203"/>
      <c r="T55" s="214"/>
      <c r="U55" s="270">
        <f>SUM(C55:T55)</f>
        <v>525</v>
      </c>
      <c r="V55" s="285"/>
    </row>
    <row r="56" spans="1:22" s="3" customFormat="1" x14ac:dyDescent="0.25">
      <c r="A56" s="145" t="s">
        <v>5</v>
      </c>
      <c r="B56" s="168">
        <f t="shared" si="24"/>
        <v>44006</v>
      </c>
      <c r="C56" s="215"/>
      <c r="D56" s="203"/>
      <c r="E56" s="212"/>
      <c r="F56" s="249"/>
      <c r="G56" s="200"/>
      <c r="H56" s="182"/>
      <c r="I56" s="215">
        <v>466</v>
      </c>
      <c r="J56" s="203"/>
      <c r="K56" s="203"/>
      <c r="L56" s="200"/>
      <c r="M56" s="483"/>
      <c r="N56" s="187"/>
      <c r="O56" s="187"/>
      <c r="P56" s="187"/>
      <c r="Q56" s="200"/>
      <c r="R56" s="215"/>
      <c r="S56" s="203"/>
      <c r="T56" s="214"/>
      <c r="U56" s="270">
        <f>SUM(C56:T56)</f>
        <v>466</v>
      </c>
      <c r="V56" s="285"/>
    </row>
    <row r="57" spans="1:22" s="3" customFormat="1" x14ac:dyDescent="0.25">
      <c r="A57" s="145" t="s">
        <v>6</v>
      </c>
      <c r="B57" s="168">
        <f t="shared" si="24"/>
        <v>44007</v>
      </c>
      <c r="C57" s="215"/>
      <c r="D57" s="203"/>
      <c r="E57" s="212"/>
      <c r="F57" s="249"/>
      <c r="G57" s="200"/>
      <c r="H57" s="182"/>
      <c r="I57" s="218">
        <v>478</v>
      </c>
      <c r="J57" s="203"/>
      <c r="K57" s="203"/>
      <c r="L57" s="200"/>
      <c r="M57" s="483"/>
      <c r="N57" s="187"/>
      <c r="O57" s="187"/>
      <c r="P57" s="187"/>
      <c r="Q57" s="200"/>
      <c r="R57" s="215"/>
      <c r="S57" s="203"/>
      <c r="T57" s="214"/>
      <c r="U57" s="270">
        <f t="shared" ref="U57:U60" si="25">SUM(C57:T57)</f>
        <v>478</v>
      </c>
      <c r="V57" s="285"/>
    </row>
    <row r="58" spans="1:22" s="3" customFormat="1" x14ac:dyDescent="0.25">
      <c r="A58" s="25" t="s">
        <v>0</v>
      </c>
      <c r="B58" s="170">
        <f t="shared" si="24"/>
        <v>44008</v>
      </c>
      <c r="C58" s="215"/>
      <c r="D58" s="203"/>
      <c r="E58" s="212"/>
      <c r="F58" s="249"/>
      <c r="G58" s="200"/>
      <c r="H58" s="182"/>
      <c r="I58" s="215">
        <v>555</v>
      </c>
      <c r="J58" s="203"/>
      <c r="K58" s="203"/>
      <c r="L58" s="200"/>
      <c r="M58" s="483"/>
      <c r="N58" s="187"/>
      <c r="O58" s="187"/>
      <c r="P58" s="187"/>
      <c r="Q58" s="200"/>
      <c r="R58" s="215"/>
      <c r="S58" s="203"/>
      <c r="T58" s="214"/>
      <c r="U58" s="270">
        <f>SUM(C58:T58)</f>
        <v>555</v>
      </c>
      <c r="V58" s="285"/>
    </row>
    <row r="59" spans="1:22" s="3" customFormat="1" outlineLevel="1" x14ac:dyDescent="0.25">
      <c r="A59" s="25" t="s">
        <v>1</v>
      </c>
      <c r="B59" s="170">
        <f t="shared" si="24"/>
        <v>44009</v>
      </c>
      <c r="C59" s="215"/>
      <c r="D59" s="203"/>
      <c r="E59" s="212"/>
      <c r="F59" s="18"/>
      <c r="G59" s="19"/>
      <c r="H59" s="182"/>
      <c r="I59" s="215"/>
      <c r="J59" s="203"/>
      <c r="K59" s="203"/>
      <c r="L59" s="19"/>
      <c r="M59" s="137"/>
      <c r="N59" s="20"/>
      <c r="O59" s="20"/>
      <c r="P59" s="20"/>
      <c r="Q59" s="19"/>
      <c r="R59" s="215"/>
      <c r="S59" s="203"/>
      <c r="T59" s="214"/>
      <c r="U59" s="270">
        <f t="shared" si="25"/>
        <v>0</v>
      </c>
      <c r="V59" s="285"/>
    </row>
    <row r="60" spans="1:22" s="3" customFormat="1" ht="15.75" outlineLevel="1" thickBot="1" x14ac:dyDescent="0.3">
      <c r="A60" s="145" t="s">
        <v>2</v>
      </c>
      <c r="B60" s="170">
        <f t="shared" si="24"/>
        <v>44010</v>
      </c>
      <c r="C60" s="215"/>
      <c r="D60" s="203"/>
      <c r="E60" s="212"/>
      <c r="F60" s="18"/>
      <c r="G60" s="19"/>
      <c r="H60" s="182"/>
      <c r="I60" s="215"/>
      <c r="J60" s="203"/>
      <c r="K60" s="203"/>
      <c r="L60" s="19"/>
      <c r="M60" s="137"/>
      <c r="N60" s="20"/>
      <c r="O60" s="20"/>
      <c r="P60" s="20"/>
      <c r="Q60" s="19"/>
      <c r="R60" s="215"/>
      <c r="S60" s="203"/>
      <c r="T60" s="304"/>
      <c r="U60" s="270">
        <f t="shared" si="25"/>
        <v>0</v>
      </c>
      <c r="V60" s="285"/>
    </row>
    <row r="61" spans="1:22" s="3" customFormat="1" ht="15" customHeight="1" outlineLevel="1" thickBot="1" x14ac:dyDescent="0.3">
      <c r="A61" s="153" t="s">
        <v>21</v>
      </c>
      <c r="B61" s="677" t="s">
        <v>27</v>
      </c>
      <c r="C61" s="216">
        <f t="shared" ref="C61:T61" si="26">SUM(C54:C60)</f>
        <v>0</v>
      </c>
      <c r="D61" s="216">
        <f t="shared" si="26"/>
        <v>0</v>
      </c>
      <c r="E61" s="216">
        <f t="shared" si="26"/>
        <v>0</v>
      </c>
      <c r="F61" s="216">
        <f t="shared" si="26"/>
        <v>0</v>
      </c>
      <c r="G61" s="216">
        <f t="shared" si="26"/>
        <v>0</v>
      </c>
      <c r="H61" s="468">
        <f t="shared" si="26"/>
        <v>0</v>
      </c>
      <c r="I61" s="216">
        <f>SUM(I54:I60)</f>
        <v>2527</v>
      </c>
      <c r="J61" s="210">
        <f t="shared" si="26"/>
        <v>0</v>
      </c>
      <c r="K61" s="210">
        <f t="shared" si="26"/>
        <v>0</v>
      </c>
      <c r="L61" s="473">
        <f t="shared" si="26"/>
        <v>0</v>
      </c>
      <c r="M61" s="471">
        <f t="shared" si="26"/>
        <v>0</v>
      </c>
      <c r="N61" s="216">
        <f t="shared" si="26"/>
        <v>0</v>
      </c>
      <c r="O61" s="216">
        <f t="shared" si="26"/>
        <v>0</v>
      </c>
      <c r="P61" s="216">
        <f t="shared" si="26"/>
        <v>0</v>
      </c>
      <c r="Q61" s="216">
        <f t="shared" si="26"/>
        <v>0</v>
      </c>
      <c r="R61" s="216">
        <f t="shared" si="26"/>
        <v>0</v>
      </c>
      <c r="S61" s="216">
        <f t="shared" si="26"/>
        <v>0</v>
      </c>
      <c r="T61" s="474">
        <f t="shared" si="26"/>
        <v>0</v>
      </c>
      <c r="U61" s="216">
        <f>SUM(U54:U60)</f>
        <v>2527</v>
      </c>
    </row>
    <row r="62" spans="1:22" s="3" customFormat="1" ht="15" customHeight="1" outlineLevel="1" thickBot="1" x14ac:dyDescent="0.3">
      <c r="A62" s="105" t="s">
        <v>23</v>
      </c>
      <c r="B62" s="678"/>
      <c r="C62" s="216" t="e">
        <f t="shared" ref="C62:U62" si="27">AVERAGE(C54:C60)</f>
        <v>#DIV/0!</v>
      </c>
      <c r="D62" s="216" t="e">
        <f t="shared" si="27"/>
        <v>#DIV/0!</v>
      </c>
      <c r="E62" s="216" t="e">
        <f t="shared" si="27"/>
        <v>#DIV/0!</v>
      </c>
      <c r="F62" s="216" t="e">
        <f t="shared" si="27"/>
        <v>#DIV/0!</v>
      </c>
      <c r="G62" s="216" t="e">
        <f t="shared" si="27"/>
        <v>#DIV/0!</v>
      </c>
      <c r="H62" s="468" t="e">
        <f t="shared" si="27"/>
        <v>#DIV/0!</v>
      </c>
      <c r="I62" s="216">
        <f t="shared" si="27"/>
        <v>505.4</v>
      </c>
      <c r="J62" s="210" t="e">
        <f t="shared" si="27"/>
        <v>#DIV/0!</v>
      </c>
      <c r="K62" s="210" t="e">
        <f t="shared" si="27"/>
        <v>#DIV/0!</v>
      </c>
      <c r="L62" s="473" t="e">
        <f t="shared" si="27"/>
        <v>#DIV/0!</v>
      </c>
      <c r="M62" s="471" t="e">
        <f t="shared" si="27"/>
        <v>#DIV/0!</v>
      </c>
      <c r="N62" s="216" t="e">
        <f t="shared" si="27"/>
        <v>#DIV/0!</v>
      </c>
      <c r="O62" s="216" t="e">
        <f t="shared" si="27"/>
        <v>#DIV/0!</v>
      </c>
      <c r="P62" s="216" t="e">
        <f t="shared" si="27"/>
        <v>#DIV/0!</v>
      </c>
      <c r="Q62" s="216" t="e">
        <f t="shared" si="27"/>
        <v>#DIV/0!</v>
      </c>
      <c r="R62" s="216" t="e">
        <f t="shared" si="27"/>
        <v>#DIV/0!</v>
      </c>
      <c r="S62" s="216" t="e">
        <f t="shared" si="27"/>
        <v>#DIV/0!</v>
      </c>
      <c r="T62" s="474" t="e">
        <f t="shared" si="27"/>
        <v>#DIV/0!</v>
      </c>
      <c r="U62" s="216">
        <f t="shared" si="27"/>
        <v>361</v>
      </c>
    </row>
    <row r="63" spans="1:22" s="3" customFormat="1" ht="15" customHeight="1" thickBot="1" x14ac:dyDescent="0.3">
      <c r="A63" s="26" t="s">
        <v>20</v>
      </c>
      <c r="B63" s="678"/>
      <c r="C63" s="217">
        <f t="shared" ref="C63:T63" si="28">SUM(C54:C58)</f>
        <v>0</v>
      </c>
      <c r="D63" s="217">
        <f t="shared" si="28"/>
        <v>0</v>
      </c>
      <c r="E63" s="217">
        <f t="shared" si="28"/>
        <v>0</v>
      </c>
      <c r="F63" s="217">
        <f t="shared" si="28"/>
        <v>0</v>
      </c>
      <c r="G63" s="217">
        <f t="shared" si="28"/>
        <v>0</v>
      </c>
      <c r="H63" s="478">
        <f t="shared" si="28"/>
        <v>0</v>
      </c>
      <c r="I63" s="217">
        <f t="shared" si="28"/>
        <v>2527</v>
      </c>
      <c r="J63" s="211">
        <f t="shared" si="28"/>
        <v>0</v>
      </c>
      <c r="K63" s="211">
        <f t="shared" si="28"/>
        <v>0</v>
      </c>
      <c r="L63" s="475">
        <f t="shared" si="28"/>
        <v>0</v>
      </c>
      <c r="M63" s="472">
        <f t="shared" si="28"/>
        <v>0</v>
      </c>
      <c r="N63" s="217">
        <f t="shared" si="28"/>
        <v>0</v>
      </c>
      <c r="O63" s="217">
        <f t="shared" si="28"/>
        <v>0</v>
      </c>
      <c r="P63" s="217">
        <f t="shared" si="28"/>
        <v>0</v>
      </c>
      <c r="Q63" s="217">
        <f t="shared" si="28"/>
        <v>0</v>
      </c>
      <c r="R63" s="217">
        <f t="shared" si="28"/>
        <v>0</v>
      </c>
      <c r="S63" s="217">
        <f t="shared" si="28"/>
        <v>0</v>
      </c>
      <c r="T63" s="489">
        <f t="shared" si="28"/>
        <v>0</v>
      </c>
      <c r="U63" s="217">
        <f>SUM(U54:U58)</f>
        <v>2527</v>
      </c>
    </row>
    <row r="64" spans="1:22" s="3" customFormat="1" ht="15.75" thickBot="1" x14ac:dyDescent="0.3">
      <c r="A64" s="26" t="s">
        <v>22</v>
      </c>
      <c r="B64" s="679"/>
      <c r="C64" s="39" t="e">
        <f t="shared" ref="C64:U64" si="29">AVERAGE(C54:C58)</f>
        <v>#DIV/0!</v>
      </c>
      <c r="D64" s="39" t="e">
        <f t="shared" si="29"/>
        <v>#DIV/0!</v>
      </c>
      <c r="E64" s="39" t="e">
        <f t="shared" si="29"/>
        <v>#DIV/0!</v>
      </c>
      <c r="F64" s="39" t="e">
        <f t="shared" si="29"/>
        <v>#DIV/0!</v>
      </c>
      <c r="G64" s="39" t="e">
        <f t="shared" si="29"/>
        <v>#DIV/0!</v>
      </c>
      <c r="H64" s="480" t="e">
        <f t="shared" si="29"/>
        <v>#DIV/0!</v>
      </c>
      <c r="I64" s="39">
        <f t="shared" si="29"/>
        <v>505.4</v>
      </c>
      <c r="J64" s="204" t="e">
        <f t="shared" si="29"/>
        <v>#DIV/0!</v>
      </c>
      <c r="K64" s="204" t="e">
        <f t="shared" si="29"/>
        <v>#DIV/0!</v>
      </c>
      <c r="L64" s="476" t="e">
        <f t="shared" si="29"/>
        <v>#DIV/0!</v>
      </c>
      <c r="M64" s="154" t="e">
        <f t="shared" si="29"/>
        <v>#DIV/0!</v>
      </c>
      <c r="N64" s="39" t="e">
        <f t="shared" si="29"/>
        <v>#DIV/0!</v>
      </c>
      <c r="O64" s="39" t="e">
        <f t="shared" si="29"/>
        <v>#DIV/0!</v>
      </c>
      <c r="P64" s="39" t="e">
        <f t="shared" si="29"/>
        <v>#DIV/0!</v>
      </c>
      <c r="Q64" s="39" t="e">
        <f t="shared" si="29"/>
        <v>#DIV/0!</v>
      </c>
      <c r="R64" s="39" t="e">
        <f t="shared" si="29"/>
        <v>#DIV/0!</v>
      </c>
      <c r="S64" s="39" t="e">
        <f t="shared" si="29"/>
        <v>#DIV/0!</v>
      </c>
      <c r="T64" s="490" t="e">
        <f t="shared" si="29"/>
        <v>#DIV/0!</v>
      </c>
      <c r="U64" s="497">
        <f t="shared" si="29"/>
        <v>505.4</v>
      </c>
    </row>
    <row r="65" spans="1:21" s="3" customFormat="1" ht="15.75" thickBot="1" x14ac:dyDescent="0.3">
      <c r="A65" s="145" t="s">
        <v>3</v>
      </c>
      <c r="B65" s="167">
        <f>B60+1</f>
        <v>44011</v>
      </c>
      <c r="C65" s="136"/>
      <c r="D65" s="13"/>
      <c r="E65" s="131"/>
      <c r="F65" s="12"/>
      <c r="G65" s="13">
        <v>65</v>
      </c>
      <c r="H65" s="131"/>
      <c r="I65" s="12">
        <v>416</v>
      </c>
      <c r="J65" s="496">
        <v>158</v>
      </c>
      <c r="K65" s="14"/>
      <c r="L65" s="14"/>
      <c r="M65" s="49">
        <v>676</v>
      </c>
      <c r="N65" s="51"/>
      <c r="O65" s="51"/>
      <c r="P65" s="51"/>
      <c r="Q65" s="117"/>
      <c r="R65" s="14"/>
      <c r="S65" s="14"/>
      <c r="T65" s="60"/>
      <c r="U65" s="17">
        <f>SUM(C65:T65)</f>
        <v>1315</v>
      </c>
    </row>
    <row r="66" spans="1:21" s="3" customFormat="1" ht="15.75" thickBot="1" x14ac:dyDescent="0.3">
      <c r="A66" s="145" t="s">
        <v>4</v>
      </c>
      <c r="B66" s="167">
        <f>B65+1</f>
        <v>44012</v>
      </c>
      <c r="C66" s="136"/>
      <c r="D66" s="13"/>
      <c r="E66" s="131"/>
      <c r="F66" s="12"/>
      <c r="G66" s="13">
        <v>76</v>
      </c>
      <c r="H66" s="131"/>
      <c r="I66" s="12">
        <v>422</v>
      </c>
      <c r="J66" s="14">
        <v>197</v>
      </c>
      <c r="K66" s="14"/>
      <c r="L66" s="14"/>
      <c r="M66" s="18">
        <v>608</v>
      </c>
      <c r="N66" s="20"/>
      <c r="O66" s="20"/>
      <c r="P66" s="20"/>
      <c r="Q66" s="61"/>
      <c r="R66" s="20"/>
      <c r="S66" s="20"/>
      <c r="T66" s="61"/>
      <c r="U66" s="499">
        <f>SUM(C66:T66)</f>
        <v>1303</v>
      </c>
    </row>
    <row r="67" spans="1:21" s="3" customFormat="1" ht="15.75" hidden="1" thickBot="1" x14ac:dyDescent="0.3">
      <c r="A67" s="145" t="s">
        <v>5</v>
      </c>
      <c r="B67" s="167">
        <f t="shared" ref="B67:B71" si="30">B66+1</f>
        <v>44013</v>
      </c>
      <c r="C67" s="136"/>
      <c r="D67" s="13"/>
      <c r="E67" s="131"/>
      <c r="F67" s="12"/>
      <c r="G67" s="13"/>
      <c r="H67" s="131"/>
      <c r="I67" s="12"/>
      <c r="J67" s="14"/>
      <c r="K67" s="14"/>
      <c r="L67" s="14"/>
      <c r="M67" s="18"/>
      <c r="N67" s="20"/>
      <c r="O67" s="20"/>
      <c r="P67" s="20"/>
      <c r="Q67" s="61"/>
      <c r="R67" s="20"/>
      <c r="S67" s="20"/>
      <c r="T67" s="20"/>
      <c r="U67" s="498">
        <f t="shared" ref="U67:U71" si="31">SUM(C67:T67)</f>
        <v>0</v>
      </c>
    </row>
    <row r="68" spans="1:21" s="3" customFormat="1" ht="15.75" hidden="1" thickBot="1" x14ac:dyDescent="0.3">
      <c r="A68" s="145" t="s">
        <v>6</v>
      </c>
      <c r="B68" s="167">
        <f t="shared" si="30"/>
        <v>44014</v>
      </c>
      <c r="C68" s="136"/>
      <c r="D68" s="13"/>
      <c r="E68" s="131"/>
      <c r="F68" s="12"/>
      <c r="G68" s="13"/>
      <c r="H68" s="131"/>
      <c r="I68" s="12"/>
      <c r="J68" s="14"/>
      <c r="K68" s="14"/>
      <c r="L68" s="14"/>
      <c r="M68" s="18"/>
      <c r="N68" s="20"/>
      <c r="O68" s="20"/>
      <c r="P68" s="20"/>
      <c r="Q68" s="61"/>
      <c r="R68" s="20"/>
      <c r="S68" s="20"/>
      <c r="T68" s="20"/>
      <c r="U68" s="53">
        <f t="shared" si="31"/>
        <v>0</v>
      </c>
    </row>
    <row r="69" spans="1:21" s="3" customFormat="1" ht="15.75" hidden="1" thickBot="1" x14ac:dyDescent="0.3">
      <c r="A69" s="145" t="s">
        <v>0</v>
      </c>
      <c r="B69" s="167">
        <f t="shared" si="30"/>
        <v>44015</v>
      </c>
      <c r="C69" s="137"/>
      <c r="D69" s="13"/>
      <c r="E69" s="131"/>
      <c r="F69" s="12"/>
      <c r="G69" s="13"/>
      <c r="H69" s="131"/>
      <c r="I69" s="12"/>
      <c r="J69" s="14"/>
      <c r="K69" s="14"/>
      <c r="L69" s="14"/>
      <c r="M69" s="18"/>
      <c r="N69" s="20"/>
      <c r="O69" s="20"/>
      <c r="P69" s="20"/>
      <c r="Q69" s="61"/>
      <c r="R69" s="20"/>
      <c r="S69" s="20"/>
      <c r="T69" s="20"/>
      <c r="U69" s="53">
        <f t="shared" si="31"/>
        <v>0</v>
      </c>
    </row>
    <row r="70" spans="1:21" s="3" customFormat="1" ht="15.75" hidden="1" outlineLevel="1" thickBot="1" x14ac:dyDescent="0.3">
      <c r="A70" s="145" t="s">
        <v>1</v>
      </c>
      <c r="B70" s="167">
        <f t="shared" si="30"/>
        <v>44016</v>
      </c>
      <c r="C70" s="137"/>
      <c r="D70" s="19"/>
      <c r="E70" s="132"/>
      <c r="F70" s="18"/>
      <c r="G70" s="19"/>
      <c r="H70" s="132"/>
      <c r="I70" s="18"/>
      <c r="J70" s="20"/>
      <c r="K70" s="20"/>
      <c r="L70" s="20"/>
      <c r="M70" s="18"/>
      <c r="N70" s="20"/>
      <c r="O70" s="20"/>
      <c r="P70" s="20"/>
      <c r="Q70" s="61"/>
      <c r="R70" s="20"/>
      <c r="S70" s="20"/>
      <c r="T70" s="20"/>
      <c r="U70" s="53">
        <f t="shared" si="31"/>
        <v>0</v>
      </c>
    </row>
    <row r="71" spans="1:21" s="3" customFormat="1" ht="15.75" hidden="1" outlineLevel="1" thickBot="1" x14ac:dyDescent="0.3">
      <c r="A71" s="145" t="s">
        <v>2</v>
      </c>
      <c r="B71" s="167">
        <f t="shared" si="30"/>
        <v>44017</v>
      </c>
      <c r="C71" s="155"/>
      <c r="D71" s="55"/>
      <c r="E71" s="224"/>
      <c r="F71" s="54"/>
      <c r="G71" s="55"/>
      <c r="H71" s="224"/>
      <c r="I71" s="54"/>
      <c r="J71" s="56"/>
      <c r="K71" s="56"/>
      <c r="L71" s="56"/>
      <c r="M71" s="54"/>
      <c r="N71" s="56"/>
      <c r="O71" s="56"/>
      <c r="P71" s="56"/>
      <c r="Q71" s="272"/>
      <c r="R71" s="20"/>
      <c r="S71" s="20"/>
      <c r="T71" s="20"/>
      <c r="U71" s="53">
        <f t="shared" si="31"/>
        <v>0</v>
      </c>
    </row>
    <row r="72" spans="1:21" s="3" customFormat="1" ht="15.75" outlineLevel="1" thickBot="1" x14ac:dyDescent="0.3">
      <c r="A72" s="153" t="s">
        <v>21</v>
      </c>
      <c r="B72" s="677" t="s">
        <v>28</v>
      </c>
      <c r="C72" s="156">
        <f t="shared" ref="C72:L72" si="32">SUM(C65:C71)</f>
        <v>0</v>
      </c>
      <c r="D72" s="111">
        <f t="shared" si="32"/>
        <v>0</v>
      </c>
      <c r="E72" s="111">
        <f>SUM(E65:E71)</f>
        <v>0</v>
      </c>
      <c r="F72" s="110">
        <f t="shared" si="32"/>
        <v>0</v>
      </c>
      <c r="G72" s="111">
        <f>SUM(G65:G71)</f>
        <v>141</v>
      </c>
      <c r="H72" s="111">
        <f>SUM(H65:H71)</f>
        <v>0</v>
      </c>
      <c r="I72" s="110">
        <f>SUM(I65:I71)</f>
        <v>838</v>
      </c>
      <c r="J72" s="112">
        <f t="shared" si="32"/>
        <v>355</v>
      </c>
      <c r="K72" s="112">
        <f t="shared" si="32"/>
        <v>0</v>
      </c>
      <c r="L72" s="112">
        <f t="shared" si="32"/>
        <v>0</v>
      </c>
      <c r="M72" s="268">
        <f>SUM(M65:M71)</f>
        <v>1284</v>
      </c>
      <c r="N72" s="268">
        <f t="shared" ref="N72:S72" si="33">SUM(N65:N71)</f>
        <v>0</v>
      </c>
      <c r="O72" s="268">
        <f t="shared" si="33"/>
        <v>0</v>
      </c>
      <c r="P72" s="268">
        <f t="shared" si="33"/>
        <v>0</v>
      </c>
      <c r="Q72" s="268">
        <f t="shared" si="33"/>
        <v>0</v>
      </c>
      <c r="R72" s="268">
        <f t="shared" si="33"/>
        <v>0</v>
      </c>
      <c r="S72" s="268">
        <f t="shared" si="33"/>
        <v>0</v>
      </c>
      <c r="T72" s="268">
        <f>SUM(T65:T71)</f>
        <v>0</v>
      </c>
      <c r="U72" s="268">
        <f>SUM(U65:U71)</f>
        <v>2618</v>
      </c>
    </row>
    <row r="73" spans="1:21" s="3" customFormat="1" ht="15.75" outlineLevel="1" thickBot="1" x14ac:dyDescent="0.3">
      <c r="A73" s="105" t="s">
        <v>23</v>
      </c>
      <c r="B73" s="678"/>
      <c r="C73" s="157" t="e">
        <f t="shared" ref="C73:L73" si="34">AVERAGE(C65:C71)</f>
        <v>#DIV/0!</v>
      </c>
      <c r="D73" s="107" t="e">
        <f t="shared" si="34"/>
        <v>#DIV/0!</v>
      </c>
      <c r="E73" s="107" t="e">
        <f>AVERAGE(E65:E71)</f>
        <v>#DIV/0!</v>
      </c>
      <c r="F73" s="106" t="e">
        <f t="shared" si="34"/>
        <v>#DIV/0!</v>
      </c>
      <c r="G73" s="107">
        <f t="shared" si="34"/>
        <v>70.5</v>
      </c>
      <c r="H73" s="107" t="e">
        <f>AVERAGE(H65:H71)</f>
        <v>#DIV/0!</v>
      </c>
      <c r="I73" s="106">
        <f t="shared" si="34"/>
        <v>419</v>
      </c>
      <c r="J73" s="108">
        <f t="shared" si="34"/>
        <v>177.5</v>
      </c>
      <c r="K73" s="108" t="e">
        <f t="shared" si="34"/>
        <v>#DIV/0!</v>
      </c>
      <c r="L73" s="108" t="e">
        <f t="shared" si="34"/>
        <v>#DIV/0!</v>
      </c>
      <c r="M73" s="106">
        <f>AVERAGE(M65:M71)</f>
        <v>642</v>
      </c>
      <c r="N73" s="106" t="e">
        <f t="shared" ref="N73:U73" si="35">AVERAGE(N65:N71)</f>
        <v>#DIV/0!</v>
      </c>
      <c r="O73" s="106" t="e">
        <f t="shared" si="35"/>
        <v>#DIV/0!</v>
      </c>
      <c r="P73" s="106" t="e">
        <f t="shared" si="35"/>
        <v>#DIV/0!</v>
      </c>
      <c r="Q73" s="106" t="e">
        <f t="shared" si="35"/>
        <v>#DIV/0!</v>
      </c>
      <c r="R73" s="106" t="e">
        <f t="shared" si="35"/>
        <v>#DIV/0!</v>
      </c>
      <c r="S73" s="106" t="e">
        <f t="shared" si="35"/>
        <v>#DIV/0!</v>
      </c>
      <c r="T73" s="106" t="e">
        <f t="shared" si="35"/>
        <v>#DIV/0!</v>
      </c>
      <c r="U73" s="106">
        <f t="shared" si="35"/>
        <v>374</v>
      </c>
    </row>
    <row r="74" spans="1:21" s="3" customFormat="1" ht="15.75" thickBot="1" x14ac:dyDescent="0.3">
      <c r="A74" s="26" t="s">
        <v>20</v>
      </c>
      <c r="B74" s="678"/>
      <c r="C74" s="158">
        <f t="shared" ref="C74:L74" si="36">SUM(C65:C69)</f>
        <v>0</v>
      </c>
      <c r="D74" s="28">
        <f t="shared" si="36"/>
        <v>0</v>
      </c>
      <c r="E74" s="28">
        <f>SUM(E65:E69)</f>
        <v>0</v>
      </c>
      <c r="F74" s="27">
        <f t="shared" si="36"/>
        <v>0</v>
      </c>
      <c r="G74" s="28">
        <f>SUM(G65:G69)</f>
        <v>141</v>
      </c>
      <c r="H74" s="28">
        <f>SUM(H65:H69)</f>
        <v>0</v>
      </c>
      <c r="I74" s="27">
        <f>SUM(I65:I69)</f>
        <v>838</v>
      </c>
      <c r="J74" s="29">
        <f t="shared" si="36"/>
        <v>355</v>
      </c>
      <c r="K74" s="29">
        <f t="shared" si="36"/>
        <v>0</v>
      </c>
      <c r="L74" s="29">
        <f t="shared" si="36"/>
        <v>0</v>
      </c>
      <c r="M74" s="27">
        <f>SUM(M65:M69)</f>
        <v>1284</v>
      </c>
      <c r="N74" s="27">
        <f t="shared" ref="N74:U74" si="37">SUM(N65:N69)</f>
        <v>0</v>
      </c>
      <c r="O74" s="27">
        <f t="shared" si="37"/>
        <v>0</v>
      </c>
      <c r="P74" s="27">
        <f t="shared" si="37"/>
        <v>0</v>
      </c>
      <c r="Q74" s="27">
        <f t="shared" si="37"/>
        <v>0</v>
      </c>
      <c r="R74" s="27">
        <f t="shared" si="37"/>
        <v>0</v>
      </c>
      <c r="S74" s="27">
        <f t="shared" si="37"/>
        <v>0</v>
      </c>
      <c r="T74" s="27">
        <f t="shared" si="37"/>
        <v>0</v>
      </c>
      <c r="U74" s="27">
        <f t="shared" si="37"/>
        <v>2618</v>
      </c>
    </row>
    <row r="75" spans="1:21" s="3" customFormat="1" ht="15.75" thickBot="1" x14ac:dyDescent="0.3">
      <c r="A75" s="26" t="s">
        <v>22</v>
      </c>
      <c r="B75" s="679"/>
      <c r="C75" s="159" t="e">
        <f t="shared" ref="C75:L75" si="38">AVERAGE(C65:C69)</f>
        <v>#DIV/0!</v>
      </c>
      <c r="D75" s="32" t="e">
        <f t="shared" si="38"/>
        <v>#DIV/0!</v>
      </c>
      <c r="E75" s="32" t="e">
        <f>AVERAGE(E65:E69)</f>
        <v>#DIV/0!</v>
      </c>
      <c r="F75" s="31" t="e">
        <f t="shared" si="38"/>
        <v>#DIV/0!</v>
      </c>
      <c r="G75" s="32">
        <f t="shared" si="38"/>
        <v>70.5</v>
      </c>
      <c r="H75" s="32" t="e">
        <f>AVERAGE(H65:H69)</f>
        <v>#DIV/0!</v>
      </c>
      <c r="I75" s="31">
        <f t="shared" si="38"/>
        <v>419</v>
      </c>
      <c r="J75" s="33">
        <f t="shared" si="38"/>
        <v>177.5</v>
      </c>
      <c r="K75" s="33" t="e">
        <f t="shared" si="38"/>
        <v>#DIV/0!</v>
      </c>
      <c r="L75" s="33" t="e">
        <f t="shared" si="38"/>
        <v>#DIV/0!</v>
      </c>
      <c r="M75" s="31">
        <f>AVERAGE(M65:M69)</f>
        <v>642</v>
      </c>
      <c r="N75" s="31" t="e">
        <f t="shared" ref="N75:U75" si="39">AVERAGE(N65:N69)</f>
        <v>#DIV/0!</v>
      </c>
      <c r="O75" s="31" t="e">
        <f t="shared" si="39"/>
        <v>#DIV/0!</v>
      </c>
      <c r="P75" s="31" t="e">
        <f t="shared" si="39"/>
        <v>#DIV/0!</v>
      </c>
      <c r="Q75" s="31" t="e">
        <f t="shared" si="39"/>
        <v>#DIV/0!</v>
      </c>
      <c r="R75" s="31" t="e">
        <f t="shared" si="39"/>
        <v>#DIV/0!</v>
      </c>
      <c r="S75" s="31" t="e">
        <f t="shared" si="39"/>
        <v>#DIV/0!</v>
      </c>
      <c r="T75" s="31" t="e">
        <f t="shared" si="39"/>
        <v>#DIV/0!</v>
      </c>
      <c r="U75" s="31">
        <f t="shared" si="39"/>
        <v>523.6</v>
      </c>
    </row>
    <row r="76" spans="1:21" s="3" customFormat="1" ht="21" customHeight="1" thickBot="1" x14ac:dyDescent="0.3">
      <c r="A76" s="4"/>
      <c r="B76" s="127"/>
      <c r="C76" s="5"/>
      <c r="D76" s="5"/>
      <c r="E76" s="5"/>
      <c r="F76" s="5"/>
      <c r="G76" s="5"/>
      <c r="H76" s="5"/>
      <c r="I76" s="5"/>
      <c r="J76" s="5"/>
      <c r="K76" s="5"/>
      <c r="L76" s="5"/>
      <c r="M76" s="48"/>
      <c r="N76" s="48"/>
      <c r="O76" s="48"/>
      <c r="P76" s="48"/>
      <c r="Q76" s="48"/>
      <c r="R76" s="48"/>
      <c r="S76" s="48"/>
      <c r="T76" s="48"/>
      <c r="U76" s="48"/>
    </row>
    <row r="77" spans="1:21" s="3" customFormat="1" ht="40.5" customHeight="1" x14ac:dyDescent="0.25">
      <c r="A77" s="4"/>
      <c r="B77" s="127"/>
      <c r="C77" s="457"/>
      <c r="D77" s="326" t="s">
        <v>10</v>
      </c>
      <c r="E77" s="326" t="s">
        <v>84</v>
      </c>
      <c r="F77" s="326" t="s">
        <v>9</v>
      </c>
      <c r="G77" s="458" t="s">
        <v>8</v>
      </c>
      <c r="I77" s="58"/>
      <c r="J77" s="649" t="s">
        <v>56</v>
      </c>
      <c r="K77" s="650"/>
      <c r="L77" s="651"/>
      <c r="M77" s="58"/>
      <c r="N77" s="58"/>
      <c r="O77" s="58"/>
    </row>
    <row r="78" spans="1:21" ht="29.25" customHeight="1" x14ac:dyDescent="0.25">
      <c r="C78" s="448" t="s">
        <v>114</v>
      </c>
      <c r="D78" s="37">
        <f>SUM(C6:G6,C17:G17,C28:G28,C39:G39,C50:G50,C61:G61,C72:G72)</f>
        <v>141</v>
      </c>
      <c r="E78" s="37">
        <f>SUM(,H6,H61, H50, H39, H28, H17, ,H72)</f>
        <v>0</v>
      </c>
      <c r="F78" s="37">
        <f>SUM(I6:L6,I61:L61, I50:L50, I39:L39, I28:L28, I17:L17, I72:L72 )</f>
        <v>8457</v>
      </c>
      <c r="G78" s="459">
        <f>SUM(M6:T6,M61:T61, M50:T50, M39:T39, M28:T28, M17:T17, M72:T72  )</f>
        <v>1284</v>
      </c>
      <c r="I78" s="59"/>
      <c r="J78" s="622" t="s">
        <v>30</v>
      </c>
      <c r="K78" s="623"/>
      <c r="L78" s="462">
        <f>SUM(U19, U30, U41, U52, U63, U74)</f>
        <v>9882</v>
      </c>
      <c r="M78" s="59"/>
      <c r="N78" s="59"/>
      <c r="O78" s="59"/>
      <c r="P78" s="1"/>
      <c r="Q78" s="1"/>
      <c r="R78" s="1"/>
      <c r="S78" s="1"/>
      <c r="T78" s="1"/>
      <c r="U78" s="1"/>
    </row>
    <row r="79" spans="1:21" ht="29.25" customHeight="1" thickBot="1" x14ac:dyDescent="0.3">
      <c r="C79" s="451" t="s">
        <v>30</v>
      </c>
      <c r="D79" s="460">
        <f>SUM(,C63:G63, C52:G52, C41:G41, C30:G30, C19:G19,C74:G74)</f>
        <v>141</v>
      </c>
      <c r="E79" s="460">
        <f>SUM(H63, H52, H41, H30, H19,,H74)</f>
        <v>0</v>
      </c>
      <c r="F79" s="460">
        <f>SUM(I63:L63, I52:L52, I41:L41, I30:L30, I19:L19, I74:L74)</f>
        <v>8457</v>
      </c>
      <c r="G79" s="461">
        <f>SUM(M63:T63, M52:T52, M41:T41, M30:T30, M19:T19, M74:T74 )</f>
        <v>1284</v>
      </c>
      <c r="I79" s="59"/>
      <c r="J79" s="622" t="s">
        <v>114</v>
      </c>
      <c r="K79" s="623"/>
      <c r="L79" s="437">
        <f>SUM(U6,U61, U50, U39, U28, U17, U72)</f>
        <v>9882</v>
      </c>
      <c r="M79" s="59"/>
      <c r="N79" s="59"/>
      <c r="O79" s="59"/>
      <c r="P79" s="1"/>
      <c r="Q79" s="1"/>
      <c r="R79" s="1"/>
      <c r="S79" s="1"/>
      <c r="T79" s="1"/>
      <c r="U79" s="1"/>
    </row>
    <row r="80" spans="1:21" ht="30" customHeight="1" x14ac:dyDescent="0.25">
      <c r="I80" s="11"/>
      <c r="J80" s="622" t="s">
        <v>22</v>
      </c>
      <c r="K80" s="623"/>
      <c r="L80" s="437">
        <f>AVERAGE(U20,U31,U42,U64,U53)</f>
        <v>290.56</v>
      </c>
      <c r="P80" s="1"/>
      <c r="Q80" s="1"/>
      <c r="R80" s="1"/>
      <c r="S80" s="1"/>
      <c r="T80" s="1"/>
      <c r="U80" s="1"/>
    </row>
    <row r="81" spans="9:21" ht="30" customHeight="1" thickBot="1" x14ac:dyDescent="0.3">
      <c r="I81" s="11"/>
      <c r="J81" s="624" t="s">
        <v>120</v>
      </c>
      <c r="K81" s="625"/>
      <c r="L81" s="334">
        <f>AVERAGE(U18,U29,U40,U51,U62)</f>
        <v>207.54285714285714</v>
      </c>
      <c r="P81" s="1"/>
      <c r="Q81" s="1"/>
      <c r="R81" s="1"/>
      <c r="S81" s="1"/>
      <c r="T81" s="1"/>
      <c r="U81" s="1"/>
    </row>
    <row r="82" spans="9:21" ht="30" customHeight="1" x14ac:dyDescent="0.25"/>
  </sheetData>
  <mergeCells count="37">
    <mergeCell ref="B39:B42"/>
    <mergeCell ref="B61:B64"/>
    <mergeCell ref="B72:B75"/>
    <mergeCell ref="B50:B53"/>
    <mergeCell ref="B17:B20"/>
    <mergeCell ref="B28:B31"/>
    <mergeCell ref="B6:B9"/>
    <mergeCell ref="L3:L4"/>
    <mergeCell ref="F3:F4"/>
    <mergeCell ref="G3:G4"/>
    <mergeCell ref="A3:A4"/>
    <mergeCell ref="B3:B4"/>
    <mergeCell ref="C1:G2"/>
    <mergeCell ref="I1:L2"/>
    <mergeCell ref="H3:H4"/>
    <mergeCell ref="J3:J4"/>
    <mergeCell ref="I3:I4"/>
    <mergeCell ref="D3:D4"/>
    <mergeCell ref="K3:K4"/>
    <mergeCell ref="H1:H2"/>
    <mergeCell ref="E3:E4"/>
    <mergeCell ref="C3:C4"/>
    <mergeCell ref="U1:U4"/>
    <mergeCell ref="M3:M4"/>
    <mergeCell ref="N3:N4"/>
    <mergeCell ref="O3:O4"/>
    <mergeCell ref="P3:P4"/>
    <mergeCell ref="Q3:Q4"/>
    <mergeCell ref="M1:T2"/>
    <mergeCell ref="R3:R4"/>
    <mergeCell ref="S3:S4"/>
    <mergeCell ref="T3:T4"/>
    <mergeCell ref="J77:L77"/>
    <mergeCell ref="J78:K78"/>
    <mergeCell ref="J79:K79"/>
    <mergeCell ref="J80:K80"/>
    <mergeCell ref="J81:K81"/>
  </mergeCells>
  <pageMargins left="0.7" right="0.7" top="0.75" bottom="0.75" header="0.3" footer="0.3"/>
  <pageSetup paperSize="5" scale="4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7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68" sqref="H68"/>
    </sheetView>
  </sheetViews>
  <sheetFormatPr defaultRowHeight="15" outlineLevelRow="1" x14ac:dyDescent="0.25"/>
  <cols>
    <col min="1" max="1" width="18.7109375" style="1" bestFit="1" customWidth="1"/>
    <col min="2" max="2" width="8.7109375" style="128" bestFit="1" customWidth="1"/>
    <col min="3" max="5" width="15.7109375" style="11" customWidth="1"/>
    <col min="6" max="6" width="18.5703125" style="11" customWidth="1"/>
    <col min="7" max="7" width="16" style="11" customWidth="1"/>
    <col min="8" max="8" width="18.5703125" style="11" bestFit="1" customWidth="1"/>
    <col min="9" max="16384" width="9.140625" style="11"/>
  </cols>
  <sheetData>
    <row r="1" spans="1:8" ht="14.25" customHeight="1" x14ac:dyDescent="0.25">
      <c r="A1" s="23"/>
      <c r="B1" s="160"/>
      <c r="C1" s="669" t="s">
        <v>10</v>
      </c>
      <c r="D1" s="660"/>
      <c r="E1" s="669" t="s">
        <v>14</v>
      </c>
      <c r="F1" s="660"/>
      <c r="G1" s="652" t="s">
        <v>19</v>
      </c>
    </row>
    <row r="2" spans="1:8" ht="14.25" customHeight="1" thickBot="1" x14ac:dyDescent="0.3">
      <c r="A2" s="24"/>
      <c r="B2" s="161"/>
      <c r="C2" s="692"/>
      <c r="D2" s="693"/>
      <c r="E2" s="692"/>
      <c r="F2" s="693"/>
      <c r="G2" s="653"/>
    </row>
    <row r="3" spans="1:8" ht="14.25" customHeight="1" x14ac:dyDescent="0.25">
      <c r="A3" s="616" t="s">
        <v>51</v>
      </c>
      <c r="B3" s="682" t="s">
        <v>52</v>
      </c>
      <c r="C3" s="690" t="s">
        <v>41</v>
      </c>
      <c r="D3" s="691" t="s">
        <v>42</v>
      </c>
      <c r="E3" s="690" t="s">
        <v>53</v>
      </c>
      <c r="F3" s="691" t="s">
        <v>42</v>
      </c>
      <c r="G3" s="653"/>
    </row>
    <row r="4" spans="1:8" ht="14.25" thickBot="1" x14ac:dyDescent="0.3">
      <c r="A4" s="681"/>
      <c r="B4" s="683"/>
      <c r="C4" s="681"/>
      <c r="D4" s="668"/>
      <c r="E4" s="681"/>
      <c r="F4" s="668"/>
      <c r="G4" s="654"/>
    </row>
    <row r="5" spans="1:8" ht="14.25" thickBot="1" x14ac:dyDescent="0.3">
      <c r="A5" s="395"/>
      <c r="B5" s="396"/>
      <c r="C5" s="395"/>
      <c r="D5" s="398"/>
      <c r="E5" s="395"/>
      <c r="F5" s="399"/>
      <c r="G5" s="400"/>
    </row>
    <row r="6" spans="1:8" s="45" customFormat="1" ht="15" customHeight="1" outlineLevel="1" thickBot="1" x14ac:dyDescent="0.3">
      <c r="A6" s="153" t="s">
        <v>21</v>
      </c>
      <c r="B6" s="688" t="s">
        <v>119</v>
      </c>
      <c r="C6" s="257">
        <f>SUM(C5)</f>
        <v>0</v>
      </c>
      <c r="D6" s="257">
        <f>SUM(D5)</f>
        <v>0</v>
      </c>
      <c r="E6" s="257">
        <f>SUM(E5)</f>
        <v>0</v>
      </c>
      <c r="F6" s="257">
        <f>SUM(F5)</f>
        <v>0</v>
      </c>
      <c r="G6" s="265">
        <f>SUM(G5)</f>
        <v>0</v>
      </c>
    </row>
    <row r="7" spans="1:8" s="45" customFormat="1" ht="15" customHeight="1" outlineLevel="1" thickBot="1" x14ac:dyDescent="0.3">
      <c r="A7" s="105" t="s">
        <v>23</v>
      </c>
      <c r="B7" s="688"/>
      <c r="C7" s="257" t="e">
        <f>AVERAGE(C5)</f>
        <v>#DIV/0!</v>
      </c>
      <c r="D7" s="257" t="e">
        <f>AVERAGE(D5)</f>
        <v>#DIV/0!</v>
      </c>
      <c r="E7" s="257" t="e">
        <f>AVERAGE(E5)</f>
        <v>#DIV/0!</v>
      </c>
      <c r="F7" s="257" t="e">
        <f>AVERAGE(F5)</f>
        <v>#DIV/0!</v>
      </c>
      <c r="G7" s="265" t="e">
        <f>AVERAGE(G5)</f>
        <v>#DIV/0!</v>
      </c>
    </row>
    <row r="8" spans="1:8" s="45" customFormat="1" ht="15" customHeight="1" thickBot="1" x14ac:dyDescent="0.3">
      <c r="A8" s="26" t="s">
        <v>20</v>
      </c>
      <c r="B8" s="688"/>
      <c r="C8" s="258" t="e">
        <f>SUM(#REF!)</f>
        <v>#REF!</v>
      </c>
      <c r="D8" s="289" t="e">
        <f>SUM(#REF!)</f>
        <v>#REF!</v>
      </c>
      <c r="E8" s="258" t="e">
        <f>SUM(#REF!)</f>
        <v>#REF!</v>
      </c>
      <c r="F8" s="261" t="e">
        <f>SUM(#REF!)</f>
        <v>#REF!</v>
      </c>
      <c r="G8" s="266" t="e">
        <f>SUM(#REF!)</f>
        <v>#REF!</v>
      </c>
    </row>
    <row r="9" spans="1:8" s="45" customFormat="1" ht="15" customHeight="1" thickBot="1" x14ac:dyDescent="0.3">
      <c r="A9" s="26" t="s">
        <v>22</v>
      </c>
      <c r="B9" s="688"/>
      <c r="C9" s="258" t="e">
        <f>AVERAGE(#REF!)</f>
        <v>#REF!</v>
      </c>
      <c r="D9" s="289" t="e">
        <f>AVERAGE(#REF!)</f>
        <v>#REF!</v>
      </c>
      <c r="E9" s="258" t="e">
        <f>AVERAGE(#REF!)</f>
        <v>#REF!</v>
      </c>
      <c r="F9" s="261" t="e">
        <f>AVERAGE(#REF!)</f>
        <v>#REF!</v>
      </c>
      <c r="G9" s="266" t="e">
        <f>AVERAGE(#REF!)</f>
        <v>#REF!</v>
      </c>
    </row>
    <row r="10" spans="1:8" s="44" customFormat="1" ht="13.5" x14ac:dyDescent="0.25">
      <c r="A10" s="25" t="s">
        <v>3</v>
      </c>
      <c r="B10" s="253">
        <v>43983</v>
      </c>
      <c r="C10" s="49"/>
      <c r="D10" s="50">
        <v>107</v>
      </c>
      <c r="E10" s="49"/>
      <c r="F10" s="117">
        <v>140</v>
      </c>
      <c r="G10" s="264">
        <f t="shared" ref="G10:G16" si="0">SUM(C10:F10)</f>
        <v>247</v>
      </c>
    </row>
    <row r="11" spans="1:8" s="44" customFormat="1" ht="13.5" x14ac:dyDescent="0.25">
      <c r="A11" s="25" t="s">
        <v>4</v>
      </c>
      <c r="B11" s="163">
        <v>43984</v>
      </c>
      <c r="C11" s="256"/>
      <c r="D11" s="292">
        <v>85</v>
      </c>
      <c r="E11" s="256"/>
      <c r="F11" s="259">
        <v>131</v>
      </c>
      <c r="G11" s="264">
        <f t="shared" si="0"/>
        <v>216</v>
      </c>
    </row>
    <row r="12" spans="1:8" s="44" customFormat="1" ht="13.5" x14ac:dyDescent="0.25">
      <c r="A12" s="25" t="s">
        <v>5</v>
      </c>
      <c r="B12" s="163">
        <v>43985</v>
      </c>
      <c r="C12" s="256"/>
      <c r="D12" s="292">
        <v>77</v>
      </c>
      <c r="E12" s="256"/>
      <c r="F12" s="259">
        <v>111</v>
      </c>
      <c r="G12" s="264">
        <f t="shared" si="0"/>
        <v>188</v>
      </c>
    </row>
    <row r="13" spans="1:8" s="44" customFormat="1" ht="13.5" x14ac:dyDescent="0.25">
      <c r="A13" s="25" t="s">
        <v>6</v>
      </c>
      <c r="B13" s="163">
        <v>43986</v>
      </c>
      <c r="C13" s="256"/>
      <c r="D13" s="292">
        <v>122</v>
      </c>
      <c r="E13" s="256"/>
      <c r="F13" s="259">
        <v>140</v>
      </c>
      <c r="G13" s="264">
        <f t="shared" si="0"/>
        <v>262</v>
      </c>
      <c r="H13" s="146"/>
    </row>
    <row r="14" spans="1:8" s="44" customFormat="1" ht="13.5" x14ac:dyDescent="0.25">
      <c r="A14" s="25" t="s">
        <v>0</v>
      </c>
      <c r="B14" s="170">
        <v>43987</v>
      </c>
      <c r="C14" s="256"/>
      <c r="D14" s="292">
        <v>124</v>
      </c>
      <c r="E14" s="256"/>
      <c r="F14" s="259">
        <v>136</v>
      </c>
      <c r="G14" s="264">
        <f t="shared" si="0"/>
        <v>260</v>
      </c>
      <c r="H14" s="146"/>
    </row>
    <row r="15" spans="1:8" s="44" customFormat="1" ht="13.5" outlineLevel="1" x14ac:dyDescent="0.25">
      <c r="A15" s="25" t="s">
        <v>1</v>
      </c>
      <c r="B15" s="170">
        <v>43988</v>
      </c>
      <c r="C15" s="256"/>
      <c r="D15" s="292">
        <v>71</v>
      </c>
      <c r="E15" s="256"/>
      <c r="F15" s="259">
        <v>132</v>
      </c>
      <c r="G15" s="264">
        <f t="shared" si="0"/>
        <v>203</v>
      </c>
      <c r="H15" s="146"/>
    </row>
    <row r="16" spans="1:8" s="44" customFormat="1" ht="15" customHeight="1" outlineLevel="1" thickBot="1" x14ac:dyDescent="0.3">
      <c r="A16" s="145" t="s">
        <v>2</v>
      </c>
      <c r="B16" s="170">
        <v>43989</v>
      </c>
      <c r="C16" s="256"/>
      <c r="D16" s="292">
        <v>138</v>
      </c>
      <c r="E16" s="256"/>
      <c r="F16" s="259">
        <v>229</v>
      </c>
      <c r="G16" s="264">
        <f t="shared" si="0"/>
        <v>367</v>
      </c>
      <c r="H16" s="146"/>
    </row>
    <row r="17" spans="1:8" s="45" customFormat="1" ht="15" customHeight="1" outlineLevel="1" thickBot="1" x14ac:dyDescent="0.3">
      <c r="A17" s="153" t="s">
        <v>21</v>
      </c>
      <c r="B17" s="688" t="s">
        <v>24</v>
      </c>
      <c r="C17" s="257">
        <f>SUM(C10:C16)</f>
        <v>0</v>
      </c>
      <c r="D17" s="291">
        <f>SUM(D10:D16)</f>
        <v>724</v>
      </c>
      <c r="E17" s="257">
        <f>SUM(E10:E16)</f>
        <v>0</v>
      </c>
      <c r="F17" s="260">
        <f>SUM(F10:F16)</f>
        <v>1019</v>
      </c>
      <c r="G17" s="265">
        <f>SUM(G10:G16)</f>
        <v>1743</v>
      </c>
    </row>
    <row r="18" spans="1:8" s="45" customFormat="1" ht="15" customHeight="1" outlineLevel="1" thickBot="1" x14ac:dyDescent="0.3">
      <c r="A18" s="105" t="s">
        <v>23</v>
      </c>
      <c r="B18" s="688"/>
      <c r="C18" s="257" t="e">
        <f>AVERAGE(C10:C16)</f>
        <v>#DIV/0!</v>
      </c>
      <c r="D18" s="291">
        <f>AVERAGE(D10:D16)</f>
        <v>103.42857142857143</v>
      </c>
      <c r="E18" s="257" t="e">
        <f>AVERAGE(E10:E16)</f>
        <v>#DIV/0!</v>
      </c>
      <c r="F18" s="260">
        <f>AVERAGE(F10:F16)</f>
        <v>145.57142857142858</v>
      </c>
      <c r="G18" s="265">
        <f>AVERAGE(G10:G16)</f>
        <v>249</v>
      </c>
    </row>
    <row r="19" spans="1:8" s="45" customFormat="1" ht="15" customHeight="1" thickBot="1" x14ac:dyDescent="0.3">
      <c r="A19" s="26" t="s">
        <v>20</v>
      </c>
      <c r="B19" s="688"/>
      <c r="C19" s="258">
        <f>SUM(C10:C14)</f>
        <v>0</v>
      </c>
      <c r="D19" s="289">
        <f>SUM(D10:D14)</f>
        <v>515</v>
      </c>
      <c r="E19" s="258">
        <f>SUM(E10:E14)</f>
        <v>0</v>
      </c>
      <c r="F19" s="261">
        <f>SUM(F10:F14)</f>
        <v>658</v>
      </c>
      <c r="G19" s="266">
        <f>SUM(G10:G14)</f>
        <v>1173</v>
      </c>
    </row>
    <row r="20" spans="1:8" s="45" customFormat="1" ht="15" customHeight="1" thickBot="1" x14ac:dyDescent="0.3">
      <c r="A20" s="26" t="s">
        <v>22</v>
      </c>
      <c r="B20" s="688"/>
      <c r="C20" s="258" t="e">
        <f>AVERAGE(C10:C14)</f>
        <v>#DIV/0!</v>
      </c>
      <c r="D20" s="289">
        <f>AVERAGE(D10:D14)</f>
        <v>103</v>
      </c>
      <c r="E20" s="258" t="e">
        <f>AVERAGE(E10:E14)</f>
        <v>#DIV/0!</v>
      </c>
      <c r="F20" s="261">
        <f>AVERAGE(F10:F14)</f>
        <v>131.6</v>
      </c>
      <c r="G20" s="266">
        <f>AVERAGE(G10:G14)</f>
        <v>234.6</v>
      </c>
    </row>
    <row r="21" spans="1:8" s="45" customFormat="1" ht="15" customHeight="1" x14ac:dyDescent="0.25">
      <c r="A21" s="25" t="s">
        <v>3</v>
      </c>
      <c r="B21" s="163">
        <f>B16+1</f>
        <v>43990</v>
      </c>
      <c r="C21" s="246"/>
      <c r="D21" s="290">
        <v>132</v>
      </c>
      <c r="E21" s="246"/>
      <c r="F21" s="262">
        <v>197</v>
      </c>
      <c r="G21" s="264">
        <f>SUM(C21:F21)</f>
        <v>329</v>
      </c>
    </row>
    <row r="22" spans="1:8" s="45" customFormat="1" ht="15" customHeight="1" x14ac:dyDescent="0.25">
      <c r="A22" s="25" t="s">
        <v>4</v>
      </c>
      <c r="B22" s="163">
        <f t="shared" ref="B22:B27" si="1">B21+1</f>
        <v>43991</v>
      </c>
      <c r="C22" s="246"/>
      <c r="D22" s="290">
        <v>122</v>
      </c>
      <c r="E22" s="246"/>
      <c r="F22" s="262">
        <v>183</v>
      </c>
      <c r="G22" s="264">
        <f t="shared" ref="G22:G27" si="2">SUM(C22:F22)</f>
        <v>305</v>
      </c>
    </row>
    <row r="23" spans="1:8" s="45" customFormat="1" ht="15" customHeight="1" x14ac:dyDescent="0.25">
      <c r="A23" s="25" t="s">
        <v>5</v>
      </c>
      <c r="B23" s="163">
        <f t="shared" si="1"/>
        <v>43992</v>
      </c>
      <c r="C23" s="246"/>
      <c r="D23" s="290">
        <v>135</v>
      </c>
      <c r="E23" s="246"/>
      <c r="F23" s="262">
        <v>196</v>
      </c>
      <c r="G23" s="264">
        <f t="shared" si="2"/>
        <v>331</v>
      </c>
    </row>
    <row r="24" spans="1:8" s="45" customFormat="1" ht="15" customHeight="1" x14ac:dyDescent="0.25">
      <c r="A24" s="25" t="s">
        <v>6</v>
      </c>
      <c r="B24" s="163">
        <f t="shared" si="1"/>
        <v>43993</v>
      </c>
      <c r="C24" s="246"/>
      <c r="D24" s="290">
        <v>140</v>
      </c>
      <c r="E24" s="246"/>
      <c r="F24" s="262">
        <v>152</v>
      </c>
      <c r="G24" s="264">
        <f t="shared" si="2"/>
        <v>292</v>
      </c>
    </row>
    <row r="25" spans="1:8" s="45" customFormat="1" ht="15" customHeight="1" x14ac:dyDescent="0.25">
      <c r="A25" s="25" t="s">
        <v>0</v>
      </c>
      <c r="B25" s="163">
        <f t="shared" si="1"/>
        <v>43994</v>
      </c>
      <c r="C25" s="246"/>
      <c r="D25" s="290">
        <v>201</v>
      </c>
      <c r="E25" s="246"/>
      <c r="F25" s="262">
        <v>248</v>
      </c>
      <c r="G25" s="264">
        <f t="shared" si="2"/>
        <v>449</v>
      </c>
    </row>
    <row r="26" spans="1:8" s="45" customFormat="1" ht="15" customHeight="1" outlineLevel="1" x14ac:dyDescent="0.25">
      <c r="A26" s="25" t="s">
        <v>1</v>
      </c>
      <c r="B26" s="163">
        <f t="shared" si="1"/>
        <v>43995</v>
      </c>
      <c r="C26" s="246"/>
      <c r="D26" s="290">
        <v>180</v>
      </c>
      <c r="E26" s="246"/>
      <c r="F26" s="262">
        <v>233</v>
      </c>
      <c r="G26" s="264">
        <f t="shared" si="2"/>
        <v>413</v>
      </c>
      <c r="H26" s="149"/>
    </row>
    <row r="27" spans="1:8" s="45" customFormat="1" ht="15" customHeight="1" outlineLevel="1" thickBot="1" x14ac:dyDescent="0.3">
      <c r="A27" s="25" t="s">
        <v>2</v>
      </c>
      <c r="B27" s="163">
        <f t="shared" si="1"/>
        <v>43996</v>
      </c>
      <c r="C27" s="246"/>
      <c r="D27" s="290">
        <v>124</v>
      </c>
      <c r="E27" s="246"/>
      <c r="F27" s="262">
        <v>145</v>
      </c>
      <c r="G27" s="264">
        <f t="shared" si="2"/>
        <v>269</v>
      </c>
    </row>
    <row r="28" spans="1:8" s="45" customFormat="1" ht="15" customHeight="1" outlineLevel="1" thickBot="1" x14ac:dyDescent="0.3">
      <c r="A28" s="153" t="s">
        <v>21</v>
      </c>
      <c r="B28" s="688" t="s">
        <v>25</v>
      </c>
      <c r="C28" s="257">
        <f>SUM(C21:C27)</f>
        <v>0</v>
      </c>
      <c r="D28" s="291">
        <f>SUM(D21:D27)</f>
        <v>1034</v>
      </c>
      <c r="E28" s="257">
        <f>SUM(E21:E27)</f>
        <v>0</v>
      </c>
      <c r="F28" s="260">
        <f>SUM(F21:F27)</f>
        <v>1354</v>
      </c>
      <c r="G28" s="265">
        <f>SUM(G21:G27)</f>
        <v>2388</v>
      </c>
    </row>
    <row r="29" spans="1:8" s="45" customFormat="1" ht="15" customHeight="1" outlineLevel="1" thickBot="1" x14ac:dyDescent="0.3">
      <c r="A29" s="105" t="s">
        <v>23</v>
      </c>
      <c r="B29" s="688"/>
      <c r="C29" s="257" t="e">
        <f>AVERAGE(C21:C27)</f>
        <v>#DIV/0!</v>
      </c>
      <c r="D29" s="291">
        <f>AVERAGE(D21:D27)</f>
        <v>147.71428571428572</v>
      </c>
      <c r="E29" s="286" t="e">
        <f>AVERAGE(E21:E27)</f>
        <v>#DIV/0!</v>
      </c>
      <c r="F29" s="287">
        <f>AVERAGE(F21:F27)</f>
        <v>193.42857142857142</v>
      </c>
      <c r="G29" s="265">
        <f>AVERAGE(G21:G27)</f>
        <v>341.14285714285717</v>
      </c>
    </row>
    <row r="30" spans="1:8" s="45" customFormat="1" ht="15" customHeight="1" thickBot="1" x14ac:dyDescent="0.3">
      <c r="A30" s="26" t="s">
        <v>20</v>
      </c>
      <c r="B30" s="688"/>
      <c r="C30" s="258">
        <f>SUM(C21:C25)</f>
        <v>0</v>
      </c>
      <c r="D30" s="289">
        <f>SUM(D21:D25)</f>
        <v>730</v>
      </c>
      <c r="E30" s="288">
        <f>SUM(E21:E25)</f>
        <v>0</v>
      </c>
      <c r="F30" s="294">
        <f>SUM(F21:F25)</f>
        <v>976</v>
      </c>
      <c r="G30" s="266">
        <f>SUM(G21:G25)</f>
        <v>1706</v>
      </c>
    </row>
    <row r="31" spans="1:8" s="45" customFormat="1" ht="15" customHeight="1" thickBot="1" x14ac:dyDescent="0.3">
      <c r="A31" s="26" t="s">
        <v>22</v>
      </c>
      <c r="B31" s="688"/>
      <c r="C31" s="258" t="e">
        <f>AVERAGE(C21:C25)</f>
        <v>#DIV/0!</v>
      </c>
      <c r="D31" s="289">
        <f>AVERAGE(D21:D25)</f>
        <v>146</v>
      </c>
      <c r="E31" s="258" t="e">
        <f>AVERAGE(E21:E25)</f>
        <v>#DIV/0!</v>
      </c>
      <c r="F31" s="261">
        <f>AVERAGE(F21:F25)</f>
        <v>195.2</v>
      </c>
      <c r="G31" s="266">
        <f>AVERAGE(G21:G25)</f>
        <v>341.2</v>
      </c>
    </row>
    <row r="32" spans="1:8" s="45" customFormat="1" ht="15" customHeight="1" x14ac:dyDescent="0.25">
      <c r="A32" s="25" t="s">
        <v>3</v>
      </c>
      <c r="B32" s="166">
        <f>B27+1</f>
        <v>43997</v>
      </c>
      <c r="C32" s="246"/>
      <c r="D32" s="290">
        <v>193</v>
      </c>
      <c r="E32" s="246"/>
      <c r="F32" s="262">
        <v>200</v>
      </c>
      <c r="G32" s="264">
        <f>SUM(C32:F32)</f>
        <v>393</v>
      </c>
    </row>
    <row r="33" spans="1:8" s="45" customFormat="1" ht="15" customHeight="1" x14ac:dyDescent="0.25">
      <c r="A33" s="25" t="s">
        <v>4</v>
      </c>
      <c r="B33" s="166">
        <f t="shared" ref="B33:B38" si="3">B32+1</f>
        <v>43998</v>
      </c>
      <c r="C33" s="246"/>
      <c r="D33" s="290">
        <v>166</v>
      </c>
      <c r="E33" s="246"/>
      <c r="F33" s="262">
        <v>230</v>
      </c>
      <c r="G33" s="264">
        <f t="shared" ref="G33:G38" si="4">SUM(C33:F33)</f>
        <v>396</v>
      </c>
    </row>
    <row r="34" spans="1:8" s="45" customFormat="1" ht="15" customHeight="1" x14ac:dyDescent="0.25">
      <c r="A34" s="25" t="s">
        <v>5</v>
      </c>
      <c r="B34" s="166">
        <f t="shared" si="3"/>
        <v>43999</v>
      </c>
      <c r="C34" s="246"/>
      <c r="D34" s="290">
        <v>150</v>
      </c>
      <c r="E34" s="246"/>
      <c r="F34" s="262">
        <v>220</v>
      </c>
      <c r="G34" s="264">
        <f t="shared" si="4"/>
        <v>370</v>
      </c>
    </row>
    <row r="35" spans="1:8" s="45" customFormat="1" ht="15" customHeight="1" x14ac:dyDescent="0.25">
      <c r="A35" s="25" t="s">
        <v>6</v>
      </c>
      <c r="B35" s="166">
        <f t="shared" si="3"/>
        <v>44000</v>
      </c>
      <c r="C35" s="256"/>
      <c r="D35" s="290">
        <v>187</v>
      </c>
      <c r="E35" s="256"/>
      <c r="F35" s="262">
        <v>197</v>
      </c>
      <c r="G35" s="264">
        <f t="shared" si="4"/>
        <v>384</v>
      </c>
    </row>
    <row r="36" spans="1:8" s="45" customFormat="1" ht="15" customHeight="1" x14ac:dyDescent="0.25">
      <c r="A36" s="25" t="s">
        <v>0</v>
      </c>
      <c r="B36" s="166">
        <f t="shared" si="3"/>
        <v>44001</v>
      </c>
      <c r="C36" s="256"/>
      <c r="D36" s="290">
        <v>234</v>
      </c>
      <c r="E36" s="256"/>
      <c r="F36" s="262">
        <v>301</v>
      </c>
      <c r="G36" s="264">
        <f t="shared" si="4"/>
        <v>535</v>
      </c>
    </row>
    <row r="37" spans="1:8" s="45" customFormat="1" ht="15" customHeight="1" outlineLevel="1" x14ac:dyDescent="0.25">
      <c r="A37" s="25" t="s">
        <v>1</v>
      </c>
      <c r="B37" s="166">
        <f t="shared" si="3"/>
        <v>44002</v>
      </c>
      <c r="C37" s="256"/>
      <c r="D37" s="290">
        <v>218</v>
      </c>
      <c r="E37" s="256"/>
      <c r="F37" s="262">
        <v>235</v>
      </c>
      <c r="G37" s="264">
        <f t="shared" si="4"/>
        <v>453</v>
      </c>
    </row>
    <row r="38" spans="1:8" s="45" customFormat="1" ht="15" customHeight="1" outlineLevel="1" thickBot="1" x14ac:dyDescent="0.3">
      <c r="A38" s="25" t="s">
        <v>2</v>
      </c>
      <c r="B38" s="166">
        <f t="shared" si="3"/>
        <v>44003</v>
      </c>
      <c r="C38" s="256"/>
      <c r="D38" s="290">
        <v>174</v>
      </c>
      <c r="E38" s="256"/>
      <c r="F38" s="262">
        <v>319</v>
      </c>
      <c r="G38" s="264">
        <f t="shared" si="4"/>
        <v>493</v>
      </c>
      <c r="H38" s="149"/>
    </row>
    <row r="39" spans="1:8" s="45" customFormat="1" ht="15" customHeight="1" outlineLevel="1" thickBot="1" x14ac:dyDescent="0.3">
      <c r="A39" s="153" t="s">
        <v>21</v>
      </c>
      <c r="B39" s="688" t="s">
        <v>26</v>
      </c>
      <c r="C39" s="257">
        <f>SUM(C32:C38)</f>
        <v>0</v>
      </c>
      <c r="D39" s="291">
        <f>SUM(D32:D38)</f>
        <v>1322</v>
      </c>
      <c r="E39" s="257">
        <f>SUM(E32:E38)</f>
        <v>0</v>
      </c>
      <c r="F39" s="260">
        <f>SUM(F32:F38)</f>
        <v>1702</v>
      </c>
      <c r="G39" s="265">
        <f>SUM(G32:G38)</f>
        <v>3024</v>
      </c>
    </row>
    <row r="40" spans="1:8" s="45" customFormat="1" ht="15" customHeight="1" outlineLevel="1" thickBot="1" x14ac:dyDescent="0.3">
      <c r="A40" s="105" t="s">
        <v>23</v>
      </c>
      <c r="B40" s="688"/>
      <c r="C40" s="257" t="e">
        <f>AVERAGE(C32:C38)</f>
        <v>#DIV/0!</v>
      </c>
      <c r="D40" s="291">
        <f>AVERAGE(D32:D38)</f>
        <v>188.85714285714286</v>
      </c>
      <c r="E40" s="257" t="e">
        <f>AVERAGE(E32:E38)</f>
        <v>#DIV/0!</v>
      </c>
      <c r="F40" s="260">
        <f>AVERAGE(F32:F38)</f>
        <v>243.14285714285714</v>
      </c>
      <c r="G40" s="265">
        <f>AVERAGE(G32:G38)</f>
        <v>432</v>
      </c>
    </row>
    <row r="41" spans="1:8" s="45" customFormat="1" ht="15" customHeight="1" thickBot="1" x14ac:dyDescent="0.3">
      <c r="A41" s="26" t="s">
        <v>20</v>
      </c>
      <c r="B41" s="688"/>
      <c r="C41" s="258">
        <f>SUM(C32:C36)</f>
        <v>0</v>
      </c>
      <c r="D41" s="289">
        <f>SUM(D32:D36)</f>
        <v>930</v>
      </c>
      <c r="E41" s="258">
        <f>SUM(E32:E36)</f>
        <v>0</v>
      </c>
      <c r="F41" s="261">
        <f>SUM(F32:F36)</f>
        <v>1148</v>
      </c>
      <c r="G41" s="266">
        <f>SUM(G32:G36)</f>
        <v>2078</v>
      </c>
    </row>
    <row r="42" spans="1:8" s="45" customFormat="1" ht="15" customHeight="1" thickBot="1" x14ac:dyDescent="0.3">
      <c r="A42" s="26" t="s">
        <v>22</v>
      </c>
      <c r="B42" s="688"/>
      <c r="C42" s="258" t="e">
        <f>AVERAGE(C32:C36)</f>
        <v>#DIV/0!</v>
      </c>
      <c r="D42" s="289">
        <f>AVERAGE(D32:D36)</f>
        <v>186</v>
      </c>
      <c r="E42" s="258" t="e">
        <f>AVERAGE(E32:E36)</f>
        <v>#DIV/0!</v>
      </c>
      <c r="F42" s="261">
        <f>AVERAGE(F32:F36)</f>
        <v>229.6</v>
      </c>
      <c r="G42" s="266">
        <f>AVERAGE(G32:G36)</f>
        <v>415.6</v>
      </c>
    </row>
    <row r="43" spans="1:8" s="45" customFormat="1" ht="15" customHeight="1" x14ac:dyDescent="0.25">
      <c r="A43" s="25" t="s">
        <v>3</v>
      </c>
      <c r="B43" s="168">
        <f>B38+1</f>
        <v>44004</v>
      </c>
      <c r="C43" s="256"/>
      <c r="D43" s="290">
        <v>252</v>
      </c>
      <c r="E43" s="256"/>
      <c r="F43" s="262">
        <v>301</v>
      </c>
      <c r="G43" s="264">
        <f>SUM(C43:F43)</f>
        <v>553</v>
      </c>
      <c r="H43" s="149"/>
    </row>
    <row r="44" spans="1:8" s="45" customFormat="1" ht="15" customHeight="1" x14ac:dyDescent="0.25">
      <c r="A44" s="25" t="s">
        <v>4</v>
      </c>
      <c r="B44" s="168">
        <f t="shared" ref="B44:B49" si="5">B43+1</f>
        <v>44005</v>
      </c>
      <c r="C44" s="256"/>
      <c r="D44" s="290">
        <v>253</v>
      </c>
      <c r="E44" s="256"/>
      <c r="F44" s="262">
        <v>290</v>
      </c>
      <c r="G44" s="264">
        <f>SUM(C44:F44)</f>
        <v>543</v>
      </c>
      <c r="H44" s="149"/>
    </row>
    <row r="45" spans="1:8" s="45" customFormat="1" ht="15" customHeight="1" x14ac:dyDescent="0.25">
      <c r="A45" s="25" t="s">
        <v>5</v>
      </c>
      <c r="B45" s="168">
        <f t="shared" si="5"/>
        <v>44006</v>
      </c>
      <c r="C45" s="256"/>
      <c r="D45" s="290">
        <v>246</v>
      </c>
      <c r="E45" s="256"/>
      <c r="F45" s="262">
        <v>258</v>
      </c>
      <c r="G45" s="264">
        <f t="shared" ref="G45:G49" si="6">SUM(C45:F45)</f>
        <v>504</v>
      </c>
      <c r="H45" s="149"/>
    </row>
    <row r="46" spans="1:8" s="45" customFormat="1" ht="15" customHeight="1" x14ac:dyDescent="0.25">
      <c r="A46" s="25" t="s">
        <v>6</v>
      </c>
      <c r="B46" s="168">
        <f t="shared" si="5"/>
        <v>44007</v>
      </c>
      <c r="C46" s="256"/>
      <c r="D46" s="290">
        <v>260</v>
      </c>
      <c r="E46" s="246"/>
      <c r="F46" s="262">
        <v>267</v>
      </c>
      <c r="G46" s="264">
        <f>SUM(C46:F46)</f>
        <v>527</v>
      </c>
      <c r="H46" s="149"/>
    </row>
    <row r="47" spans="1:8" s="45" customFormat="1" ht="15" customHeight="1" x14ac:dyDescent="0.25">
      <c r="A47" s="25" t="s">
        <v>0</v>
      </c>
      <c r="B47" s="168">
        <f t="shared" si="5"/>
        <v>44008</v>
      </c>
      <c r="C47" s="256"/>
      <c r="D47" s="290">
        <v>281</v>
      </c>
      <c r="E47" s="246"/>
      <c r="F47" s="262">
        <v>311</v>
      </c>
      <c r="G47" s="264">
        <f t="shared" si="6"/>
        <v>592</v>
      </c>
      <c r="H47" s="149"/>
    </row>
    <row r="48" spans="1:8" s="45" customFormat="1" ht="15" customHeight="1" outlineLevel="1" x14ac:dyDescent="0.25">
      <c r="A48" s="25" t="s">
        <v>1</v>
      </c>
      <c r="B48" s="168">
        <f t="shared" si="5"/>
        <v>44009</v>
      </c>
      <c r="C48" s="256"/>
      <c r="D48" s="290">
        <v>127</v>
      </c>
      <c r="E48" s="256"/>
      <c r="F48" s="262">
        <v>211</v>
      </c>
      <c r="G48" s="264">
        <f t="shared" si="6"/>
        <v>338</v>
      </c>
      <c r="H48" s="149"/>
    </row>
    <row r="49" spans="1:8" s="45" customFormat="1" ht="15" customHeight="1" outlineLevel="1" thickBot="1" x14ac:dyDescent="0.3">
      <c r="A49" s="25" t="s">
        <v>2</v>
      </c>
      <c r="B49" s="168">
        <f t="shared" si="5"/>
        <v>44010</v>
      </c>
      <c r="C49" s="256"/>
      <c r="D49" s="290">
        <v>191</v>
      </c>
      <c r="E49" s="256"/>
      <c r="F49" s="262">
        <v>241</v>
      </c>
      <c r="G49" s="264">
        <f t="shared" si="6"/>
        <v>432</v>
      </c>
      <c r="H49" s="149"/>
    </row>
    <row r="50" spans="1:8" s="45" customFormat="1" ht="15" customHeight="1" outlineLevel="1" thickBot="1" x14ac:dyDescent="0.3">
      <c r="A50" s="153" t="s">
        <v>21</v>
      </c>
      <c r="B50" s="688" t="s">
        <v>27</v>
      </c>
      <c r="C50" s="257">
        <f>SUM(C43:C49)</f>
        <v>0</v>
      </c>
      <c r="D50" s="291">
        <f>SUM(D43:D49)</f>
        <v>1610</v>
      </c>
      <c r="E50" s="257">
        <f>SUM(E43:E49)</f>
        <v>0</v>
      </c>
      <c r="F50" s="260">
        <f>SUM(F43:F49)</f>
        <v>1879</v>
      </c>
      <c r="G50" s="265">
        <f>SUM(G43:G49)</f>
        <v>3489</v>
      </c>
    </row>
    <row r="51" spans="1:8" s="45" customFormat="1" ht="15" customHeight="1" outlineLevel="1" thickBot="1" x14ac:dyDescent="0.3">
      <c r="A51" s="105" t="s">
        <v>23</v>
      </c>
      <c r="B51" s="688"/>
      <c r="C51" s="257" t="e">
        <f>AVERAGE(C43:C49)</f>
        <v>#DIV/0!</v>
      </c>
      <c r="D51" s="291">
        <f>AVERAGE(D43:D49)</f>
        <v>230</v>
      </c>
      <c r="E51" s="257" t="e">
        <f>AVERAGE(E43:E49)</f>
        <v>#DIV/0!</v>
      </c>
      <c r="F51" s="260">
        <f>AVERAGE(F43:F49)</f>
        <v>268.42857142857144</v>
      </c>
      <c r="G51" s="265">
        <f>AVERAGE(G43:G49)</f>
        <v>498.42857142857144</v>
      </c>
    </row>
    <row r="52" spans="1:8" s="45" customFormat="1" ht="15" customHeight="1" thickBot="1" x14ac:dyDescent="0.3">
      <c r="A52" s="26" t="s">
        <v>20</v>
      </c>
      <c r="B52" s="688"/>
      <c r="C52" s="258">
        <f>SUM(C43:C47)</f>
        <v>0</v>
      </c>
      <c r="D52" s="289">
        <f>SUM(D43:D47)</f>
        <v>1292</v>
      </c>
      <c r="E52" s="258">
        <f>SUM(E43:E47)</f>
        <v>0</v>
      </c>
      <c r="F52" s="261">
        <f>SUM(F43:F47)</f>
        <v>1427</v>
      </c>
      <c r="G52" s="266">
        <f>SUM(G43:G47)</f>
        <v>2719</v>
      </c>
    </row>
    <row r="53" spans="1:8" s="45" customFormat="1" ht="15" customHeight="1" thickBot="1" x14ac:dyDescent="0.3">
      <c r="A53" s="26" t="s">
        <v>22</v>
      </c>
      <c r="B53" s="688"/>
      <c r="C53" s="258" t="e">
        <f>AVERAGE(C43:C47)</f>
        <v>#DIV/0!</v>
      </c>
      <c r="D53" s="289">
        <f>AVERAGE(D43:D47)</f>
        <v>258.39999999999998</v>
      </c>
      <c r="E53" s="258" t="e">
        <f>AVERAGE(E43:E47)</f>
        <v>#DIV/0!</v>
      </c>
      <c r="F53" s="261">
        <f>AVERAGE(F43:F47)</f>
        <v>285.39999999999998</v>
      </c>
      <c r="G53" s="266">
        <f>AVERAGE(G43:G47)</f>
        <v>543.79999999999995</v>
      </c>
    </row>
    <row r="54" spans="1:8" s="45" customFormat="1" ht="15" customHeight="1" x14ac:dyDescent="0.25">
      <c r="A54" s="25" t="s">
        <v>3</v>
      </c>
      <c r="B54" s="168">
        <f>B49+1</f>
        <v>44011</v>
      </c>
      <c r="C54" s="246"/>
      <c r="D54" s="290">
        <v>232</v>
      </c>
      <c r="E54" s="246"/>
      <c r="F54" s="262">
        <v>270</v>
      </c>
      <c r="G54" s="264">
        <f t="shared" ref="G54:G60" si="7">SUM(C54:F54)</f>
        <v>502</v>
      </c>
      <c r="H54" s="149"/>
    </row>
    <row r="55" spans="1:8" s="45" customFormat="1" ht="15" customHeight="1" thickBot="1" x14ac:dyDescent="0.3">
      <c r="A55" s="145" t="s">
        <v>4</v>
      </c>
      <c r="B55" s="168">
        <f t="shared" ref="B55:B60" si="8">B54+1</f>
        <v>44012</v>
      </c>
      <c r="C55" s="246"/>
      <c r="D55" s="290">
        <v>243</v>
      </c>
      <c r="E55" s="246"/>
      <c r="F55" s="262">
        <v>329</v>
      </c>
      <c r="G55" s="264">
        <f t="shared" si="7"/>
        <v>572</v>
      </c>
      <c r="H55" s="149"/>
    </row>
    <row r="56" spans="1:8" s="45" customFormat="1" ht="15" hidden="1" customHeight="1" x14ac:dyDescent="0.25">
      <c r="A56" s="145" t="s">
        <v>5</v>
      </c>
      <c r="B56" s="168">
        <f t="shared" si="8"/>
        <v>44013</v>
      </c>
      <c r="C56" s="246"/>
      <c r="D56" s="290"/>
      <c r="E56" s="246"/>
      <c r="F56" s="262"/>
      <c r="G56" s="264">
        <f t="shared" si="7"/>
        <v>0</v>
      </c>
      <c r="H56" s="149"/>
    </row>
    <row r="57" spans="1:8" s="45" customFormat="1" ht="13.5" hidden="1" x14ac:dyDescent="0.25">
      <c r="A57" s="145" t="s">
        <v>6</v>
      </c>
      <c r="B57" s="168">
        <f t="shared" si="8"/>
        <v>44014</v>
      </c>
      <c r="C57" s="256"/>
      <c r="D57" s="292"/>
      <c r="E57" s="256"/>
      <c r="F57" s="259"/>
      <c r="G57" s="264">
        <f t="shared" si="7"/>
        <v>0</v>
      </c>
      <c r="H57" s="149"/>
    </row>
    <row r="58" spans="1:8" s="45" customFormat="1" ht="13.5" hidden="1" x14ac:dyDescent="0.25">
      <c r="A58" s="25" t="s">
        <v>0</v>
      </c>
      <c r="B58" s="170">
        <f t="shared" si="8"/>
        <v>44015</v>
      </c>
      <c r="C58" s="256"/>
      <c r="D58" s="292"/>
      <c r="E58" s="256"/>
      <c r="F58" s="259"/>
      <c r="G58" s="264">
        <f t="shared" si="7"/>
        <v>0</v>
      </c>
      <c r="H58" s="149"/>
    </row>
    <row r="59" spans="1:8" s="45" customFormat="1" ht="13.5" hidden="1" outlineLevel="1" x14ac:dyDescent="0.25">
      <c r="A59" s="25" t="s">
        <v>1</v>
      </c>
      <c r="B59" s="170">
        <f t="shared" si="8"/>
        <v>44016</v>
      </c>
      <c r="C59" s="256"/>
      <c r="D59" s="292"/>
      <c r="E59" s="256"/>
      <c r="F59" s="259"/>
      <c r="G59" s="264">
        <f t="shared" si="7"/>
        <v>0</v>
      </c>
      <c r="H59" s="149"/>
    </row>
    <row r="60" spans="1:8" s="45" customFormat="1" ht="14.25" hidden="1" outlineLevel="1" thickBot="1" x14ac:dyDescent="0.3">
      <c r="A60" s="145" t="s">
        <v>2</v>
      </c>
      <c r="B60" s="295">
        <f t="shared" si="8"/>
        <v>44017</v>
      </c>
      <c r="C60" s="256"/>
      <c r="D60" s="292"/>
      <c r="E60" s="256"/>
      <c r="F60" s="259"/>
      <c r="G60" s="264">
        <f t="shared" si="7"/>
        <v>0</v>
      </c>
    </row>
    <row r="61" spans="1:8" s="45" customFormat="1" ht="15" customHeight="1" outlineLevel="1" thickBot="1" x14ac:dyDescent="0.3">
      <c r="A61" s="153" t="s">
        <v>21</v>
      </c>
      <c r="B61" s="678" t="s">
        <v>28</v>
      </c>
      <c r="C61" s="257">
        <f>SUM(C54:C60)</f>
        <v>0</v>
      </c>
      <c r="D61" s="291">
        <f>SUM(D54:D60)</f>
        <v>475</v>
      </c>
      <c r="E61" s="257">
        <f>SUM(E54:E60)</f>
        <v>0</v>
      </c>
      <c r="F61" s="260">
        <f>SUM(F54:F60)</f>
        <v>599</v>
      </c>
      <c r="G61" s="265">
        <f>SUM(G54:G60)</f>
        <v>1074</v>
      </c>
    </row>
    <row r="62" spans="1:8" s="45" customFormat="1" ht="15" customHeight="1" outlineLevel="1" thickBot="1" x14ac:dyDescent="0.3">
      <c r="A62" s="105" t="s">
        <v>23</v>
      </c>
      <c r="B62" s="678"/>
      <c r="C62" s="257" t="e">
        <f>AVERAGE(C54:C60)</f>
        <v>#DIV/0!</v>
      </c>
      <c r="D62" s="291">
        <f>AVERAGE(D54:D60)</f>
        <v>237.5</v>
      </c>
      <c r="E62" s="257" t="e">
        <f>AVERAGE(E54:E60)</f>
        <v>#DIV/0!</v>
      </c>
      <c r="F62" s="260">
        <f>AVERAGE(F54:F60)</f>
        <v>299.5</v>
      </c>
      <c r="G62" s="265">
        <f>AVERAGE(G54:G60)</f>
        <v>153.42857142857142</v>
      </c>
    </row>
    <row r="63" spans="1:8" s="45" customFormat="1" ht="15" customHeight="1" thickBot="1" x14ac:dyDescent="0.3">
      <c r="A63" s="26" t="s">
        <v>20</v>
      </c>
      <c r="B63" s="678"/>
      <c r="C63" s="258">
        <f>SUM(C54:C58)</f>
        <v>0</v>
      </c>
      <c r="D63" s="289">
        <f>SUM(D54:D58)</f>
        <v>475</v>
      </c>
      <c r="E63" s="258">
        <f>SUM(E54:E58)</f>
        <v>0</v>
      </c>
      <c r="F63" s="261">
        <f>SUM(F54:F58)</f>
        <v>599</v>
      </c>
      <c r="G63" s="266">
        <f>SUM(G54:G58)</f>
        <v>1074</v>
      </c>
    </row>
    <row r="64" spans="1:8" s="45" customFormat="1" ht="14.25" thickBot="1" x14ac:dyDescent="0.3">
      <c r="A64" s="26" t="s">
        <v>22</v>
      </c>
      <c r="B64" s="679"/>
      <c r="C64" s="245" t="e">
        <f>AVERAGE(C54:C58)</f>
        <v>#DIV/0!</v>
      </c>
      <c r="D64" s="293">
        <f>AVERAGE(D54:D58)</f>
        <v>237.5</v>
      </c>
      <c r="E64" s="245" t="e">
        <f>AVERAGE(E54:E58)</f>
        <v>#DIV/0!</v>
      </c>
      <c r="F64" s="263">
        <f>AVERAGE(F54:F58)</f>
        <v>299.5</v>
      </c>
      <c r="G64" s="267">
        <f>AVERAGE(G54:G58)</f>
        <v>214.8</v>
      </c>
    </row>
    <row r="65" spans="1:7" s="45" customFormat="1" ht="15" customHeight="1" x14ac:dyDescent="0.25">
      <c r="A65" s="4"/>
      <c r="B65" s="127"/>
      <c r="C65" s="48"/>
      <c r="D65" s="48"/>
      <c r="E65" s="48"/>
      <c r="F65" s="48"/>
      <c r="G65" s="48"/>
    </row>
    <row r="66" spans="1:7" s="45" customFormat="1" ht="30" customHeight="1" x14ac:dyDescent="0.25">
      <c r="A66" s="178"/>
      <c r="B66" s="38" t="s">
        <v>10</v>
      </c>
      <c r="C66" s="38" t="s">
        <v>14</v>
      </c>
      <c r="D66" s="48"/>
      <c r="E66" s="694" t="s">
        <v>57</v>
      </c>
      <c r="F66" s="695"/>
      <c r="G66" s="696"/>
    </row>
    <row r="67" spans="1:7" ht="30" customHeight="1" x14ac:dyDescent="0.25">
      <c r="A67" s="40" t="s">
        <v>114</v>
      </c>
      <c r="B67" s="179">
        <f xml:space="preserve"> SUM(,C6:D6,C61:D61, C50:D50, C39:D39, C28:D28, C17:D17,)</f>
        <v>5165</v>
      </c>
      <c r="C67" s="37">
        <f>SUM(,E6:F6,, E61:F61, E50:F50, E39:F39, E28:F28, E17:F17)</f>
        <v>6553</v>
      </c>
      <c r="D67" s="114"/>
      <c r="E67" s="689" t="s">
        <v>30</v>
      </c>
      <c r="F67" s="685"/>
      <c r="G67" s="102">
        <f xml:space="preserve"> SUM(G19, G30, G41, G52, G63,)</f>
        <v>8750</v>
      </c>
    </row>
    <row r="68" spans="1:7" ht="30" customHeight="1" x14ac:dyDescent="0.25">
      <c r="A68" s="40" t="s">
        <v>30</v>
      </c>
      <c r="B68" s="179">
        <f xml:space="preserve"> SUM(C6:D6,C63:D63, C52:D52, C41:D41, C30:D30, C19:D19,)</f>
        <v>3942</v>
      </c>
      <c r="C68" s="37">
        <f>SUM( E63:F63, E52:F52, E41:F41, E30:F30, E19:F19)</f>
        <v>4808</v>
      </c>
      <c r="D68" s="114"/>
      <c r="E68" s="689" t="s">
        <v>114</v>
      </c>
      <c r="F68" s="685"/>
      <c r="G68" s="103">
        <f xml:space="preserve"> SUM(,G6,G61, G50, G39, G28, G17,)</f>
        <v>11718</v>
      </c>
    </row>
    <row r="69" spans="1:7" ht="30" customHeight="1" x14ac:dyDescent="0.25">
      <c r="E69" s="684" t="s">
        <v>22</v>
      </c>
      <c r="F69" s="685"/>
      <c r="G69" s="103">
        <f>AVERAGE(G20,G31,G42,G53,G64)</f>
        <v>349.99999999999994</v>
      </c>
    </row>
    <row r="70" spans="1:7" ht="26.25" customHeight="1" thickBot="1" x14ac:dyDescent="0.3">
      <c r="E70" s="686" t="s">
        <v>120</v>
      </c>
      <c r="F70" s="687"/>
      <c r="G70" s="102">
        <f>AVERAGE(G18,G29,G40,G51,G62)</f>
        <v>334.79999999999995</v>
      </c>
    </row>
    <row r="71" spans="1:7" x14ac:dyDescent="0.25">
      <c r="C71" s="147"/>
    </row>
  </sheetData>
  <mergeCells count="20">
    <mergeCell ref="B6:B9"/>
    <mergeCell ref="G1:G4"/>
    <mergeCell ref="E1:F2"/>
    <mergeCell ref="C1:D2"/>
    <mergeCell ref="E66:G66"/>
    <mergeCell ref="A3:A4"/>
    <mergeCell ref="B3:B4"/>
    <mergeCell ref="E3:E4"/>
    <mergeCell ref="F3:F4"/>
    <mergeCell ref="C3:C4"/>
    <mergeCell ref="D3:D4"/>
    <mergeCell ref="E69:F69"/>
    <mergeCell ref="E70:F70"/>
    <mergeCell ref="B17:B20"/>
    <mergeCell ref="B28:B31"/>
    <mergeCell ref="B39:B42"/>
    <mergeCell ref="B50:B53"/>
    <mergeCell ref="B61:B64"/>
    <mergeCell ref="E68:F68"/>
    <mergeCell ref="E67:F67"/>
  </mergeCells>
  <pageMargins left="0.7" right="0.7" top="0.75" bottom="0.75" header="0.3" footer="0.3"/>
  <pageSetup scale="73" orientation="portrait" r:id="rId1"/>
  <ignoredErrors>
    <ignoredError sqref="C29" emptyCellReference="1"/>
    <ignoredError sqref="C18 E18:F18" evalError="1" emptyCellReference="1"/>
    <ignoredError sqref="D39:F39 G29 C39 G31" formulaRange="1" emptyCellReference="1"/>
    <ignoredError sqref="G64 F31" formulaRange="1"/>
    <ignoredError sqref="E64:F64 D40:F40 G40 D51:F51 D62:F62 D20 G18 G51 C51 C62 C40 C64 G20 C42 D42:F42 G42 C53 D53:F53 G53" evalError="1" formulaRange="1" emptyCellReference="1"/>
    <ignoredError sqref="G62" evalError="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81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M61" sqref="M61"/>
    </sheetView>
  </sheetViews>
  <sheetFormatPr defaultRowHeight="15" outlineLevelRow="1" x14ac:dyDescent="0.25"/>
  <cols>
    <col min="1" max="1" width="18.7109375" style="1" bestFit="1" customWidth="1"/>
    <col min="2" max="2" width="16.28515625" style="128" customWidth="1"/>
    <col min="3" max="3" width="16.28515625" style="318" customWidth="1"/>
    <col min="4" max="11" width="15.7109375" style="11" customWidth="1"/>
    <col min="12" max="12" width="35.28515625" style="11" bestFit="1" customWidth="1"/>
    <col min="13" max="13" width="31.5703125" style="11" customWidth="1"/>
    <col min="14" max="16384" width="9.140625" style="11"/>
  </cols>
  <sheetData>
    <row r="1" spans="1:13" ht="15" customHeight="1" x14ac:dyDescent="0.25">
      <c r="A1" s="23"/>
      <c r="B1" s="160"/>
      <c r="C1" s="669" t="s">
        <v>94</v>
      </c>
      <c r="D1" s="659"/>
      <c r="E1" s="659"/>
      <c r="F1" s="659"/>
      <c r="G1" s="659"/>
      <c r="H1" s="669" t="s">
        <v>91</v>
      </c>
      <c r="I1" s="660"/>
      <c r="J1" s="659" t="s">
        <v>92</v>
      </c>
      <c r="K1" s="660"/>
      <c r="L1" s="652" t="s">
        <v>19</v>
      </c>
    </row>
    <row r="2" spans="1:13" ht="15" customHeight="1" thickBot="1" x14ac:dyDescent="0.3">
      <c r="A2" s="24"/>
      <c r="B2" s="161"/>
      <c r="C2" s="676"/>
      <c r="D2" s="708"/>
      <c r="E2" s="708"/>
      <c r="F2" s="708"/>
      <c r="G2" s="708"/>
      <c r="H2" s="676"/>
      <c r="I2" s="707"/>
      <c r="J2" s="708"/>
      <c r="K2" s="707"/>
      <c r="L2" s="653"/>
    </row>
    <row r="3" spans="1:13" ht="13.5" customHeight="1" x14ac:dyDescent="0.25">
      <c r="A3" s="616" t="s">
        <v>51</v>
      </c>
      <c r="B3" s="629" t="s">
        <v>52</v>
      </c>
      <c r="C3" s="709" t="s">
        <v>101</v>
      </c>
      <c r="D3" s="597" t="s">
        <v>7</v>
      </c>
      <c r="E3" s="597" t="s">
        <v>88</v>
      </c>
      <c r="F3" s="597" t="s">
        <v>89</v>
      </c>
      <c r="G3" s="705" t="s">
        <v>90</v>
      </c>
      <c r="H3" s="616" t="s">
        <v>85</v>
      </c>
      <c r="I3" s="449" t="s">
        <v>104</v>
      </c>
      <c r="J3" s="703" t="s">
        <v>10</v>
      </c>
      <c r="K3" s="598" t="s">
        <v>99</v>
      </c>
      <c r="L3" s="644"/>
    </row>
    <row r="4" spans="1:13" ht="15" customHeight="1" thickBot="1" x14ac:dyDescent="0.3">
      <c r="A4" s="681"/>
      <c r="B4" s="631"/>
      <c r="C4" s="710"/>
      <c r="D4" s="674"/>
      <c r="E4" s="674"/>
      <c r="F4" s="674"/>
      <c r="G4" s="706"/>
      <c r="H4" s="681"/>
      <c r="I4" s="450" t="s">
        <v>98</v>
      </c>
      <c r="J4" s="704"/>
      <c r="K4" s="680"/>
      <c r="L4" s="702"/>
    </row>
    <row r="5" spans="1:13" s="388" customFormat="1" ht="15" customHeight="1" thickBot="1" x14ac:dyDescent="0.3">
      <c r="A5" s="395"/>
      <c r="B5" s="391"/>
      <c r="C5" s="414"/>
      <c r="D5" s="415"/>
      <c r="E5" s="415"/>
      <c r="F5" s="415"/>
      <c r="G5" s="416"/>
      <c r="H5" s="417"/>
      <c r="I5" s="418"/>
      <c r="J5" s="419"/>
      <c r="K5" s="420"/>
      <c r="L5" s="423"/>
    </row>
    <row r="6" spans="1:13" s="45" customFormat="1" ht="15" customHeight="1" outlineLevel="1" thickBot="1" x14ac:dyDescent="0.3">
      <c r="A6" s="153" t="s">
        <v>21</v>
      </c>
      <c r="B6" s="697" t="s">
        <v>119</v>
      </c>
      <c r="C6" s="493" t="e">
        <f>SUM(#REF!)</f>
        <v>#REF!</v>
      </c>
      <c r="D6" s="112">
        <f>SUM(D5)</f>
        <v>0</v>
      </c>
      <c r="E6" s="112">
        <f t="shared" ref="E6:K6" si="0">SUM(E5)</f>
        <v>0</v>
      </c>
      <c r="F6" s="112">
        <f t="shared" si="0"/>
        <v>0</v>
      </c>
      <c r="G6" s="494">
        <f t="shared" si="0"/>
        <v>0</v>
      </c>
      <c r="H6" s="110">
        <f t="shared" si="0"/>
        <v>0</v>
      </c>
      <c r="I6" s="111">
        <f t="shared" si="0"/>
        <v>0</v>
      </c>
      <c r="J6" s="156">
        <f t="shared" si="0"/>
        <v>0</v>
      </c>
      <c r="K6" s="111">
        <f t="shared" si="0"/>
        <v>0</v>
      </c>
      <c r="L6" s="454">
        <f>SUM(L5)</f>
        <v>0</v>
      </c>
    </row>
    <row r="7" spans="1:13" s="45" customFormat="1" ht="15" customHeight="1" outlineLevel="1" thickBot="1" x14ac:dyDescent="0.3">
      <c r="A7" s="105" t="s">
        <v>23</v>
      </c>
      <c r="B7" s="698"/>
      <c r="C7" s="306" t="e">
        <f>AVERAGE(#REF!)</f>
        <v>#REF!</v>
      </c>
      <c r="D7" s="237" t="e">
        <f>AVERAGE(D5)</f>
        <v>#DIV/0!</v>
      </c>
      <c r="E7" s="237" t="e">
        <f t="shared" ref="E7:L7" si="1">AVERAGE(E5)</f>
        <v>#DIV/0!</v>
      </c>
      <c r="F7" s="237" t="e">
        <f t="shared" si="1"/>
        <v>#DIV/0!</v>
      </c>
      <c r="G7" s="345" t="e">
        <f t="shared" si="1"/>
        <v>#DIV/0!</v>
      </c>
      <c r="H7" s="240" t="e">
        <f t="shared" si="1"/>
        <v>#DIV/0!</v>
      </c>
      <c r="I7" s="241" t="e">
        <f t="shared" si="1"/>
        <v>#DIV/0!</v>
      </c>
      <c r="J7" s="455" t="e">
        <f t="shared" si="1"/>
        <v>#DIV/0!</v>
      </c>
      <c r="K7" s="241" t="e">
        <f t="shared" si="1"/>
        <v>#DIV/0!</v>
      </c>
      <c r="L7" s="455" t="e">
        <f t="shared" si="1"/>
        <v>#DIV/0!</v>
      </c>
    </row>
    <row r="8" spans="1:13" s="45" customFormat="1" ht="15" customHeight="1" thickBot="1" x14ac:dyDescent="0.3">
      <c r="A8" s="26" t="s">
        <v>20</v>
      </c>
      <c r="B8" s="698"/>
      <c r="C8" s="307" t="e">
        <f>SUM(#REF!)</f>
        <v>#REF!</v>
      </c>
      <c r="D8" s="238" t="e">
        <f>SUM(#REF!)</f>
        <v>#REF!</v>
      </c>
      <c r="E8" s="238" t="e">
        <f>SUM(#REF!)</f>
        <v>#REF!</v>
      </c>
      <c r="F8" s="238" t="e">
        <f>SUM(#REF!)</f>
        <v>#REF!</v>
      </c>
      <c r="G8" s="346" t="e">
        <f>SUM(#REF!)</f>
        <v>#REF!</v>
      </c>
      <c r="H8" s="242" t="e">
        <f>SUM(#REF!)</f>
        <v>#REF!</v>
      </c>
      <c r="I8" s="243" t="e">
        <f>SUM(#REF!)</f>
        <v>#REF!</v>
      </c>
      <c r="J8" s="278" t="e">
        <f>SUM(#REF!)</f>
        <v>#REF!</v>
      </c>
      <c r="K8" s="495" t="e">
        <f>SUM(#REF!)</f>
        <v>#REF!</v>
      </c>
      <c r="L8" s="491" t="e">
        <f>SUM(#REF!)</f>
        <v>#REF!</v>
      </c>
    </row>
    <row r="9" spans="1:13" s="45" customFormat="1" ht="15" customHeight="1" thickBot="1" x14ac:dyDescent="0.3">
      <c r="A9" s="26" t="s">
        <v>22</v>
      </c>
      <c r="B9" s="699"/>
      <c r="C9" s="311" t="e">
        <f>AVERAGE(#REF!)</f>
        <v>#REF!</v>
      </c>
      <c r="D9" s="33" t="e">
        <f>AVERAGE(#REF!)</f>
        <v>#REF!</v>
      </c>
      <c r="E9" s="33" t="e">
        <f>AVERAGE(#REF!)</f>
        <v>#REF!</v>
      </c>
      <c r="F9" s="33" t="e">
        <f>AVERAGE(#REF!)</f>
        <v>#REF!</v>
      </c>
      <c r="G9" s="347" t="e">
        <f>AVERAGE(#REF!)</f>
        <v>#REF!</v>
      </c>
      <c r="H9" s="31" t="e">
        <f>AVERAGE(#REF!)</f>
        <v>#REF!</v>
      </c>
      <c r="I9" s="32" t="e">
        <f>AVERAGE(I3)</f>
        <v>#DIV/0!</v>
      </c>
      <c r="J9" s="273" t="e">
        <f>AVERAGE(#REF!)</f>
        <v>#REF!</v>
      </c>
      <c r="K9" s="35" t="e">
        <f>AVERAGE(#REF!)</f>
        <v>#REF!</v>
      </c>
      <c r="L9" s="500" t="e">
        <f>AVERAGE(#REF!)</f>
        <v>#REF!</v>
      </c>
    </row>
    <row r="10" spans="1:13" s="44" customFormat="1" ht="13.5" x14ac:dyDescent="0.25">
      <c r="A10" s="25" t="s">
        <v>3</v>
      </c>
      <c r="B10" s="492">
        <v>43983</v>
      </c>
      <c r="C10" s="389"/>
      <c r="D10" s="390"/>
      <c r="E10" s="390"/>
      <c r="F10" s="14"/>
      <c r="G10" s="60"/>
      <c r="H10" s="401">
        <v>137</v>
      </c>
      <c r="I10" s="402">
        <v>127</v>
      </c>
      <c r="J10" s="136"/>
      <c r="K10" s="60"/>
      <c r="L10" s="17">
        <f>SUM(C10:K10)</f>
        <v>264</v>
      </c>
    </row>
    <row r="11" spans="1:13" s="44" customFormat="1" ht="13.5" x14ac:dyDescent="0.25">
      <c r="A11" s="25" t="s">
        <v>4</v>
      </c>
      <c r="B11" s="226">
        <v>43984</v>
      </c>
      <c r="C11" s="305"/>
      <c r="D11" s="236"/>
      <c r="E11" s="236"/>
      <c r="F11" s="203"/>
      <c r="G11" s="212"/>
      <c r="H11" s="352">
        <v>145</v>
      </c>
      <c r="I11" s="244">
        <v>132</v>
      </c>
      <c r="J11" s="137"/>
      <c r="K11" s="61"/>
      <c r="L11" s="270">
        <f t="shared" ref="L11:L16" si="2">SUM(C11:K11)</f>
        <v>277</v>
      </c>
    </row>
    <row r="12" spans="1:13" s="44" customFormat="1" ht="13.5" x14ac:dyDescent="0.25">
      <c r="A12" s="25" t="s">
        <v>5</v>
      </c>
      <c r="B12" s="226">
        <v>43985</v>
      </c>
      <c r="C12" s="305"/>
      <c r="D12" s="444"/>
      <c r="E12" s="236"/>
      <c r="F12" s="203"/>
      <c r="G12" s="212"/>
      <c r="H12" s="352">
        <v>158</v>
      </c>
      <c r="I12" s="244">
        <v>157</v>
      </c>
      <c r="J12" s="137"/>
      <c r="K12" s="61"/>
      <c r="L12" s="270">
        <f t="shared" si="2"/>
        <v>315</v>
      </c>
    </row>
    <row r="13" spans="1:13" s="44" customFormat="1" ht="13.5" x14ac:dyDescent="0.25">
      <c r="A13" s="25" t="s">
        <v>6</v>
      </c>
      <c r="B13" s="226">
        <v>43986</v>
      </c>
      <c r="C13" s="305"/>
      <c r="D13" s="236"/>
      <c r="E13" s="235"/>
      <c r="F13" s="20"/>
      <c r="G13" s="61"/>
      <c r="H13" s="352">
        <v>155</v>
      </c>
      <c r="I13" s="244">
        <v>149</v>
      </c>
      <c r="J13" s="137"/>
      <c r="K13" s="61"/>
      <c r="L13" s="270">
        <f t="shared" si="2"/>
        <v>304</v>
      </c>
      <c r="M13" s="146"/>
    </row>
    <row r="14" spans="1:13" s="44" customFormat="1" ht="13.5" x14ac:dyDescent="0.25">
      <c r="A14" s="25" t="s">
        <v>0</v>
      </c>
      <c r="B14" s="226">
        <v>43987</v>
      </c>
      <c r="C14" s="305"/>
      <c r="D14" s="234"/>
      <c r="E14" s="235"/>
      <c r="F14" s="20"/>
      <c r="G14" s="61"/>
      <c r="H14" s="352">
        <v>121</v>
      </c>
      <c r="I14" s="244">
        <v>108</v>
      </c>
      <c r="J14" s="137"/>
      <c r="K14" s="61"/>
      <c r="L14" s="270">
        <f t="shared" si="2"/>
        <v>229</v>
      </c>
      <c r="M14" s="146"/>
    </row>
    <row r="15" spans="1:13" s="44" customFormat="1" ht="13.5" outlineLevel="1" x14ac:dyDescent="0.25">
      <c r="A15" s="25" t="s">
        <v>1</v>
      </c>
      <c r="B15" s="226">
        <v>43988</v>
      </c>
      <c r="C15" s="305"/>
      <c r="D15" s="234"/>
      <c r="E15" s="235"/>
      <c r="F15" s="20"/>
      <c r="G15" s="61"/>
      <c r="H15" s="445"/>
      <c r="I15" s="442"/>
      <c r="J15" s="137"/>
      <c r="K15" s="61"/>
      <c r="L15" s="270">
        <f t="shared" si="2"/>
        <v>0</v>
      </c>
      <c r="M15" s="146"/>
    </row>
    <row r="16" spans="1:13" s="44" customFormat="1" ht="15" customHeight="1" outlineLevel="1" thickBot="1" x14ac:dyDescent="0.3">
      <c r="A16" s="25" t="s">
        <v>2</v>
      </c>
      <c r="B16" s="226">
        <v>43989</v>
      </c>
      <c r="C16" s="357"/>
      <c r="D16" s="358"/>
      <c r="E16" s="359"/>
      <c r="F16" s="56"/>
      <c r="G16" s="272"/>
      <c r="H16" s="446"/>
      <c r="I16" s="443"/>
      <c r="J16" s="155"/>
      <c r="K16" s="272"/>
      <c r="L16" s="499">
        <f t="shared" si="2"/>
        <v>0</v>
      </c>
      <c r="M16" s="146"/>
    </row>
    <row r="17" spans="1:12" s="45" customFormat="1" ht="15" customHeight="1" outlineLevel="1" thickBot="1" x14ac:dyDescent="0.3">
      <c r="A17" s="153" t="s">
        <v>21</v>
      </c>
      <c r="B17" s="697" t="s">
        <v>24</v>
      </c>
      <c r="C17" s="353">
        <f t="shared" ref="C17:K17" si="3">SUM(C10:C16)</f>
        <v>0</v>
      </c>
      <c r="D17" s="354">
        <f t="shared" si="3"/>
        <v>0</v>
      </c>
      <c r="E17" s="354">
        <f t="shared" si="3"/>
        <v>0</v>
      </c>
      <c r="F17" s="354">
        <f t="shared" si="3"/>
        <v>0</v>
      </c>
      <c r="G17" s="355">
        <f t="shared" si="3"/>
        <v>0</v>
      </c>
      <c r="H17" s="268">
        <f t="shared" si="3"/>
        <v>716</v>
      </c>
      <c r="I17" s="282">
        <f t="shared" si="3"/>
        <v>673</v>
      </c>
      <c r="J17" s="284">
        <f t="shared" si="3"/>
        <v>0</v>
      </c>
      <c r="K17" s="274">
        <f t="shared" si="3"/>
        <v>0</v>
      </c>
      <c r="L17" s="501">
        <f>SUM(L10:L16)</f>
        <v>1389</v>
      </c>
    </row>
    <row r="18" spans="1:12" s="45" customFormat="1" ht="15" customHeight="1" outlineLevel="1" thickBot="1" x14ac:dyDescent="0.3">
      <c r="A18" s="105" t="s">
        <v>23</v>
      </c>
      <c r="B18" s="698"/>
      <c r="C18" s="306" t="e">
        <f>AVERAGE(C10:C16)</f>
        <v>#DIV/0!</v>
      </c>
      <c r="D18" s="237" t="e">
        <f t="shared" ref="D18:K18" si="4">AVERAGE(D10:D16)</f>
        <v>#DIV/0!</v>
      </c>
      <c r="E18" s="237" t="e">
        <f t="shared" si="4"/>
        <v>#DIV/0!</v>
      </c>
      <c r="F18" s="237" t="e">
        <f t="shared" si="4"/>
        <v>#DIV/0!</v>
      </c>
      <c r="G18" s="345" t="e">
        <f t="shared" si="4"/>
        <v>#DIV/0!</v>
      </c>
      <c r="H18" s="240">
        <f t="shared" si="4"/>
        <v>143.19999999999999</v>
      </c>
      <c r="I18" s="241">
        <f>AVERAGE(I14:I16)</f>
        <v>108</v>
      </c>
      <c r="J18" s="277" t="e">
        <f t="shared" si="4"/>
        <v>#DIV/0!</v>
      </c>
      <c r="K18" s="250" t="e">
        <f t="shared" si="4"/>
        <v>#DIV/0!</v>
      </c>
      <c r="L18" s="109">
        <f>AVERAGE(L10:L16)</f>
        <v>198.42857142857142</v>
      </c>
    </row>
    <row r="19" spans="1:12" s="45" customFormat="1" ht="15" customHeight="1" thickBot="1" x14ac:dyDescent="0.3">
      <c r="A19" s="26" t="s">
        <v>20</v>
      </c>
      <c r="B19" s="698"/>
      <c r="C19" s="307">
        <f t="shared" ref="C19:L19" si="5">SUM(C10:C14)</f>
        <v>0</v>
      </c>
      <c r="D19" s="238">
        <f t="shared" si="5"/>
        <v>0</v>
      </c>
      <c r="E19" s="238">
        <f t="shared" si="5"/>
        <v>0</v>
      </c>
      <c r="F19" s="238">
        <f t="shared" si="5"/>
        <v>0</v>
      </c>
      <c r="G19" s="346">
        <f t="shared" si="5"/>
        <v>0</v>
      </c>
      <c r="H19" s="242">
        <f t="shared" si="5"/>
        <v>716</v>
      </c>
      <c r="I19" s="243">
        <f t="shared" si="5"/>
        <v>673</v>
      </c>
      <c r="J19" s="278">
        <f t="shared" si="5"/>
        <v>0</v>
      </c>
      <c r="K19" s="251">
        <f t="shared" si="5"/>
        <v>0</v>
      </c>
      <c r="L19" s="30">
        <f t="shared" si="5"/>
        <v>1389</v>
      </c>
    </row>
    <row r="20" spans="1:12" s="45" customFormat="1" ht="15" customHeight="1" thickBot="1" x14ac:dyDescent="0.3">
      <c r="A20" s="26" t="s">
        <v>22</v>
      </c>
      <c r="B20" s="698"/>
      <c r="C20" s="362" t="e">
        <f>AVERAGE(C10:C14)</f>
        <v>#DIV/0!</v>
      </c>
      <c r="D20" s="363" t="e">
        <f t="shared" ref="D20:K20" si="6">AVERAGE(D10:D14)</f>
        <v>#DIV/0!</v>
      </c>
      <c r="E20" s="363" t="e">
        <f t="shared" si="6"/>
        <v>#DIV/0!</v>
      </c>
      <c r="F20" s="363" t="e">
        <f t="shared" si="6"/>
        <v>#DIV/0!</v>
      </c>
      <c r="G20" s="364" t="e">
        <f t="shared" si="6"/>
        <v>#DIV/0!</v>
      </c>
      <c r="H20" s="365">
        <f t="shared" si="6"/>
        <v>143.19999999999999</v>
      </c>
      <c r="I20" s="366">
        <f>AVERAGE(I14)</f>
        <v>108</v>
      </c>
      <c r="J20" s="367" t="e">
        <f t="shared" si="6"/>
        <v>#DIV/0!</v>
      </c>
      <c r="K20" s="368" t="e">
        <f t="shared" si="6"/>
        <v>#DIV/0!</v>
      </c>
      <c r="L20" s="503">
        <f>AVERAGE(L10:L14)</f>
        <v>277.8</v>
      </c>
    </row>
    <row r="21" spans="1:12" s="45" customFormat="1" ht="15" customHeight="1" x14ac:dyDescent="0.25">
      <c r="A21" s="25" t="s">
        <v>3</v>
      </c>
      <c r="B21" s="227">
        <f>B16+1</f>
        <v>43990</v>
      </c>
      <c r="C21" s="356"/>
      <c r="D21" s="239"/>
      <c r="E21" s="239"/>
      <c r="F21" s="369"/>
      <c r="G21" s="370"/>
      <c r="H21" s="350">
        <v>142</v>
      </c>
      <c r="I21" s="351">
        <v>151</v>
      </c>
      <c r="J21" s="371"/>
      <c r="K21" s="370"/>
      <c r="L21" s="17">
        <f t="shared" ref="L21:L27" si="7">SUM(C21:K21)</f>
        <v>293</v>
      </c>
    </row>
    <row r="22" spans="1:12" s="45" customFormat="1" ht="15" customHeight="1" x14ac:dyDescent="0.25">
      <c r="A22" s="25" t="s">
        <v>4</v>
      </c>
      <c r="B22" s="228">
        <f t="shared" ref="B22:B27" si="8">B21+1</f>
        <v>43991</v>
      </c>
      <c r="C22" s="305"/>
      <c r="D22" s="236"/>
      <c r="E22" s="236"/>
      <c r="F22" s="178"/>
      <c r="G22" s="180"/>
      <c r="H22" s="352">
        <v>167</v>
      </c>
      <c r="I22" s="244">
        <v>155</v>
      </c>
      <c r="J22" s="279"/>
      <c r="K22" s="502"/>
      <c r="L22" s="270">
        <f t="shared" si="7"/>
        <v>322</v>
      </c>
    </row>
    <row r="23" spans="1:12" s="45" customFormat="1" ht="15" customHeight="1" x14ac:dyDescent="0.25">
      <c r="A23" s="25" t="s">
        <v>5</v>
      </c>
      <c r="B23" s="228">
        <f t="shared" si="8"/>
        <v>43992</v>
      </c>
      <c r="C23" s="305"/>
      <c r="D23" s="236"/>
      <c r="E23" s="236"/>
      <c r="F23" s="178"/>
      <c r="G23" s="180"/>
      <c r="H23" s="352">
        <v>172</v>
      </c>
      <c r="I23" s="244">
        <v>158</v>
      </c>
      <c r="J23" s="279"/>
      <c r="K23" s="502"/>
      <c r="L23" s="270">
        <f t="shared" si="7"/>
        <v>330</v>
      </c>
    </row>
    <row r="24" spans="1:12" s="45" customFormat="1" ht="15" customHeight="1" x14ac:dyDescent="0.25">
      <c r="A24" s="25" t="s">
        <v>6</v>
      </c>
      <c r="B24" s="229">
        <f t="shared" si="8"/>
        <v>43993</v>
      </c>
      <c r="C24" s="305"/>
      <c r="D24" s="234"/>
      <c r="E24" s="234"/>
      <c r="F24" s="225"/>
      <c r="G24" s="61"/>
      <c r="H24" s="352">
        <v>164</v>
      </c>
      <c r="I24" s="244">
        <v>137</v>
      </c>
      <c r="J24" s="132"/>
      <c r="K24" s="61"/>
      <c r="L24" s="270">
        <f t="shared" si="7"/>
        <v>301</v>
      </c>
    </row>
    <row r="25" spans="1:12" s="45" customFormat="1" ht="15" customHeight="1" x14ac:dyDescent="0.25">
      <c r="A25" s="25" t="s">
        <v>0</v>
      </c>
      <c r="B25" s="229">
        <f t="shared" si="8"/>
        <v>43994</v>
      </c>
      <c r="C25" s="305"/>
      <c r="D25" s="234"/>
      <c r="E25" s="234"/>
      <c r="F25" s="225"/>
      <c r="G25" s="61"/>
      <c r="H25" s="352">
        <v>146</v>
      </c>
      <c r="I25" s="244">
        <v>134</v>
      </c>
      <c r="J25" s="132"/>
      <c r="K25" s="61"/>
      <c r="L25" s="270">
        <f t="shared" si="7"/>
        <v>280</v>
      </c>
    </row>
    <row r="26" spans="1:12" s="45" customFormat="1" ht="15" customHeight="1" outlineLevel="1" x14ac:dyDescent="0.25">
      <c r="A26" s="25" t="s">
        <v>1</v>
      </c>
      <c r="B26" s="226">
        <f t="shared" si="8"/>
        <v>43995</v>
      </c>
      <c r="C26" s="305"/>
      <c r="D26" s="236"/>
      <c r="E26" s="234"/>
      <c r="F26" s="225"/>
      <c r="G26" s="61"/>
      <c r="H26" s="445"/>
      <c r="I26" s="442"/>
      <c r="J26" s="132"/>
      <c r="K26" s="61"/>
      <c r="L26" s="270">
        <f t="shared" si="7"/>
        <v>0</v>
      </c>
    </row>
    <row r="27" spans="1:12" s="45" customFormat="1" ht="15" customHeight="1" outlineLevel="1" thickBot="1" x14ac:dyDescent="0.3">
      <c r="A27" s="25" t="s">
        <v>2</v>
      </c>
      <c r="B27" s="228">
        <f t="shared" si="8"/>
        <v>43996</v>
      </c>
      <c r="C27" s="357"/>
      <c r="D27" s="358"/>
      <c r="E27" s="358"/>
      <c r="F27" s="372"/>
      <c r="G27" s="272"/>
      <c r="H27" s="446"/>
      <c r="I27" s="443"/>
      <c r="J27" s="224"/>
      <c r="K27" s="272"/>
      <c r="L27" s="499">
        <f t="shared" si="7"/>
        <v>0</v>
      </c>
    </row>
    <row r="28" spans="1:12" s="45" customFormat="1" ht="15" customHeight="1" outlineLevel="1" thickBot="1" x14ac:dyDescent="0.3">
      <c r="A28" s="153" t="s">
        <v>21</v>
      </c>
      <c r="B28" s="697" t="s">
        <v>25</v>
      </c>
      <c r="C28" s="353">
        <f t="shared" ref="C28:K28" si="9">SUM(C21:C27)</f>
        <v>0</v>
      </c>
      <c r="D28" s="354">
        <f t="shared" si="9"/>
        <v>0</v>
      </c>
      <c r="E28" s="354">
        <f t="shared" si="9"/>
        <v>0</v>
      </c>
      <c r="F28" s="354">
        <f t="shared" si="9"/>
        <v>0</v>
      </c>
      <c r="G28" s="355">
        <f t="shared" si="9"/>
        <v>0</v>
      </c>
      <c r="H28" s="268">
        <f t="shared" si="9"/>
        <v>791</v>
      </c>
      <c r="I28" s="282">
        <f t="shared" si="9"/>
        <v>735</v>
      </c>
      <c r="J28" s="284">
        <f t="shared" si="9"/>
        <v>0</v>
      </c>
      <c r="K28" s="274">
        <f t="shared" si="9"/>
        <v>0</v>
      </c>
      <c r="L28" s="501">
        <f>SUM(L21:L27)</f>
        <v>1526</v>
      </c>
    </row>
    <row r="29" spans="1:12" s="45" customFormat="1" ht="15" customHeight="1" outlineLevel="1" thickBot="1" x14ac:dyDescent="0.3">
      <c r="A29" s="105" t="s">
        <v>23</v>
      </c>
      <c r="B29" s="698"/>
      <c r="C29" s="306" t="e">
        <f>AVERAGE(C21:C27)</f>
        <v>#DIV/0!</v>
      </c>
      <c r="D29" s="237" t="e">
        <f>AVERAGE(D21:D27)</f>
        <v>#DIV/0!</v>
      </c>
      <c r="E29" s="237" t="e">
        <f t="shared" ref="E29:J29" si="10">AVERAGE(E21:E27)</f>
        <v>#DIV/0!</v>
      </c>
      <c r="F29" s="237" t="e">
        <f>AVERAGE(F21:F27)</f>
        <v>#DIV/0!</v>
      </c>
      <c r="G29" s="345" t="e">
        <f>AVERAGE(G21:G27)</f>
        <v>#DIV/0!</v>
      </c>
      <c r="H29" s="240">
        <f t="shared" si="10"/>
        <v>158.19999999999999</v>
      </c>
      <c r="I29" s="241">
        <f>AVERAGE(I21:I27)</f>
        <v>147</v>
      </c>
      <c r="J29" s="277" t="e">
        <f t="shared" si="10"/>
        <v>#DIV/0!</v>
      </c>
      <c r="K29" s="250" t="e">
        <f>AVERAGE(K21:K27)</f>
        <v>#DIV/0!</v>
      </c>
      <c r="L29" s="109">
        <f>AVERAGE(L21:L27)</f>
        <v>218</v>
      </c>
    </row>
    <row r="30" spans="1:12" s="45" customFormat="1" ht="15" customHeight="1" thickBot="1" x14ac:dyDescent="0.3">
      <c r="A30" s="26" t="s">
        <v>20</v>
      </c>
      <c r="B30" s="698"/>
      <c r="C30" s="307">
        <f>SUM(C21:C25)</f>
        <v>0</v>
      </c>
      <c r="D30" s="238">
        <f t="shared" ref="D30:J30" si="11">SUM(D21:D25)</f>
        <v>0</v>
      </c>
      <c r="E30" s="238">
        <f t="shared" si="11"/>
        <v>0</v>
      </c>
      <c r="F30" s="238">
        <f t="shared" si="11"/>
        <v>0</v>
      </c>
      <c r="G30" s="346">
        <f t="shared" si="11"/>
        <v>0</v>
      </c>
      <c r="H30" s="242">
        <f t="shared" si="11"/>
        <v>791</v>
      </c>
      <c r="I30" s="243">
        <f>SUM(I21:I25)</f>
        <v>735</v>
      </c>
      <c r="J30" s="278">
        <f t="shared" si="11"/>
        <v>0</v>
      </c>
      <c r="K30" s="251">
        <f>SUM(K21:K25)</f>
        <v>0</v>
      </c>
      <c r="L30" s="30">
        <f>SUM(L21:L25)</f>
        <v>1526</v>
      </c>
    </row>
    <row r="31" spans="1:12" s="45" customFormat="1" ht="15" customHeight="1" thickBot="1" x14ac:dyDescent="0.3">
      <c r="A31" s="26" t="s">
        <v>22</v>
      </c>
      <c r="B31" s="699"/>
      <c r="C31" s="362" t="e">
        <f>AVERAGE(C21:C25)</f>
        <v>#DIV/0!</v>
      </c>
      <c r="D31" s="363" t="e">
        <f t="shared" ref="D31:J31" si="12">AVERAGE(D21:D25)</f>
        <v>#DIV/0!</v>
      </c>
      <c r="E31" s="363" t="e">
        <f t="shared" si="12"/>
        <v>#DIV/0!</v>
      </c>
      <c r="F31" s="363" t="e">
        <f t="shared" si="12"/>
        <v>#DIV/0!</v>
      </c>
      <c r="G31" s="364" t="e">
        <f t="shared" si="12"/>
        <v>#DIV/0!</v>
      </c>
      <c r="H31" s="365">
        <f t="shared" si="12"/>
        <v>158.19999999999999</v>
      </c>
      <c r="I31" s="366">
        <f>AVERAGE(I21:I25)</f>
        <v>147</v>
      </c>
      <c r="J31" s="367" t="e">
        <f t="shared" si="12"/>
        <v>#DIV/0!</v>
      </c>
      <c r="K31" s="368" t="e">
        <f>AVERAGE(K21:K25)</f>
        <v>#DIV/0!</v>
      </c>
      <c r="L31" s="505">
        <f>AVERAGE(L21:L25)</f>
        <v>305.2</v>
      </c>
    </row>
    <row r="32" spans="1:12" s="45" customFormat="1" ht="15" customHeight="1" x14ac:dyDescent="0.25">
      <c r="A32" s="25" t="s">
        <v>3</v>
      </c>
      <c r="B32" s="230">
        <f>B27+1</f>
        <v>43997</v>
      </c>
      <c r="C32" s="373"/>
      <c r="D32" s="239"/>
      <c r="E32" s="239"/>
      <c r="F32" s="369"/>
      <c r="G32" s="370"/>
      <c r="H32" s="350">
        <v>147</v>
      </c>
      <c r="I32" s="351">
        <v>141</v>
      </c>
      <c r="J32" s="371"/>
      <c r="K32" s="370"/>
      <c r="L32" s="17">
        <f t="shared" ref="L32:L36" si="13">SUM(C32:K32)</f>
        <v>288</v>
      </c>
    </row>
    <row r="33" spans="1:13" s="45" customFormat="1" ht="15" customHeight="1" x14ac:dyDescent="0.25">
      <c r="A33" s="25" t="s">
        <v>4</v>
      </c>
      <c r="B33" s="223">
        <f t="shared" ref="B33:B38" si="14">B32+1</f>
        <v>43998</v>
      </c>
      <c r="C33" s="308"/>
      <c r="D33" s="236"/>
      <c r="E33" s="236"/>
      <c r="F33" s="236"/>
      <c r="G33" s="452"/>
      <c r="H33" s="352">
        <v>163</v>
      </c>
      <c r="I33" s="244">
        <v>156</v>
      </c>
      <c r="J33" s="438"/>
      <c r="K33" s="180"/>
      <c r="L33" s="270">
        <f t="shared" si="13"/>
        <v>319</v>
      </c>
    </row>
    <row r="34" spans="1:13" s="45" customFormat="1" ht="15" customHeight="1" x14ac:dyDescent="0.25">
      <c r="A34" s="25" t="s">
        <v>5</v>
      </c>
      <c r="B34" s="223">
        <f t="shared" si="14"/>
        <v>43999</v>
      </c>
      <c r="C34" s="308"/>
      <c r="D34" s="236"/>
      <c r="E34" s="236"/>
      <c r="F34" s="236"/>
      <c r="G34" s="452"/>
      <c r="H34" s="352">
        <v>171</v>
      </c>
      <c r="I34" s="244">
        <v>164</v>
      </c>
      <c r="J34" s="438"/>
      <c r="K34" s="180"/>
      <c r="L34" s="270">
        <f t="shared" si="13"/>
        <v>335</v>
      </c>
    </row>
    <row r="35" spans="1:13" s="45" customFormat="1" ht="15" customHeight="1" x14ac:dyDescent="0.25">
      <c r="A35" s="25" t="s">
        <v>6</v>
      </c>
      <c r="B35" s="223">
        <f t="shared" si="14"/>
        <v>44000</v>
      </c>
      <c r="C35" s="308"/>
      <c r="D35" s="236"/>
      <c r="E35" s="236"/>
      <c r="F35" s="236"/>
      <c r="G35" s="452"/>
      <c r="H35" s="352">
        <v>172</v>
      </c>
      <c r="I35" s="244">
        <v>151</v>
      </c>
      <c r="J35" s="202"/>
      <c r="K35" s="212"/>
      <c r="L35" s="270">
        <f t="shared" si="13"/>
        <v>323</v>
      </c>
    </row>
    <row r="36" spans="1:13" s="45" customFormat="1" ht="15" customHeight="1" x14ac:dyDescent="0.25">
      <c r="A36" s="25" t="s">
        <v>0</v>
      </c>
      <c r="B36" s="223">
        <f t="shared" si="14"/>
        <v>44001</v>
      </c>
      <c r="C36" s="308"/>
      <c r="D36" s="236"/>
      <c r="E36" s="236"/>
      <c r="F36" s="236"/>
      <c r="G36" s="452"/>
      <c r="H36" s="352">
        <v>147</v>
      </c>
      <c r="I36" s="244">
        <v>126</v>
      </c>
      <c r="J36" s="202"/>
      <c r="K36" s="212"/>
      <c r="L36" s="270">
        <f t="shared" si="13"/>
        <v>273</v>
      </c>
    </row>
    <row r="37" spans="1:13" s="45" customFormat="1" ht="15" customHeight="1" outlineLevel="1" x14ac:dyDescent="0.25">
      <c r="A37" s="25" t="s">
        <v>1</v>
      </c>
      <c r="B37" s="223">
        <f t="shared" si="14"/>
        <v>44002</v>
      </c>
      <c r="C37" s="308"/>
      <c r="D37" s="236"/>
      <c r="E37" s="236"/>
      <c r="F37" s="236"/>
      <c r="G37" s="452"/>
      <c r="H37" s="352"/>
      <c r="I37" s="244"/>
      <c r="J37" s="202"/>
      <c r="K37" s="212"/>
      <c r="L37" s="270">
        <f>SUM(C37:K37)</f>
        <v>0</v>
      </c>
    </row>
    <row r="38" spans="1:13" s="45" customFormat="1" ht="15" customHeight="1" outlineLevel="1" thickBot="1" x14ac:dyDescent="0.3">
      <c r="A38" s="25" t="s">
        <v>2</v>
      </c>
      <c r="B38" s="223">
        <f t="shared" si="14"/>
        <v>44003</v>
      </c>
      <c r="C38" s="374"/>
      <c r="D38" s="236"/>
      <c r="E38" s="236"/>
      <c r="F38" s="236"/>
      <c r="G38" s="452"/>
      <c r="H38" s="360"/>
      <c r="I38" s="361"/>
      <c r="J38" s="383"/>
      <c r="K38" s="504"/>
      <c r="L38" s="499">
        <f>SUM(C38:K38)</f>
        <v>0</v>
      </c>
    </row>
    <row r="39" spans="1:13" s="45" customFormat="1" ht="15" customHeight="1" outlineLevel="1" thickBot="1" x14ac:dyDescent="0.3">
      <c r="A39" s="153" t="s">
        <v>21</v>
      </c>
      <c r="B39" s="697" t="s">
        <v>26</v>
      </c>
      <c r="C39" s="353">
        <f t="shared" ref="C39:K39" si="15">SUM(C32:C38)</f>
        <v>0</v>
      </c>
      <c r="D39" s="354">
        <f>SUM(D32:D38)</f>
        <v>0</v>
      </c>
      <c r="E39" s="354">
        <f>SUM(E32:E38)</f>
        <v>0</v>
      </c>
      <c r="F39" s="354">
        <f>SUM(F32:F38)</f>
        <v>0</v>
      </c>
      <c r="G39" s="355">
        <f>SUM(G32:G38)</f>
        <v>0</v>
      </c>
      <c r="H39" s="268">
        <f t="shared" si="15"/>
        <v>800</v>
      </c>
      <c r="I39" s="282">
        <f t="shared" si="15"/>
        <v>738</v>
      </c>
      <c r="J39" s="284">
        <f t="shared" si="15"/>
        <v>0</v>
      </c>
      <c r="K39" s="274">
        <f t="shared" si="15"/>
        <v>0</v>
      </c>
      <c r="L39" s="501">
        <f>SUM(L32:L38)</f>
        <v>1538</v>
      </c>
    </row>
    <row r="40" spans="1:13" s="45" customFormat="1" ht="15" customHeight="1" outlineLevel="1" thickBot="1" x14ac:dyDescent="0.3">
      <c r="A40" s="105" t="s">
        <v>23</v>
      </c>
      <c r="B40" s="698"/>
      <c r="C40" s="306" t="e">
        <f t="shared" ref="C40:L40" si="16">AVERAGE(C32:C38)</f>
        <v>#DIV/0!</v>
      </c>
      <c r="D40" s="237" t="e">
        <f t="shared" si="16"/>
        <v>#DIV/0!</v>
      </c>
      <c r="E40" s="237" t="e">
        <f t="shared" si="16"/>
        <v>#DIV/0!</v>
      </c>
      <c r="F40" s="237" t="e">
        <f>AVERAGE(F32:F38)</f>
        <v>#DIV/0!</v>
      </c>
      <c r="G40" s="345" t="e">
        <f t="shared" si="16"/>
        <v>#DIV/0!</v>
      </c>
      <c r="H40" s="240">
        <f t="shared" si="16"/>
        <v>160</v>
      </c>
      <c r="I40" s="241">
        <f t="shared" si="16"/>
        <v>147.6</v>
      </c>
      <c r="J40" s="277" t="e">
        <f t="shared" si="16"/>
        <v>#DIV/0!</v>
      </c>
      <c r="K40" s="250" t="e">
        <f t="shared" si="16"/>
        <v>#DIV/0!</v>
      </c>
      <c r="L40" s="109">
        <f t="shared" si="16"/>
        <v>219.71428571428572</v>
      </c>
    </row>
    <row r="41" spans="1:13" s="45" customFormat="1" ht="15" customHeight="1" thickBot="1" x14ac:dyDescent="0.3">
      <c r="A41" s="26" t="s">
        <v>20</v>
      </c>
      <c r="B41" s="698"/>
      <c r="C41" s="307">
        <f t="shared" ref="C41:L41" si="17">SUM(C32:C36)</f>
        <v>0</v>
      </c>
      <c r="D41" s="238">
        <f t="shared" si="17"/>
        <v>0</v>
      </c>
      <c r="E41" s="238">
        <f>SUM(E32:E36)</f>
        <v>0</v>
      </c>
      <c r="F41" s="238">
        <f>SUM(F32:F36)</f>
        <v>0</v>
      </c>
      <c r="G41" s="346">
        <f>SUM(G32:G36)</f>
        <v>0</v>
      </c>
      <c r="H41" s="242">
        <f t="shared" si="17"/>
        <v>800</v>
      </c>
      <c r="I41" s="243">
        <f t="shared" si="17"/>
        <v>738</v>
      </c>
      <c r="J41" s="278">
        <f t="shared" si="17"/>
        <v>0</v>
      </c>
      <c r="K41" s="251">
        <f t="shared" si="17"/>
        <v>0</v>
      </c>
      <c r="L41" s="30">
        <f t="shared" si="17"/>
        <v>1538</v>
      </c>
    </row>
    <row r="42" spans="1:13" s="45" customFormat="1" ht="15" customHeight="1" thickBot="1" x14ac:dyDescent="0.3">
      <c r="A42" s="26" t="s">
        <v>22</v>
      </c>
      <c r="B42" s="699"/>
      <c r="C42" s="362" t="e">
        <f t="shared" ref="C42:L42" si="18">AVERAGE(C32:C36)</f>
        <v>#DIV/0!</v>
      </c>
      <c r="D42" s="363" t="e">
        <f t="shared" si="18"/>
        <v>#DIV/0!</v>
      </c>
      <c r="E42" s="363" t="e">
        <f t="shared" si="18"/>
        <v>#DIV/0!</v>
      </c>
      <c r="F42" s="363" t="e">
        <f t="shared" si="18"/>
        <v>#DIV/0!</v>
      </c>
      <c r="G42" s="364" t="e">
        <f t="shared" si="18"/>
        <v>#DIV/0!</v>
      </c>
      <c r="H42" s="365">
        <f t="shared" si="18"/>
        <v>160</v>
      </c>
      <c r="I42" s="366">
        <f t="shared" si="18"/>
        <v>147.6</v>
      </c>
      <c r="J42" s="367" t="e">
        <f t="shared" si="18"/>
        <v>#DIV/0!</v>
      </c>
      <c r="K42" s="368" t="e">
        <f t="shared" si="18"/>
        <v>#DIV/0!</v>
      </c>
      <c r="L42" s="503">
        <f t="shared" si="18"/>
        <v>307.60000000000002</v>
      </c>
    </row>
    <row r="43" spans="1:13" s="45" customFormat="1" ht="15" customHeight="1" x14ac:dyDescent="0.25">
      <c r="A43" s="25" t="s">
        <v>3</v>
      </c>
      <c r="B43" s="167">
        <f>B38+1</f>
        <v>44004</v>
      </c>
      <c r="C43" s="375"/>
      <c r="D43" s="239"/>
      <c r="E43" s="239"/>
      <c r="F43" s="239"/>
      <c r="G43" s="453"/>
      <c r="H43" s="350">
        <v>152</v>
      </c>
      <c r="I43" s="351">
        <v>144</v>
      </c>
      <c r="J43" s="439"/>
      <c r="K43" s="506"/>
      <c r="L43" s="17">
        <f>SUM(C43:K43)</f>
        <v>296</v>
      </c>
    </row>
    <row r="44" spans="1:13" s="45" customFormat="1" ht="15" customHeight="1" x14ac:dyDescent="0.25">
      <c r="A44" s="25" t="s">
        <v>4</v>
      </c>
      <c r="B44" s="168">
        <f t="shared" ref="B44:B49" si="19">B43+1</f>
        <v>44005</v>
      </c>
      <c r="C44" s="309"/>
      <c r="D44" s="234"/>
      <c r="E44" s="234"/>
      <c r="F44" s="234"/>
      <c r="G44" s="271"/>
      <c r="H44" s="352">
        <v>160</v>
      </c>
      <c r="I44" s="244">
        <v>160</v>
      </c>
      <c r="J44" s="440"/>
      <c r="K44" s="452"/>
      <c r="L44" s="270">
        <f>SUM(C44:K44)</f>
        <v>320</v>
      </c>
    </row>
    <row r="45" spans="1:13" s="45" customFormat="1" ht="15" customHeight="1" x14ac:dyDescent="0.25">
      <c r="A45" s="25" t="s">
        <v>5</v>
      </c>
      <c r="B45" s="168">
        <f t="shared" si="19"/>
        <v>44006</v>
      </c>
      <c r="C45" s="309"/>
      <c r="D45" s="234"/>
      <c r="E45" s="234"/>
      <c r="F45" s="234"/>
      <c r="G45" s="271"/>
      <c r="H45" s="352">
        <v>166</v>
      </c>
      <c r="I45" s="244">
        <v>162</v>
      </c>
      <c r="J45" s="440"/>
      <c r="K45" s="452"/>
      <c r="L45" s="270">
        <f>SUM(C45:K45)</f>
        <v>328</v>
      </c>
    </row>
    <row r="46" spans="1:13" s="45" customFormat="1" ht="15" customHeight="1" x14ac:dyDescent="0.25">
      <c r="A46" s="25" t="s">
        <v>6</v>
      </c>
      <c r="B46" s="168">
        <f t="shared" si="19"/>
        <v>44007</v>
      </c>
      <c r="C46" s="309"/>
      <c r="D46" s="234"/>
      <c r="E46" s="234"/>
      <c r="F46" s="236"/>
      <c r="G46" s="271"/>
      <c r="H46" s="352">
        <v>162</v>
      </c>
      <c r="I46" s="244">
        <v>144</v>
      </c>
      <c r="J46" s="440"/>
      <c r="K46" s="452"/>
      <c r="L46" s="270">
        <f>SUM(C46:K46)</f>
        <v>306</v>
      </c>
    </row>
    <row r="47" spans="1:13" s="45" customFormat="1" ht="15" customHeight="1" x14ac:dyDescent="0.25">
      <c r="A47" s="25" t="s">
        <v>0</v>
      </c>
      <c r="B47" s="168">
        <f t="shared" si="19"/>
        <v>44008</v>
      </c>
      <c r="C47" s="309"/>
      <c r="D47" s="234"/>
      <c r="E47" s="234"/>
      <c r="F47" s="234"/>
      <c r="G47" s="271"/>
      <c r="H47" s="352">
        <v>131</v>
      </c>
      <c r="I47" s="244">
        <v>128</v>
      </c>
      <c r="J47" s="440"/>
      <c r="K47" s="452"/>
      <c r="L47" s="270">
        <f>SUM(C47:K47)</f>
        <v>259</v>
      </c>
    </row>
    <row r="48" spans="1:13" s="45" customFormat="1" ht="15" customHeight="1" outlineLevel="1" x14ac:dyDescent="0.25">
      <c r="A48" s="25" t="s">
        <v>1</v>
      </c>
      <c r="B48" s="168">
        <f t="shared" si="19"/>
        <v>44009</v>
      </c>
      <c r="C48" s="309"/>
      <c r="D48" s="236"/>
      <c r="E48" s="234"/>
      <c r="F48" s="234"/>
      <c r="G48" s="271"/>
      <c r="H48" s="352"/>
      <c r="I48" s="244"/>
      <c r="J48" s="440"/>
      <c r="K48" s="452"/>
      <c r="L48" s="270">
        <f t="shared" ref="L48" si="20">SUM(C48:K48)</f>
        <v>0</v>
      </c>
      <c r="M48" s="118"/>
    </row>
    <row r="49" spans="1:13" s="45" customFormat="1" ht="15" customHeight="1" outlineLevel="1" thickBot="1" x14ac:dyDescent="0.3">
      <c r="A49" s="25" t="s">
        <v>2</v>
      </c>
      <c r="B49" s="447">
        <f t="shared" si="19"/>
        <v>44010</v>
      </c>
      <c r="C49" s="377"/>
      <c r="D49" s="358"/>
      <c r="E49" s="358"/>
      <c r="F49" s="358"/>
      <c r="G49" s="283"/>
      <c r="H49" s="360"/>
      <c r="I49" s="361"/>
      <c r="J49" s="441"/>
      <c r="K49" s="507"/>
      <c r="L49" s="499">
        <f>SUM(C49:K49)</f>
        <v>0</v>
      </c>
      <c r="M49" s="118"/>
    </row>
    <row r="50" spans="1:13" s="45" customFormat="1" ht="15" customHeight="1" outlineLevel="1" thickBot="1" x14ac:dyDescent="0.3">
      <c r="A50" s="153" t="s">
        <v>21</v>
      </c>
      <c r="B50" s="697" t="s">
        <v>27</v>
      </c>
      <c r="C50" s="353">
        <f>SUM(C43:C49)</f>
        <v>0</v>
      </c>
      <c r="D50" s="354">
        <f t="shared" ref="D50" si="21">SUM(D43:D49)</f>
        <v>0</v>
      </c>
      <c r="E50" s="354">
        <f t="shared" ref="E50:K50" si="22">SUM(E43:E49)</f>
        <v>0</v>
      </c>
      <c r="F50" s="354">
        <f t="shared" si="22"/>
        <v>0</v>
      </c>
      <c r="G50" s="355">
        <f t="shared" si="22"/>
        <v>0</v>
      </c>
      <c r="H50" s="268">
        <f>SUM(H43:H49)</f>
        <v>771</v>
      </c>
      <c r="I50" s="282">
        <f>SUM(I43:I49)</f>
        <v>738</v>
      </c>
      <c r="J50" s="284">
        <f t="shared" si="22"/>
        <v>0</v>
      </c>
      <c r="K50" s="274">
        <f t="shared" si="22"/>
        <v>0</v>
      </c>
      <c r="L50" s="501">
        <f>SUM(L43:L49)</f>
        <v>1509</v>
      </c>
    </row>
    <row r="51" spans="1:13" s="45" customFormat="1" ht="15" customHeight="1" outlineLevel="1" thickBot="1" x14ac:dyDescent="0.3">
      <c r="A51" s="105" t="s">
        <v>23</v>
      </c>
      <c r="B51" s="698"/>
      <c r="C51" s="306" t="e">
        <f>AVERAGE(C43:C49)</f>
        <v>#DIV/0!</v>
      </c>
      <c r="D51" s="237" t="e">
        <f t="shared" ref="D51:L51" si="23">AVERAGE(D43:D49)</f>
        <v>#DIV/0!</v>
      </c>
      <c r="E51" s="237" t="e">
        <f t="shared" si="23"/>
        <v>#DIV/0!</v>
      </c>
      <c r="F51" s="237" t="e">
        <f t="shared" si="23"/>
        <v>#DIV/0!</v>
      </c>
      <c r="G51" s="345" t="e">
        <f t="shared" si="23"/>
        <v>#DIV/0!</v>
      </c>
      <c r="H51" s="240">
        <f>AVERAGE(H43:H49)</f>
        <v>154.19999999999999</v>
      </c>
      <c r="I51" s="241">
        <f>AVERAGE(I43:I49)</f>
        <v>147.6</v>
      </c>
      <c r="J51" s="277" t="e">
        <f t="shared" si="23"/>
        <v>#DIV/0!</v>
      </c>
      <c r="K51" s="250" t="e">
        <f t="shared" si="23"/>
        <v>#DIV/0!</v>
      </c>
      <c r="L51" s="109">
        <f t="shared" si="23"/>
        <v>215.57142857142858</v>
      </c>
    </row>
    <row r="52" spans="1:13" s="45" customFormat="1" ht="15" customHeight="1" thickBot="1" x14ac:dyDescent="0.3">
      <c r="A52" s="26" t="s">
        <v>20</v>
      </c>
      <c r="B52" s="698"/>
      <c r="C52" s="307">
        <f t="shared" ref="C52:L52" si="24">SUM(C43:C47)</f>
        <v>0</v>
      </c>
      <c r="D52" s="238">
        <f t="shared" si="24"/>
        <v>0</v>
      </c>
      <c r="E52" s="238">
        <f t="shared" si="24"/>
        <v>0</v>
      </c>
      <c r="F52" s="238">
        <f t="shared" si="24"/>
        <v>0</v>
      </c>
      <c r="G52" s="346">
        <f t="shared" si="24"/>
        <v>0</v>
      </c>
      <c r="H52" s="242">
        <f>SUM(H43:H47)</f>
        <v>771</v>
      </c>
      <c r="I52" s="243">
        <f>SUM(I43:I47)</f>
        <v>738</v>
      </c>
      <c r="J52" s="278">
        <f t="shared" si="24"/>
        <v>0</v>
      </c>
      <c r="K52" s="251">
        <f t="shared" si="24"/>
        <v>0</v>
      </c>
      <c r="L52" s="30">
        <f t="shared" si="24"/>
        <v>1509</v>
      </c>
    </row>
    <row r="53" spans="1:13" s="45" customFormat="1" ht="15" customHeight="1" thickBot="1" x14ac:dyDescent="0.3">
      <c r="A53" s="26" t="s">
        <v>22</v>
      </c>
      <c r="B53" s="699"/>
      <c r="C53" s="362" t="e">
        <f t="shared" ref="C53:L53" si="25">AVERAGE(C43:C47)</f>
        <v>#DIV/0!</v>
      </c>
      <c r="D53" s="363" t="e">
        <f t="shared" si="25"/>
        <v>#DIV/0!</v>
      </c>
      <c r="E53" s="363" t="e">
        <f t="shared" si="25"/>
        <v>#DIV/0!</v>
      </c>
      <c r="F53" s="363" t="e">
        <f t="shared" si="25"/>
        <v>#DIV/0!</v>
      </c>
      <c r="G53" s="364" t="e">
        <f t="shared" si="25"/>
        <v>#DIV/0!</v>
      </c>
      <c r="H53" s="365">
        <f>AVERAGE(H43:H47)</f>
        <v>154.19999999999999</v>
      </c>
      <c r="I53" s="366">
        <f>AVERAGE(I43:I47)</f>
        <v>147.6</v>
      </c>
      <c r="J53" s="367" t="e">
        <f t="shared" si="25"/>
        <v>#DIV/0!</v>
      </c>
      <c r="K53" s="368" t="e">
        <f t="shared" si="25"/>
        <v>#DIV/0!</v>
      </c>
      <c r="L53" s="503">
        <f t="shared" si="25"/>
        <v>301.8</v>
      </c>
    </row>
    <row r="54" spans="1:13" s="45" customFormat="1" ht="15" customHeight="1" x14ac:dyDescent="0.25">
      <c r="A54" s="25" t="s">
        <v>3</v>
      </c>
      <c r="B54" s="231">
        <f>B49+1</f>
        <v>44011</v>
      </c>
      <c r="C54" s="375"/>
      <c r="D54" s="239"/>
      <c r="E54" s="239"/>
      <c r="F54" s="379"/>
      <c r="G54" s="380"/>
      <c r="H54" s="350">
        <v>151</v>
      </c>
      <c r="I54" s="351">
        <v>150</v>
      </c>
      <c r="J54" s="376"/>
      <c r="K54" s="453"/>
      <c r="L54" s="17">
        <f>SUM(C54:K54)</f>
        <v>301</v>
      </c>
      <c r="M54" s="149"/>
    </row>
    <row r="55" spans="1:13" s="45" customFormat="1" ht="15" customHeight="1" thickBot="1" x14ac:dyDescent="0.3">
      <c r="A55" s="145" t="s">
        <v>4</v>
      </c>
      <c r="B55" s="232">
        <f t="shared" ref="B55:B60" si="26">B54+1</f>
        <v>44012</v>
      </c>
      <c r="C55" s="309"/>
      <c r="D55" s="234"/>
      <c r="E55" s="234"/>
      <c r="F55" s="234"/>
      <c r="G55" s="271"/>
      <c r="H55" s="352">
        <v>151</v>
      </c>
      <c r="I55" s="244">
        <v>140</v>
      </c>
      <c r="J55" s="280"/>
      <c r="K55" s="271"/>
      <c r="L55" s="499">
        <f>SUM(C55:K55)</f>
        <v>291</v>
      </c>
      <c r="M55" s="149"/>
    </row>
    <row r="56" spans="1:13" s="45" customFormat="1" ht="14.25" hidden="1" customHeight="1" thickBot="1" x14ac:dyDescent="0.3">
      <c r="A56" s="145" t="s">
        <v>5</v>
      </c>
      <c r="B56" s="232">
        <f t="shared" si="26"/>
        <v>44013</v>
      </c>
      <c r="C56" s="309"/>
      <c r="D56" s="234"/>
      <c r="E56" s="234"/>
      <c r="F56" s="234"/>
      <c r="G56" s="271"/>
      <c r="H56" s="352"/>
      <c r="I56" s="244"/>
      <c r="J56" s="280"/>
      <c r="K56" s="244"/>
      <c r="L56" s="508">
        <f t="shared" ref="L56:L60" si="27">SUM(C56:K56)</f>
        <v>0</v>
      </c>
      <c r="M56" s="149"/>
    </row>
    <row r="57" spans="1:13" s="45" customFormat="1" ht="14.25" hidden="1" thickBot="1" x14ac:dyDescent="0.3">
      <c r="A57" s="145" t="s">
        <v>6</v>
      </c>
      <c r="B57" s="232">
        <f t="shared" si="26"/>
        <v>44014</v>
      </c>
      <c r="C57" s="309"/>
      <c r="D57" s="234"/>
      <c r="E57" s="234"/>
      <c r="F57" s="234"/>
      <c r="G57" s="271"/>
      <c r="H57" s="352"/>
      <c r="I57" s="244"/>
      <c r="J57" s="280"/>
      <c r="K57" s="244"/>
      <c r="L57" s="57">
        <f t="shared" si="27"/>
        <v>0</v>
      </c>
      <c r="M57" s="149"/>
    </row>
    <row r="58" spans="1:13" s="45" customFormat="1" ht="14.25" hidden="1" thickBot="1" x14ac:dyDescent="0.3">
      <c r="A58" s="25" t="s">
        <v>0</v>
      </c>
      <c r="B58" s="233">
        <f t="shared" si="26"/>
        <v>44015</v>
      </c>
      <c r="C58" s="310"/>
      <c r="D58" s="36"/>
      <c r="E58" s="234"/>
      <c r="F58" s="234"/>
      <c r="G58" s="271"/>
      <c r="H58" s="393"/>
      <c r="I58" s="296"/>
      <c r="J58" s="280"/>
      <c r="K58" s="244"/>
      <c r="L58" s="57">
        <f t="shared" si="27"/>
        <v>0</v>
      </c>
      <c r="M58" s="149"/>
    </row>
    <row r="59" spans="1:13" s="45" customFormat="1" ht="14.25" hidden="1" outlineLevel="1" thickBot="1" x14ac:dyDescent="0.3">
      <c r="A59" s="25" t="s">
        <v>1</v>
      </c>
      <c r="B59" s="233">
        <f t="shared" si="26"/>
        <v>44016</v>
      </c>
      <c r="C59" s="310"/>
      <c r="D59" s="36"/>
      <c r="E59" s="234"/>
      <c r="F59" s="234"/>
      <c r="G59" s="271"/>
      <c r="H59" s="352"/>
      <c r="I59" s="244"/>
      <c r="J59" s="280"/>
      <c r="K59" s="244"/>
      <c r="L59" s="57">
        <f t="shared" si="27"/>
        <v>0</v>
      </c>
      <c r="M59" s="149"/>
    </row>
    <row r="60" spans="1:13" s="45" customFormat="1" ht="14.25" hidden="1" outlineLevel="1" thickBot="1" x14ac:dyDescent="0.3">
      <c r="A60" s="145" t="s">
        <v>2</v>
      </c>
      <c r="B60" s="233">
        <f t="shared" si="26"/>
        <v>44017</v>
      </c>
      <c r="C60" s="381"/>
      <c r="D60" s="382"/>
      <c r="E60" s="358"/>
      <c r="F60" s="358"/>
      <c r="G60" s="283"/>
      <c r="H60" s="360"/>
      <c r="I60" s="361"/>
      <c r="J60" s="378"/>
      <c r="K60" s="361"/>
      <c r="L60" s="57">
        <f t="shared" si="27"/>
        <v>0</v>
      </c>
    </row>
    <row r="61" spans="1:13" s="45" customFormat="1" ht="15" customHeight="1" outlineLevel="1" thickBot="1" x14ac:dyDescent="0.3">
      <c r="A61" s="153" t="s">
        <v>21</v>
      </c>
      <c r="B61" s="697" t="s">
        <v>28</v>
      </c>
      <c r="C61" s="353">
        <f>SUM(C54:C60)</f>
        <v>0</v>
      </c>
      <c r="D61" s="354">
        <f t="shared" ref="D61:J61" si="28">SUM(D54:D60)</f>
        <v>0</v>
      </c>
      <c r="E61" s="354">
        <f t="shared" si="28"/>
        <v>0</v>
      </c>
      <c r="F61" s="354">
        <f t="shared" si="28"/>
        <v>0</v>
      </c>
      <c r="G61" s="355">
        <f t="shared" si="28"/>
        <v>0</v>
      </c>
      <c r="H61" s="268">
        <f>SUM(H54:H60)</f>
        <v>302</v>
      </c>
      <c r="I61" s="282">
        <f>SUM(I54:I60)</f>
        <v>290</v>
      </c>
      <c r="J61" s="284">
        <f t="shared" si="28"/>
        <v>0</v>
      </c>
      <c r="K61" s="274">
        <f>SUM(K54:K60)</f>
        <v>0</v>
      </c>
      <c r="L61" s="113">
        <f>SUM(L54:L60)</f>
        <v>592</v>
      </c>
    </row>
    <row r="62" spans="1:13" s="45" customFormat="1" ht="15" customHeight="1" outlineLevel="1" thickBot="1" x14ac:dyDescent="0.3">
      <c r="A62" s="105" t="s">
        <v>23</v>
      </c>
      <c r="B62" s="698"/>
      <c r="C62" s="306" t="e">
        <f>AVERAGE(C54:C60)</f>
        <v>#DIV/0!</v>
      </c>
      <c r="D62" s="237" t="e">
        <f t="shared" ref="D62:K62" si="29">AVERAGE(D54:D60)</f>
        <v>#DIV/0!</v>
      </c>
      <c r="E62" s="237" t="e">
        <f t="shared" si="29"/>
        <v>#DIV/0!</v>
      </c>
      <c r="F62" s="237" t="e">
        <f t="shared" si="29"/>
        <v>#DIV/0!</v>
      </c>
      <c r="G62" s="345" t="e">
        <f t="shared" si="29"/>
        <v>#DIV/0!</v>
      </c>
      <c r="H62" s="240">
        <f t="shared" si="29"/>
        <v>151</v>
      </c>
      <c r="I62" s="241">
        <f t="shared" si="29"/>
        <v>145</v>
      </c>
      <c r="J62" s="277" t="e">
        <f t="shared" si="29"/>
        <v>#DIV/0!</v>
      </c>
      <c r="K62" s="250" t="e">
        <f t="shared" si="29"/>
        <v>#DIV/0!</v>
      </c>
      <c r="L62" s="109">
        <f>AVERAGE(L54:L60)</f>
        <v>84.571428571428569</v>
      </c>
    </row>
    <row r="63" spans="1:13" s="45" customFormat="1" ht="15" customHeight="1" thickBot="1" x14ac:dyDescent="0.3">
      <c r="A63" s="26" t="s">
        <v>20</v>
      </c>
      <c r="B63" s="698"/>
      <c r="C63" s="307">
        <f>SUM(C54:C58)</f>
        <v>0</v>
      </c>
      <c r="D63" s="238">
        <f t="shared" ref="D63:K63" si="30">SUM(D54:D58)</f>
        <v>0</v>
      </c>
      <c r="E63" s="238">
        <f t="shared" si="30"/>
        <v>0</v>
      </c>
      <c r="F63" s="238">
        <f t="shared" si="30"/>
        <v>0</v>
      </c>
      <c r="G63" s="346">
        <f t="shared" si="30"/>
        <v>0</v>
      </c>
      <c r="H63" s="242">
        <f t="shared" si="30"/>
        <v>302</v>
      </c>
      <c r="I63" s="243">
        <f t="shared" si="30"/>
        <v>290</v>
      </c>
      <c r="J63" s="278">
        <f t="shared" si="30"/>
        <v>0</v>
      </c>
      <c r="K63" s="251">
        <f t="shared" si="30"/>
        <v>0</v>
      </c>
      <c r="L63" s="30">
        <f>SUM(L54:L58)</f>
        <v>592</v>
      </c>
    </row>
    <row r="64" spans="1:13" s="45" customFormat="1" ht="14.25" thickBot="1" x14ac:dyDescent="0.3">
      <c r="A64" s="26" t="s">
        <v>22</v>
      </c>
      <c r="B64" s="699"/>
      <c r="C64" s="311" t="e">
        <f>AVERAGE(C54:C58)</f>
        <v>#DIV/0!</v>
      </c>
      <c r="D64" s="33" t="e">
        <f t="shared" ref="D64:L64" si="31">AVERAGE(D54:D58)</f>
        <v>#DIV/0!</v>
      </c>
      <c r="E64" s="33" t="e">
        <f t="shared" si="31"/>
        <v>#DIV/0!</v>
      </c>
      <c r="F64" s="33" t="e">
        <f t="shared" si="31"/>
        <v>#DIV/0!</v>
      </c>
      <c r="G64" s="347" t="e">
        <f t="shared" si="31"/>
        <v>#DIV/0!</v>
      </c>
      <c r="H64" s="31">
        <f t="shared" si="31"/>
        <v>151</v>
      </c>
      <c r="I64" s="32">
        <f t="shared" si="31"/>
        <v>145</v>
      </c>
      <c r="J64" s="273" t="e">
        <f t="shared" si="31"/>
        <v>#DIV/0!</v>
      </c>
      <c r="K64" s="34" t="e">
        <f t="shared" si="31"/>
        <v>#DIV/0!</v>
      </c>
      <c r="L64" s="35">
        <f t="shared" si="31"/>
        <v>118.4</v>
      </c>
    </row>
    <row r="65" spans="1:14" s="45" customFormat="1" ht="14.25" hidden="1" thickBot="1" x14ac:dyDescent="0.3">
      <c r="A65" s="145" t="s">
        <v>3</v>
      </c>
      <c r="B65" s="231">
        <f>B60+1</f>
        <v>44018</v>
      </c>
      <c r="C65" s="312"/>
      <c r="D65" s="12"/>
      <c r="E65" s="14"/>
      <c r="F65" s="14"/>
      <c r="G65" s="14"/>
      <c r="H65" s="14"/>
      <c r="I65" s="60"/>
      <c r="J65" s="117"/>
      <c r="K65" s="20"/>
      <c r="L65" s="177">
        <f>SUM(D65:J65)</f>
        <v>0</v>
      </c>
    </row>
    <row r="66" spans="1:14" s="45" customFormat="1" ht="14.25" hidden="1" thickBot="1" x14ac:dyDescent="0.3">
      <c r="A66" s="145" t="s">
        <v>4</v>
      </c>
      <c r="B66" s="232">
        <f t="shared" ref="B66:B71" si="32">B65+1</f>
        <v>44019</v>
      </c>
      <c r="C66" s="313"/>
      <c r="D66" s="18"/>
      <c r="E66" s="20"/>
      <c r="F66" s="20"/>
      <c r="G66" s="20"/>
      <c r="H66" s="20"/>
      <c r="I66" s="61"/>
      <c r="J66" s="61"/>
      <c r="K66" s="20"/>
      <c r="L66" s="177">
        <f>SUM(D66:J66)</f>
        <v>0</v>
      </c>
    </row>
    <row r="67" spans="1:14" s="45" customFormat="1" ht="13.5" hidden="1" x14ac:dyDescent="0.25">
      <c r="A67" s="145"/>
      <c r="B67" s="232">
        <f t="shared" si="32"/>
        <v>44020</v>
      </c>
      <c r="C67" s="313"/>
      <c r="D67" s="18"/>
      <c r="E67" s="20"/>
      <c r="F67" s="20"/>
      <c r="G67" s="20"/>
      <c r="H67" s="20"/>
      <c r="I67" s="61"/>
      <c r="J67" s="61"/>
      <c r="K67" s="20"/>
      <c r="L67" s="53"/>
    </row>
    <row r="68" spans="1:14" s="45" customFormat="1" ht="13.5" hidden="1" x14ac:dyDescent="0.25">
      <c r="A68" s="145"/>
      <c r="B68" s="232">
        <f t="shared" si="32"/>
        <v>44021</v>
      </c>
      <c r="C68" s="313"/>
      <c r="D68" s="18"/>
      <c r="E68" s="20"/>
      <c r="F68" s="20"/>
      <c r="G68" s="20"/>
      <c r="H68" s="20"/>
      <c r="I68" s="61"/>
      <c r="J68" s="61"/>
      <c r="K68" s="20"/>
      <c r="L68" s="53"/>
    </row>
    <row r="69" spans="1:14" s="45" customFormat="1" ht="13.5" hidden="1" x14ac:dyDescent="0.25">
      <c r="A69" s="25"/>
      <c r="B69" s="232">
        <f t="shared" si="32"/>
        <v>44022</v>
      </c>
      <c r="C69" s="313"/>
      <c r="D69" s="18"/>
      <c r="E69" s="20"/>
      <c r="F69" s="20"/>
      <c r="G69" s="20"/>
      <c r="H69" s="20"/>
      <c r="I69" s="61"/>
      <c r="J69" s="61"/>
      <c r="K69" s="20"/>
      <c r="L69" s="53"/>
    </row>
    <row r="70" spans="1:14" s="45" customFormat="1" ht="13.5" hidden="1" outlineLevel="1" x14ac:dyDescent="0.25">
      <c r="A70" s="25"/>
      <c r="B70" s="232">
        <f t="shared" si="32"/>
        <v>44023</v>
      </c>
      <c r="C70" s="313"/>
      <c r="D70" s="18"/>
      <c r="E70" s="20"/>
      <c r="F70" s="20"/>
      <c r="G70" s="20"/>
      <c r="H70" s="20"/>
      <c r="I70" s="61"/>
      <c r="J70" s="61"/>
      <c r="K70" s="20"/>
      <c r="L70" s="53"/>
    </row>
    <row r="71" spans="1:14" s="45" customFormat="1" ht="14.25" hidden="1" outlineLevel="1" thickBot="1" x14ac:dyDescent="0.3">
      <c r="A71" s="25"/>
      <c r="B71" s="232">
        <f t="shared" si="32"/>
        <v>44024</v>
      </c>
      <c r="C71" s="314"/>
      <c r="D71" s="54"/>
      <c r="E71" s="56"/>
      <c r="F71" s="56"/>
      <c r="G71" s="56"/>
      <c r="H71" s="56"/>
      <c r="I71" s="272"/>
      <c r="J71" s="272"/>
      <c r="K71" s="20"/>
      <c r="L71" s="133"/>
    </row>
    <row r="72" spans="1:14" s="45" customFormat="1" ht="14.25" hidden="1" outlineLevel="1" thickBot="1" x14ac:dyDescent="0.3">
      <c r="A72" s="153" t="s">
        <v>21</v>
      </c>
      <c r="B72" s="677" t="s">
        <v>32</v>
      </c>
      <c r="C72" s="315"/>
      <c r="D72" s="268">
        <f>SUM(D65:D71)</f>
        <v>0</v>
      </c>
      <c r="E72" s="268">
        <f t="shared" ref="E72:L72" si="33">SUM(E65:E71)</f>
        <v>0</v>
      </c>
      <c r="F72" s="268">
        <f t="shared" si="33"/>
        <v>0</v>
      </c>
      <c r="G72" s="268"/>
      <c r="H72" s="268">
        <f t="shared" si="33"/>
        <v>0</v>
      </c>
      <c r="I72" s="268">
        <f>SUM(I65:I71)</f>
        <v>0</v>
      </c>
      <c r="J72" s="274">
        <f t="shared" si="33"/>
        <v>0</v>
      </c>
      <c r="K72" s="274">
        <f>SUM(K65:K71)</f>
        <v>0</v>
      </c>
      <c r="L72" s="156">
        <f t="shared" si="33"/>
        <v>0</v>
      </c>
    </row>
    <row r="73" spans="1:14" s="45" customFormat="1" ht="14.25" hidden="1" outlineLevel="1" thickBot="1" x14ac:dyDescent="0.3">
      <c r="A73" s="105" t="s">
        <v>23</v>
      </c>
      <c r="B73" s="678"/>
      <c r="C73" s="315"/>
      <c r="D73" s="106" t="e">
        <f>AVERAGE(D65:D71)</f>
        <v>#DIV/0!</v>
      </c>
      <c r="E73" s="106" t="e">
        <f t="shared" ref="E73:L73" si="34">AVERAGE(E65:E71)</f>
        <v>#DIV/0!</v>
      </c>
      <c r="F73" s="106" t="e">
        <f t="shared" si="34"/>
        <v>#DIV/0!</v>
      </c>
      <c r="G73" s="106"/>
      <c r="H73" s="106" t="e">
        <f t="shared" si="34"/>
        <v>#DIV/0!</v>
      </c>
      <c r="I73" s="106" t="e">
        <f>AVERAGE(I65:I71)</f>
        <v>#DIV/0!</v>
      </c>
      <c r="J73" s="275" t="e">
        <f t="shared" si="34"/>
        <v>#DIV/0!</v>
      </c>
      <c r="K73" s="275" t="e">
        <f>AVERAGE(K65:K71)</f>
        <v>#DIV/0!</v>
      </c>
      <c r="L73" s="157">
        <f t="shared" si="34"/>
        <v>0</v>
      </c>
    </row>
    <row r="74" spans="1:14" s="45" customFormat="1" ht="14.25" hidden="1" thickBot="1" x14ac:dyDescent="0.3">
      <c r="A74" s="26" t="s">
        <v>20</v>
      </c>
      <c r="B74" s="678"/>
      <c r="C74" s="315"/>
      <c r="D74" s="27">
        <f>SUM(D65:D69)</f>
        <v>0</v>
      </c>
      <c r="E74" s="27">
        <f t="shared" ref="E74:L74" si="35">SUM(E65:E69)</f>
        <v>0</v>
      </c>
      <c r="F74" s="27">
        <f t="shared" si="35"/>
        <v>0</v>
      </c>
      <c r="G74" s="27"/>
      <c r="H74" s="27">
        <f t="shared" si="35"/>
        <v>0</v>
      </c>
      <c r="I74" s="27">
        <f>SUM(I65:I69)</f>
        <v>0</v>
      </c>
      <c r="J74" s="276">
        <f t="shared" si="35"/>
        <v>0</v>
      </c>
      <c r="K74" s="276">
        <f>SUM(K65:K69)</f>
        <v>0</v>
      </c>
      <c r="L74" s="158">
        <f t="shared" si="35"/>
        <v>0</v>
      </c>
    </row>
    <row r="75" spans="1:14" s="45" customFormat="1" ht="14.25" hidden="1" thickBot="1" x14ac:dyDescent="0.3">
      <c r="A75" s="26" t="s">
        <v>22</v>
      </c>
      <c r="B75" s="679"/>
      <c r="C75" s="316"/>
      <c r="D75" s="31" t="e">
        <f>AVERAGE(D65:D69)</f>
        <v>#DIV/0!</v>
      </c>
      <c r="E75" s="31" t="e">
        <f t="shared" ref="E75:L75" si="36">AVERAGE(E65:E69)</f>
        <v>#DIV/0!</v>
      </c>
      <c r="F75" s="31" t="e">
        <f t="shared" si="36"/>
        <v>#DIV/0!</v>
      </c>
      <c r="G75" s="31"/>
      <c r="H75" s="31" t="e">
        <f t="shared" si="36"/>
        <v>#DIV/0!</v>
      </c>
      <c r="I75" s="31" t="e">
        <f>AVERAGE(I65:I69)</f>
        <v>#DIV/0!</v>
      </c>
      <c r="J75" s="34" t="e">
        <f t="shared" si="36"/>
        <v>#DIV/0!</v>
      </c>
      <c r="K75" s="34" t="e">
        <f>AVERAGE(K65:K69)</f>
        <v>#DIV/0!</v>
      </c>
      <c r="L75" s="159">
        <f t="shared" si="36"/>
        <v>0</v>
      </c>
    </row>
    <row r="76" spans="1:14" s="45" customFormat="1" ht="15" customHeight="1" thickBot="1" x14ac:dyDescent="0.3">
      <c r="A76" s="4"/>
      <c r="B76" s="127"/>
      <c r="C76" s="317"/>
      <c r="D76" s="48"/>
      <c r="E76" s="48"/>
      <c r="F76" s="48"/>
      <c r="G76" s="48"/>
      <c r="H76" s="48"/>
      <c r="I76" s="48"/>
      <c r="J76" s="48"/>
      <c r="K76" s="48"/>
      <c r="L76" s="48"/>
    </row>
    <row r="77" spans="1:14" s="45" customFormat="1" ht="39" thickBot="1" x14ac:dyDescent="0.3">
      <c r="A77" s="324"/>
      <c r="B77" s="319"/>
      <c r="C77" s="325" t="s">
        <v>101</v>
      </c>
      <c r="D77" s="326" t="s">
        <v>7</v>
      </c>
      <c r="E77" s="326" t="s">
        <v>88</v>
      </c>
      <c r="F77" s="326" t="s">
        <v>89</v>
      </c>
      <c r="G77" s="326" t="s">
        <v>90</v>
      </c>
      <c r="H77" s="326" t="s">
        <v>95</v>
      </c>
      <c r="I77" s="326" t="s">
        <v>110</v>
      </c>
      <c r="J77" s="326" t="s">
        <v>10</v>
      </c>
      <c r="K77" s="327" t="s">
        <v>100</v>
      </c>
      <c r="L77" s="700" t="s">
        <v>55</v>
      </c>
      <c r="M77" s="701"/>
    </row>
    <row r="78" spans="1:14" ht="14.25" thickBot="1" x14ac:dyDescent="0.3">
      <c r="A78" s="329" t="s">
        <v>114</v>
      </c>
      <c r="B78" s="337">
        <f>SUM(L6+L61+L50+L39+L28+L17)</f>
        <v>6554</v>
      </c>
      <c r="C78" s="330">
        <f>C17+C28+C39+C50+C61</f>
        <v>0</v>
      </c>
      <c r="D78" s="331">
        <f>SUM(D6,D17+D28+D39+D50+D61)</f>
        <v>0</v>
      </c>
      <c r="E78" s="331">
        <f>SUM(E6,E17+E28+E39+E50+E61)</f>
        <v>0</v>
      </c>
      <c r="F78" s="331">
        <f>SUM(F6, F17+F28+F39+F50+F61)</f>
        <v>0</v>
      </c>
      <c r="G78" s="331">
        <f>SUM(G6,G17+G28+G39+G50+G61)</f>
        <v>0</v>
      </c>
      <c r="H78" s="331">
        <f>SUM(H6,H17+H28+H39+H50+H61)</f>
        <v>3380</v>
      </c>
      <c r="I78" s="331">
        <f>SUM(I61,I50,I28,I39,I17,I6)</f>
        <v>3174</v>
      </c>
      <c r="J78" s="331">
        <f>SUM(J6,J17+J28+J39+J50+J61)</f>
        <v>0</v>
      </c>
      <c r="K78" s="332">
        <f>SUM(K61,K50,K39,K28,K17,K6)</f>
        <v>0</v>
      </c>
      <c r="L78" s="321" t="s">
        <v>30</v>
      </c>
      <c r="M78" s="335">
        <f>SUM(C79:K79)</f>
        <v>6554</v>
      </c>
    </row>
    <row r="79" spans="1:14" ht="14.25" thickBot="1" x14ac:dyDescent="0.3">
      <c r="A79" s="328" t="s">
        <v>30</v>
      </c>
      <c r="B79" s="38">
        <f>L63+L52+L41+L30+L19</f>
        <v>6554</v>
      </c>
      <c r="C79" s="320">
        <f>C63+C52+C41+C30+C19</f>
        <v>0</v>
      </c>
      <c r="D79" s="179">
        <f>SUM(D19+D30+D41+D52+D63)</f>
        <v>0</v>
      </c>
      <c r="E79" s="179">
        <f>SUM(E19+E30+E41+E52+E63)</f>
        <v>0</v>
      </c>
      <c r="F79" s="179">
        <f>SUM(F19+F30+F41+F52+F63)</f>
        <v>0</v>
      </c>
      <c r="G79" s="179">
        <f>SUM(G19+G30+G41+G52+G63)</f>
        <v>0</v>
      </c>
      <c r="H79" s="179">
        <f>SUM(H19+H30+H41+H52+H63)</f>
        <v>3380</v>
      </c>
      <c r="I79" s="179">
        <f>SUM(I63,I52,I41,I30,I19)</f>
        <v>3174</v>
      </c>
      <c r="J79" s="179">
        <f>SUM(J19+J30+J41+J52+J63)</f>
        <v>0</v>
      </c>
      <c r="K79" s="208">
        <f>SUM(K63,K52,K41,K30,K19)</f>
        <v>0</v>
      </c>
      <c r="L79" s="322" t="s">
        <v>114</v>
      </c>
      <c r="M79" s="336">
        <f>SUM(C78:K78)</f>
        <v>6554</v>
      </c>
      <c r="N79" s="114"/>
    </row>
    <row r="80" spans="1:14" x14ac:dyDescent="0.25">
      <c r="K80" s="323"/>
      <c r="L80" s="463" t="s">
        <v>22</v>
      </c>
      <c r="M80" s="333">
        <f>AVERAGE(L20,L31,L42,L53,L64)</f>
        <v>262.16000000000003</v>
      </c>
    </row>
    <row r="81" spans="12:13" ht="15.75" thickBot="1" x14ac:dyDescent="0.3">
      <c r="L81" s="464" t="s">
        <v>120</v>
      </c>
      <c r="M81" s="334">
        <f>AVERAGE(L18,L29,L40,L51,L62)</f>
        <v>187.25714285714284</v>
      </c>
    </row>
  </sheetData>
  <mergeCells count="22">
    <mergeCell ref="B6:B9"/>
    <mergeCell ref="L77:M77"/>
    <mergeCell ref="L1:L4"/>
    <mergeCell ref="A3:A4"/>
    <mergeCell ref="B3:B4"/>
    <mergeCell ref="D3:D4"/>
    <mergeCell ref="E3:E4"/>
    <mergeCell ref="F3:F4"/>
    <mergeCell ref="H3:H4"/>
    <mergeCell ref="J3:J4"/>
    <mergeCell ref="G3:G4"/>
    <mergeCell ref="H1:I2"/>
    <mergeCell ref="J1:K2"/>
    <mergeCell ref="K3:K4"/>
    <mergeCell ref="C1:G2"/>
    <mergeCell ref="C3:C4"/>
    <mergeCell ref="B72:B75"/>
    <mergeCell ref="B17:B20"/>
    <mergeCell ref="B28:B31"/>
    <mergeCell ref="B39:B42"/>
    <mergeCell ref="B50:B53"/>
    <mergeCell ref="B61:B64"/>
  </mergeCells>
  <pageMargins left="0.7" right="0.7" top="0.75" bottom="0.75" header="0.3" footer="0.3"/>
  <pageSetup scale="5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P81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J89" sqref="J89"/>
    </sheetView>
  </sheetViews>
  <sheetFormatPr defaultRowHeight="15" outlineLevelRow="1" x14ac:dyDescent="0.25"/>
  <cols>
    <col min="1" max="1" width="18.7109375" style="1" bestFit="1" customWidth="1"/>
    <col min="2" max="2" width="9.5703125" style="128" bestFit="1" customWidth="1"/>
    <col min="3" max="3" width="15.7109375" style="11" customWidth="1"/>
    <col min="4" max="4" width="10.7109375" style="11" customWidth="1"/>
    <col min="5" max="5" width="26" style="11" customWidth="1"/>
    <col min="6" max="6" width="15.42578125" style="11" bestFit="1" customWidth="1"/>
    <col min="7" max="16384" width="9.140625" style="11"/>
  </cols>
  <sheetData>
    <row r="1" spans="1:15" ht="15" customHeight="1" x14ac:dyDescent="0.25">
      <c r="A1" s="23"/>
      <c r="B1" s="344"/>
      <c r="C1" s="713" t="s">
        <v>9</v>
      </c>
    </row>
    <row r="2" spans="1:15" ht="15" customHeight="1" thickBot="1" x14ac:dyDescent="0.3">
      <c r="A2" s="24"/>
      <c r="B2" s="343"/>
      <c r="C2" s="714"/>
    </row>
    <row r="3" spans="1:15" ht="15" customHeight="1" x14ac:dyDescent="0.25">
      <c r="A3" s="690" t="s">
        <v>51</v>
      </c>
      <c r="B3" s="629" t="s">
        <v>52</v>
      </c>
      <c r="C3" s="718" t="s">
        <v>33</v>
      </c>
    </row>
    <row r="4" spans="1:15" ht="13.5" customHeight="1" thickBot="1" x14ac:dyDescent="0.3">
      <c r="A4" s="681"/>
      <c r="B4" s="630"/>
      <c r="C4" s="627"/>
    </row>
    <row r="5" spans="1:15" ht="14.25" thickBot="1" x14ac:dyDescent="0.3">
      <c r="A5" s="395"/>
      <c r="B5" s="397"/>
      <c r="C5" s="456"/>
    </row>
    <row r="6" spans="1:15" s="45" customFormat="1" ht="15" customHeight="1" outlineLevel="1" thickBot="1" x14ac:dyDescent="0.3">
      <c r="A6" s="153" t="s">
        <v>21</v>
      </c>
      <c r="B6" s="612" t="s">
        <v>119</v>
      </c>
      <c r="C6" s="413">
        <f>SUM(C5)</f>
        <v>0</v>
      </c>
      <c r="O6" s="44"/>
    </row>
    <row r="7" spans="1:15" s="45" customFormat="1" ht="15" customHeight="1" outlineLevel="1" thickBot="1" x14ac:dyDescent="0.3">
      <c r="A7" s="105" t="s">
        <v>23</v>
      </c>
      <c r="B7" s="612"/>
      <c r="C7" s="340" t="e">
        <f>AVERAGE(C5)</f>
        <v>#DIV/0!</v>
      </c>
      <c r="F7" s="44"/>
      <c r="O7" s="44"/>
    </row>
    <row r="8" spans="1:15" s="45" customFormat="1" ht="15" customHeight="1" thickBot="1" x14ac:dyDescent="0.3">
      <c r="A8" s="26" t="s">
        <v>20</v>
      </c>
      <c r="B8" s="612"/>
      <c r="C8" s="195" t="e">
        <f>SUM(#REF!)</f>
        <v>#REF!</v>
      </c>
      <c r="F8" s="44"/>
      <c r="G8" s="44"/>
      <c r="O8" s="44"/>
    </row>
    <row r="9" spans="1:15" s="45" customFormat="1" ht="15" customHeight="1" thickBot="1" x14ac:dyDescent="0.3">
      <c r="A9" s="26" t="s">
        <v>22</v>
      </c>
      <c r="B9" s="612"/>
      <c r="C9" s="196" t="e">
        <f>AVERAGE(#REF!)</f>
        <v>#REF!</v>
      </c>
      <c r="F9" s="44"/>
      <c r="G9" s="44"/>
    </row>
    <row r="10" spans="1:15" s="44" customFormat="1" ht="13.5" x14ac:dyDescent="0.25">
      <c r="A10" s="25" t="s">
        <v>3</v>
      </c>
      <c r="B10" s="349">
        <v>43983</v>
      </c>
      <c r="C10" s="270"/>
    </row>
    <row r="11" spans="1:15" s="44" customFormat="1" ht="13.5" x14ac:dyDescent="0.25">
      <c r="A11" s="25" t="s">
        <v>4</v>
      </c>
      <c r="B11" s="228">
        <v>43984</v>
      </c>
      <c r="C11" s="270"/>
    </row>
    <row r="12" spans="1:15" s="44" customFormat="1" ht="13.5" x14ac:dyDescent="0.25">
      <c r="A12" s="25" t="s">
        <v>5</v>
      </c>
      <c r="B12" s="228">
        <v>43985</v>
      </c>
      <c r="C12" s="270"/>
    </row>
    <row r="13" spans="1:15" s="44" customFormat="1" ht="13.5" x14ac:dyDescent="0.25">
      <c r="A13" s="25" t="s">
        <v>6</v>
      </c>
      <c r="B13" s="228">
        <v>43986</v>
      </c>
      <c r="C13" s="270"/>
    </row>
    <row r="14" spans="1:15" s="44" customFormat="1" ht="13.5" x14ac:dyDescent="0.25">
      <c r="A14" s="25" t="s">
        <v>0</v>
      </c>
      <c r="B14" s="228">
        <v>43987</v>
      </c>
      <c r="C14" s="270"/>
    </row>
    <row r="15" spans="1:15" s="44" customFormat="1" ht="13.5" outlineLevel="1" x14ac:dyDescent="0.25">
      <c r="A15" s="25" t="s">
        <v>1</v>
      </c>
      <c r="B15" s="228">
        <v>43988</v>
      </c>
      <c r="C15" s="197"/>
    </row>
    <row r="16" spans="1:15" s="44" customFormat="1" ht="15" customHeight="1" outlineLevel="1" thickBot="1" x14ac:dyDescent="0.3">
      <c r="A16" s="25" t="s">
        <v>2</v>
      </c>
      <c r="B16" s="228">
        <v>43989</v>
      </c>
      <c r="C16" s="197"/>
    </row>
    <row r="17" spans="1:16" s="45" customFormat="1" ht="15" customHeight="1" outlineLevel="1" thickBot="1" x14ac:dyDescent="0.3">
      <c r="A17" s="153" t="s">
        <v>21</v>
      </c>
      <c r="B17" s="612" t="s">
        <v>24</v>
      </c>
      <c r="C17" s="413">
        <f>SUM(C10:C16)</f>
        <v>0</v>
      </c>
      <c r="E17" s="44"/>
      <c r="O17" s="44"/>
    </row>
    <row r="18" spans="1:16" s="45" customFormat="1" ht="15" customHeight="1" outlineLevel="1" thickBot="1" x14ac:dyDescent="0.3">
      <c r="A18" s="105" t="s">
        <v>23</v>
      </c>
      <c r="B18" s="612"/>
      <c r="C18" s="340" t="e">
        <f>AVERAGE(C10:C16)</f>
        <v>#DIV/0!</v>
      </c>
      <c r="E18" s="44"/>
      <c r="F18" s="44"/>
      <c r="O18" s="44"/>
    </row>
    <row r="19" spans="1:16" s="45" customFormat="1" ht="15" customHeight="1" thickBot="1" x14ac:dyDescent="0.3">
      <c r="A19" s="26" t="s">
        <v>20</v>
      </c>
      <c r="B19" s="612"/>
      <c r="C19" s="195">
        <f>SUM(C10:C14)</f>
        <v>0</v>
      </c>
      <c r="E19" s="44"/>
      <c r="F19" s="44"/>
      <c r="G19" s="44"/>
      <c r="N19" s="44"/>
      <c r="O19" s="44"/>
    </row>
    <row r="20" spans="1:16" s="45" customFormat="1" ht="15" customHeight="1" thickBot="1" x14ac:dyDescent="0.3">
      <c r="A20" s="26" t="s">
        <v>22</v>
      </c>
      <c r="B20" s="612"/>
      <c r="C20" s="196" t="e">
        <f>AVERAGE(C10:C14)</f>
        <v>#DIV/0!</v>
      </c>
      <c r="F20" s="44"/>
      <c r="G20" s="44"/>
      <c r="N20" s="44"/>
    </row>
    <row r="21" spans="1:16" s="45" customFormat="1" ht="15" customHeight="1" x14ac:dyDescent="0.25">
      <c r="A21" s="25" t="s">
        <v>3</v>
      </c>
      <c r="B21" s="228">
        <f>B16+1</f>
        <v>43990</v>
      </c>
      <c r="C21" s="341"/>
      <c r="F21" s="44"/>
    </row>
    <row r="22" spans="1:16" s="45" customFormat="1" ht="15" customHeight="1" x14ac:dyDescent="0.25">
      <c r="A22" s="25" t="s">
        <v>4</v>
      </c>
      <c r="B22" s="228">
        <f t="shared" ref="B22:B27" si="0">B21+1</f>
        <v>43991</v>
      </c>
      <c r="C22" s="341"/>
      <c r="F22" s="44"/>
    </row>
    <row r="23" spans="1:16" s="45" customFormat="1" ht="15" customHeight="1" x14ac:dyDescent="0.25">
      <c r="A23" s="25" t="s">
        <v>5</v>
      </c>
      <c r="B23" s="228">
        <f t="shared" si="0"/>
        <v>43992</v>
      </c>
      <c r="C23" s="341"/>
      <c r="F23" s="44"/>
    </row>
    <row r="24" spans="1:16" s="45" customFormat="1" ht="15" customHeight="1" x14ac:dyDescent="0.25">
      <c r="A24" s="25" t="s">
        <v>6</v>
      </c>
      <c r="B24" s="228">
        <f t="shared" si="0"/>
        <v>43993</v>
      </c>
      <c r="C24" s="341"/>
    </row>
    <row r="25" spans="1:16" s="45" customFormat="1" ht="15" customHeight="1" x14ac:dyDescent="0.25">
      <c r="A25" s="25" t="s">
        <v>0</v>
      </c>
      <c r="B25" s="228">
        <f t="shared" si="0"/>
        <v>43994</v>
      </c>
      <c r="C25" s="341"/>
    </row>
    <row r="26" spans="1:16" s="45" customFormat="1" ht="15" customHeight="1" outlineLevel="1" x14ac:dyDescent="0.25">
      <c r="A26" s="25" t="s">
        <v>1</v>
      </c>
      <c r="B26" s="228">
        <f t="shared" si="0"/>
        <v>43995</v>
      </c>
      <c r="C26" s="197"/>
      <c r="D26" s="149"/>
    </row>
    <row r="27" spans="1:16" s="45" customFormat="1" ht="15" customHeight="1" outlineLevel="1" thickBot="1" x14ac:dyDescent="0.3">
      <c r="A27" s="25" t="s">
        <v>2</v>
      </c>
      <c r="B27" s="228">
        <f t="shared" si="0"/>
        <v>43996</v>
      </c>
      <c r="C27" s="338"/>
      <c r="N27" s="44"/>
    </row>
    <row r="28" spans="1:16" s="45" customFormat="1" ht="15" customHeight="1" outlineLevel="1" thickBot="1" x14ac:dyDescent="0.3">
      <c r="A28" s="153" t="s">
        <v>21</v>
      </c>
      <c r="B28" s="612" t="s">
        <v>25</v>
      </c>
      <c r="C28" s="339">
        <f>SUM(C21:C27)</f>
        <v>0</v>
      </c>
    </row>
    <row r="29" spans="1:16" s="45" customFormat="1" ht="15" customHeight="1" outlineLevel="1" thickBot="1" x14ac:dyDescent="0.3">
      <c r="A29" s="105" t="s">
        <v>23</v>
      </c>
      <c r="B29" s="612"/>
      <c r="C29" s="340" t="e">
        <f>AVERAGE(C21:C27)</f>
        <v>#DIV/0!</v>
      </c>
      <c r="F29" s="44"/>
    </row>
    <row r="30" spans="1:16" s="45" customFormat="1" ht="15" customHeight="1" thickBot="1" x14ac:dyDescent="0.3">
      <c r="A30" s="26" t="s">
        <v>20</v>
      </c>
      <c r="B30" s="612"/>
      <c r="C30" s="195">
        <f>SUM(C21:C25)</f>
        <v>0</v>
      </c>
      <c r="F30" s="44"/>
    </row>
    <row r="31" spans="1:16" s="45" customFormat="1" ht="15" customHeight="1" thickBot="1" x14ac:dyDescent="0.3">
      <c r="A31" s="26" t="s">
        <v>22</v>
      </c>
      <c r="B31" s="612"/>
      <c r="C31" s="196" t="e">
        <f>AVERAGE(C21:C25)</f>
        <v>#DIV/0!</v>
      </c>
      <c r="F31" s="44"/>
      <c r="P31" s="44"/>
    </row>
    <row r="32" spans="1:16" s="45" customFormat="1" ht="15" customHeight="1" x14ac:dyDescent="0.25">
      <c r="A32" s="25" t="s">
        <v>3</v>
      </c>
      <c r="B32" s="223">
        <f>B27+1</f>
        <v>43997</v>
      </c>
      <c r="C32" s="341"/>
    </row>
    <row r="33" spans="1:6" s="45" customFormat="1" ht="15" customHeight="1" x14ac:dyDescent="0.25">
      <c r="A33" s="25" t="s">
        <v>4</v>
      </c>
      <c r="B33" s="223">
        <f t="shared" ref="B33:B38" si="1">B32+1</f>
        <v>43998</v>
      </c>
      <c r="C33" s="341"/>
    </row>
    <row r="34" spans="1:6" s="45" customFormat="1" ht="15" customHeight="1" x14ac:dyDescent="0.25">
      <c r="A34" s="25" t="s">
        <v>5</v>
      </c>
      <c r="B34" s="223">
        <f t="shared" si="1"/>
        <v>43999</v>
      </c>
      <c r="C34" s="341"/>
    </row>
    <row r="35" spans="1:6" s="45" customFormat="1" ht="15" customHeight="1" x14ac:dyDescent="0.25">
      <c r="A35" s="25" t="s">
        <v>6</v>
      </c>
      <c r="B35" s="223">
        <f t="shared" si="1"/>
        <v>44000</v>
      </c>
      <c r="C35" s="341"/>
    </row>
    <row r="36" spans="1:6" s="45" customFormat="1" ht="15" customHeight="1" x14ac:dyDescent="0.25">
      <c r="A36" s="25" t="s">
        <v>0</v>
      </c>
      <c r="B36" s="223">
        <f t="shared" si="1"/>
        <v>44001</v>
      </c>
      <c r="C36" s="341"/>
    </row>
    <row r="37" spans="1:6" s="45" customFormat="1" ht="15" customHeight="1" outlineLevel="1" x14ac:dyDescent="0.25">
      <c r="A37" s="25" t="s">
        <v>1</v>
      </c>
      <c r="B37" s="223">
        <f t="shared" si="1"/>
        <v>44002</v>
      </c>
      <c r="C37" s="197"/>
    </row>
    <row r="38" spans="1:6" s="45" customFormat="1" ht="15" customHeight="1" outlineLevel="1" thickBot="1" x14ac:dyDescent="0.3">
      <c r="A38" s="25" t="s">
        <v>2</v>
      </c>
      <c r="B38" s="223">
        <f t="shared" si="1"/>
        <v>44003</v>
      </c>
      <c r="C38" s="338"/>
    </row>
    <row r="39" spans="1:6" s="45" customFormat="1" ht="15" customHeight="1" outlineLevel="1" thickBot="1" x14ac:dyDescent="0.3">
      <c r="A39" s="153" t="s">
        <v>21</v>
      </c>
      <c r="B39" s="612" t="s">
        <v>26</v>
      </c>
      <c r="C39" s="339">
        <f>SUM(C32:C38)</f>
        <v>0</v>
      </c>
      <c r="F39" s="44"/>
    </row>
    <row r="40" spans="1:6" s="45" customFormat="1" ht="15" customHeight="1" outlineLevel="1" thickBot="1" x14ac:dyDescent="0.3">
      <c r="A40" s="105" t="s">
        <v>23</v>
      </c>
      <c r="B40" s="612"/>
      <c r="C40" s="340" t="e">
        <f>AVERAGE(C32:C38)</f>
        <v>#DIV/0!</v>
      </c>
      <c r="F40" s="44"/>
    </row>
    <row r="41" spans="1:6" s="45" customFormat="1" ht="15" customHeight="1" thickBot="1" x14ac:dyDescent="0.3">
      <c r="A41" s="26" t="s">
        <v>20</v>
      </c>
      <c r="B41" s="612"/>
      <c r="C41" s="195">
        <f>SUM(C32:C36)</f>
        <v>0</v>
      </c>
    </row>
    <row r="42" spans="1:6" s="45" customFormat="1" ht="15" customHeight="1" thickBot="1" x14ac:dyDescent="0.3">
      <c r="A42" s="26" t="s">
        <v>22</v>
      </c>
      <c r="B42" s="612"/>
      <c r="C42" s="196" t="e">
        <f>AVERAGE(C32:C36)</f>
        <v>#DIV/0!</v>
      </c>
    </row>
    <row r="43" spans="1:6" s="45" customFormat="1" ht="15" customHeight="1" x14ac:dyDescent="0.25">
      <c r="A43" s="25" t="s">
        <v>3</v>
      </c>
      <c r="B43" s="232">
        <f>B38+1</f>
        <v>44004</v>
      </c>
      <c r="C43" s="341"/>
    </row>
    <row r="44" spans="1:6" s="45" customFormat="1" ht="15" customHeight="1" x14ac:dyDescent="0.25">
      <c r="A44" s="25" t="s">
        <v>4</v>
      </c>
      <c r="B44" s="232">
        <f t="shared" ref="B44:B49" si="2">B43+1</f>
        <v>44005</v>
      </c>
      <c r="C44" s="341"/>
    </row>
    <row r="45" spans="1:6" s="45" customFormat="1" ht="15" customHeight="1" x14ac:dyDescent="0.25">
      <c r="A45" s="25" t="s">
        <v>5</v>
      </c>
      <c r="B45" s="232">
        <f t="shared" si="2"/>
        <v>44006</v>
      </c>
      <c r="C45" s="341"/>
    </row>
    <row r="46" spans="1:6" s="45" customFormat="1" ht="15" customHeight="1" x14ac:dyDescent="0.25">
      <c r="A46" s="25" t="s">
        <v>6</v>
      </c>
      <c r="B46" s="232">
        <f t="shared" si="2"/>
        <v>44007</v>
      </c>
      <c r="C46" s="341"/>
    </row>
    <row r="47" spans="1:6" s="45" customFormat="1" ht="15" customHeight="1" x14ac:dyDescent="0.25">
      <c r="A47" s="25" t="s">
        <v>0</v>
      </c>
      <c r="B47" s="232">
        <f t="shared" si="2"/>
        <v>44008</v>
      </c>
      <c r="C47" s="341"/>
    </row>
    <row r="48" spans="1:6" s="45" customFormat="1" ht="15" customHeight="1" outlineLevel="1" x14ac:dyDescent="0.25">
      <c r="A48" s="25" t="s">
        <v>1</v>
      </c>
      <c r="B48" s="232">
        <f t="shared" si="2"/>
        <v>44009</v>
      </c>
      <c r="C48" s="197"/>
      <c r="D48" s="149"/>
    </row>
    <row r="49" spans="1:4" s="45" customFormat="1" ht="15" customHeight="1" outlineLevel="1" thickBot="1" x14ac:dyDescent="0.3">
      <c r="A49" s="25" t="s">
        <v>2</v>
      </c>
      <c r="B49" s="232">
        <f t="shared" si="2"/>
        <v>44010</v>
      </c>
      <c r="C49" s="338"/>
      <c r="D49" s="149"/>
    </row>
    <row r="50" spans="1:4" s="45" customFormat="1" ht="15" customHeight="1" outlineLevel="1" thickBot="1" x14ac:dyDescent="0.3">
      <c r="A50" s="153" t="s">
        <v>21</v>
      </c>
      <c r="B50" s="612" t="s">
        <v>27</v>
      </c>
      <c r="C50" s="339">
        <f>SUM(C43:C49)</f>
        <v>0</v>
      </c>
      <c r="D50" s="149"/>
    </row>
    <row r="51" spans="1:4" s="45" customFormat="1" ht="15" customHeight="1" outlineLevel="1" thickBot="1" x14ac:dyDescent="0.3">
      <c r="A51" s="105" t="s">
        <v>23</v>
      </c>
      <c r="B51" s="612"/>
      <c r="C51" s="340" t="e">
        <f>AVERAGE(C43:C49)</f>
        <v>#DIV/0!</v>
      </c>
      <c r="D51" s="149"/>
    </row>
    <row r="52" spans="1:4" s="45" customFormat="1" ht="15" customHeight="1" thickBot="1" x14ac:dyDescent="0.3">
      <c r="A52" s="26" t="s">
        <v>20</v>
      </c>
      <c r="B52" s="612"/>
      <c r="C52" s="195">
        <f>SUM(C43:C47)</f>
        <v>0</v>
      </c>
      <c r="D52" s="149"/>
    </row>
    <row r="53" spans="1:4" s="45" customFormat="1" ht="15" customHeight="1" thickBot="1" x14ac:dyDescent="0.3">
      <c r="A53" s="26" t="s">
        <v>22</v>
      </c>
      <c r="B53" s="612"/>
      <c r="C53" s="196" t="e">
        <f>AVERAGE(C43:C47)</f>
        <v>#DIV/0!</v>
      </c>
      <c r="D53" s="149"/>
    </row>
    <row r="54" spans="1:4" s="45" customFormat="1" ht="15" customHeight="1" x14ac:dyDescent="0.25">
      <c r="A54" s="25" t="s">
        <v>3</v>
      </c>
      <c r="B54" s="232">
        <f>B49+1</f>
        <v>44011</v>
      </c>
      <c r="C54" s="342"/>
      <c r="D54" s="149"/>
    </row>
    <row r="55" spans="1:4" s="45" customFormat="1" ht="15" customHeight="1" x14ac:dyDescent="0.25">
      <c r="A55" s="145" t="s">
        <v>4</v>
      </c>
      <c r="B55" s="232">
        <f t="shared" ref="B55:B60" si="3">B54+1</f>
        <v>44012</v>
      </c>
      <c r="C55" s="341"/>
      <c r="D55" s="149"/>
    </row>
    <row r="56" spans="1:4" s="45" customFormat="1" ht="13.5" x14ac:dyDescent="0.25">
      <c r="A56" s="145" t="s">
        <v>5</v>
      </c>
      <c r="B56" s="232">
        <f t="shared" si="3"/>
        <v>44013</v>
      </c>
      <c r="C56" s="197"/>
      <c r="D56" s="149"/>
    </row>
    <row r="57" spans="1:4" s="45" customFormat="1" ht="13.5" x14ac:dyDescent="0.25">
      <c r="A57" s="145" t="s">
        <v>6</v>
      </c>
      <c r="B57" s="232">
        <f t="shared" si="3"/>
        <v>44014</v>
      </c>
      <c r="C57" s="341"/>
      <c r="D57" s="149"/>
    </row>
    <row r="58" spans="1:4" s="45" customFormat="1" ht="13.5" x14ac:dyDescent="0.25">
      <c r="A58" s="25" t="s">
        <v>0</v>
      </c>
      <c r="B58" s="233">
        <f t="shared" si="3"/>
        <v>44015</v>
      </c>
      <c r="C58" s="341"/>
      <c r="D58" s="149"/>
    </row>
    <row r="59" spans="1:4" s="45" customFormat="1" ht="13.5" outlineLevel="1" x14ac:dyDescent="0.25">
      <c r="A59" s="25" t="s">
        <v>1</v>
      </c>
      <c r="B59" s="233">
        <f t="shared" si="3"/>
        <v>44016</v>
      </c>
      <c r="C59" s="197"/>
      <c r="D59" s="149"/>
    </row>
    <row r="60" spans="1:4" s="45" customFormat="1" ht="14.25" outlineLevel="1" thickBot="1" x14ac:dyDescent="0.3">
      <c r="A60" s="145" t="s">
        <v>2</v>
      </c>
      <c r="B60" s="233">
        <f t="shared" si="3"/>
        <v>44017</v>
      </c>
      <c r="C60" s="338"/>
    </row>
    <row r="61" spans="1:4" s="45" customFormat="1" ht="15" customHeight="1" outlineLevel="1" thickBot="1" x14ac:dyDescent="0.3">
      <c r="A61" s="153" t="s">
        <v>21</v>
      </c>
      <c r="B61" s="612" t="s">
        <v>28</v>
      </c>
      <c r="C61" s="339">
        <f>SUM(C54:C60)</f>
        <v>0</v>
      </c>
    </row>
    <row r="62" spans="1:4" s="45" customFormat="1" ht="15" customHeight="1" outlineLevel="1" thickBot="1" x14ac:dyDescent="0.3">
      <c r="A62" s="105" t="s">
        <v>23</v>
      </c>
      <c r="B62" s="612"/>
      <c r="C62" s="340" t="e">
        <f>AVERAGE(C54:C60)</f>
        <v>#DIV/0!</v>
      </c>
    </row>
    <row r="63" spans="1:4" s="45" customFormat="1" ht="15" customHeight="1" thickBot="1" x14ac:dyDescent="0.3">
      <c r="A63" s="26" t="s">
        <v>20</v>
      </c>
      <c r="B63" s="612"/>
      <c r="C63" s="195">
        <f>SUM(C54:C58)</f>
        <v>0</v>
      </c>
    </row>
    <row r="64" spans="1:4" s="45" customFormat="1" ht="14.25" thickBot="1" x14ac:dyDescent="0.3">
      <c r="A64" s="26" t="s">
        <v>22</v>
      </c>
      <c r="B64" s="639"/>
      <c r="C64" s="196" t="e">
        <f>AVERAGE(C54:C58)</f>
        <v>#DIV/0!</v>
      </c>
    </row>
    <row r="65" spans="1:6" s="45" customFormat="1" ht="13.5" hidden="1" x14ac:dyDescent="0.25">
      <c r="A65" s="145" t="s">
        <v>3</v>
      </c>
      <c r="B65" s="348">
        <f>B60+1</f>
        <v>44018</v>
      </c>
      <c r="C65" s="188"/>
      <c r="D65" s="17"/>
    </row>
    <row r="66" spans="1:6" s="45" customFormat="1" ht="13.5" hidden="1" x14ac:dyDescent="0.25">
      <c r="A66" s="145" t="s">
        <v>4</v>
      </c>
      <c r="B66" s="168">
        <f t="shared" ref="B66:B71" si="4">B65+1</f>
        <v>44019</v>
      </c>
      <c r="C66" s="188"/>
      <c r="D66" s="17"/>
    </row>
    <row r="67" spans="1:6" s="45" customFormat="1" ht="13.5" hidden="1" x14ac:dyDescent="0.25">
      <c r="A67" s="145" t="s">
        <v>5</v>
      </c>
      <c r="B67" s="168">
        <f t="shared" si="4"/>
        <v>44020</v>
      </c>
      <c r="C67" s="189"/>
      <c r="D67" s="17"/>
    </row>
    <row r="68" spans="1:6" s="45" customFormat="1" ht="13.5" hidden="1" x14ac:dyDescent="0.25">
      <c r="A68" s="145" t="s">
        <v>6</v>
      </c>
      <c r="B68" s="168">
        <f t="shared" si="4"/>
        <v>44021</v>
      </c>
      <c r="C68" s="189"/>
      <c r="D68" s="17"/>
    </row>
    <row r="69" spans="1:6" s="45" customFormat="1" ht="13.5" hidden="1" x14ac:dyDescent="0.25">
      <c r="A69" s="145" t="s">
        <v>0</v>
      </c>
      <c r="B69" s="168">
        <f t="shared" si="4"/>
        <v>44022</v>
      </c>
      <c r="C69" s="189"/>
      <c r="D69" s="17"/>
    </row>
    <row r="70" spans="1:6" s="45" customFormat="1" ht="13.5" hidden="1" outlineLevel="1" x14ac:dyDescent="0.25">
      <c r="A70" s="145" t="s">
        <v>1</v>
      </c>
      <c r="B70" s="168">
        <f t="shared" si="4"/>
        <v>44023</v>
      </c>
      <c r="C70" s="198"/>
      <c r="D70" s="17"/>
    </row>
    <row r="71" spans="1:6" s="45" customFormat="1" ht="13.5" hidden="1" outlineLevel="1" x14ac:dyDescent="0.25">
      <c r="A71" s="145" t="s">
        <v>2</v>
      </c>
      <c r="B71" s="168">
        <f t="shared" si="4"/>
        <v>44024</v>
      </c>
      <c r="C71" s="199"/>
      <c r="D71" s="17"/>
    </row>
    <row r="72" spans="1:6" s="45" customFormat="1" ht="14.25" hidden="1" outlineLevel="1" thickBot="1" x14ac:dyDescent="0.3">
      <c r="A72" s="153" t="s">
        <v>21</v>
      </c>
      <c r="B72" s="678" t="s">
        <v>32</v>
      </c>
      <c r="C72" s="191">
        <f>SUM(C65:C71)</f>
        <v>0</v>
      </c>
      <c r="D72" s="110">
        <f>SUM(C72)</f>
        <v>0</v>
      </c>
    </row>
    <row r="73" spans="1:6" s="45" customFormat="1" ht="14.25" hidden="1" outlineLevel="1" thickBot="1" x14ac:dyDescent="0.3">
      <c r="A73" s="105" t="s">
        <v>23</v>
      </c>
      <c r="B73" s="678"/>
      <c r="C73" s="192" t="e">
        <f>AVERAGE(C65:C71)</f>
        <v>#DIV/0!</v>
      </c>
      <c r="D73" s="106" t="e">
        <f>SUM(C73)</f>
        <v>#DIV/0!</v>
      </c>
    </row>
    <row r="74" spans="1:6" s="45" customFormat="1" ht="14.25" hidden="1" thickBot="1" x14ac:dyDescent="0.3">
      <c r="A74" s="26" t="s">
        <v>20</v>
      </c>
      <c r="B74" s="678"/>
      <c r="C74" s="193">
        <f>SUM(C65:C69)</f>
        <v>0</v>
      </c>
      <c r="D74" s="27">
        <f>SUM(C74)</f>
        <v>0</v>
      </c>
    </row>
    <row r="75" spans="1:6" s="45" customFormat="1" ht="14.25" hidden="1" thickBot="1" x14ac:dyDescent="0.3">
      <c r="A75" s="26" t="s">
        <v>22</v>
      </c>
      <c r="B75" s="679"/>
      <c r="C75" s="194" t="e">
        <f>AVERAGE(C65:C69)</f>
        <v>#DIV/0!</v>
      </c>
      <c r="D75" s="31" t="e">
        <f>SUM(C75)</f>
        <v>#DIV/0!</v>
      </c>
    </row>
    <row r="76" spans="1:6" s="45" customFormat="1" ht="15" customHeight="1" x14ac:dyDescent="0.25">
      <c r="A76" s="4"/>
      <c r="B76" s="127"/>
      <c r="C76" s="48"/>
      <c r="D76" s="48"/>
    </row>
    <row r="77" spans="1:6" s="45" customFormat="1" ht="42" customHeight="1" thickBot="1" x14ac:dyDescent="0.3">
      <c r="A77" s="178"/>
      <c r="B77" s="433" t="s">
        <v>9</v>
      </c>
      <c r="D77" s="715" t="s">
        <v>54</v>
      </c>
      <c r="E77" s="716"/>
      <c r="F77" s="717"/>
    </row>
    <row r="78" spans="1:6" ht="30" customHeight="1" x14ac:dyDescent="0.25">
      <c r="A78" s="432" t="s">
        <v>114</v>
      </c>
      <c r="B78" s="434">
        <f>SUM(C61:C61, C50:C50, C39:C39, C28:C28, C17:C17, C72:C72, C6:C6 )</f>
        <v>0</v>
      </c>
      <c r="D78" s="711" t="s">
        <v>30</v>
      </c>
      <c r="E78" s="712"/>
      <c r="F78" s="436">
        <f>SUM(C19, C30, C41, C52, C63, C74)</f>
        <v>0</v>
      </c>
    </row>
    <row r="79" spans="1:6" ht="30" customHeight="1" thickBot="1" x14ac:dyDescent="0.3">
      <c r="A79" s="432" t="s">
        <v>30</v>
      </c>
      <c r="B79" s="435">
        <f>SUM(C63:C63, C52:C52, C41:C41, C30:C30, C19:C19, C74:C74)</f>
        <v>0</v>
      </c>
      <c r="D79" s="684" t="s">
        <v>114</v>
      </c>
      <c r="E79" s="685"/>
      <c r="F79" s="437">
        <f>SUM(C61, C50, C39, C28, C17, C72, C6)</f>
        <v>0</v>
      </c>
    </row>
    <row r="80" spans="1:6" ht="30" customHeight="1" x14ac:dyDescent="0.25">
      <c r="D80" s="684" t="s">
        <v>22</v>
      </c>
      <c r="E80" s="685"/>
      <c r="F80" s="437" t="e">
        <f>AVERAGE(C20,C31,C42,C53,C64)</f>
        <v>#DIV/0!</v>
      </c>
    </row>
    <row r="81" spans="4:6" ht="30" customHeight="1" thickBot="1" x14ac:dyDescent="0.3">
      <c r="D81" s="686" t="s">
        <v>120</v>
      </c>
      <c r="E81" s="687"/>
      <c r="F81" s="334" t="e">
        <f>AVERAGE(C18,C29,C40,C51,C62)</f>
        <v>#DIV/0!</v>
      </c>
    </row>
  </sheetData>
  <mergeCells count="16">
    <mergeCell ref="C1:C2"/>
    <mergeCell ref="A3:A4"/>
    <mergeCell ref="B3:B4"/>
    <mergeCell ref="B72:B75"/>
    <mergeCell ref="D77:F77"/>
    <mergeCell ref="B28:B31"/>
    <mergeCell ref="B17:B20"/>
    <mergeCell ref="C3:C4"/>
    <mergeCell ref="B6:B9"/>
    <mergeCell ref="D81:E81"/>
    <mergeCell ref="D80:E80"/>
    <mergeCell ref="B61:B64"/>
    <mergeCell ref="B50:B53"/>
    <mergeCell ref="B39:B42"/>
    <mergeCell ref="D79:E79"/>
    <mergeCell ref="D78:E78"/>
  </mergeCells>
  <pageMargins left="0.7" right="0.7" top="0.75" bottom="0.75" header="0.3" footer="0.3"/>
  <pageSetup scale="59" orientation="portrait" r:id="rId1"/>
  <ignoredErrors>
    <ignoredError sqref="C42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C5" sqref="C5"/>
    </sheetView>
  </sheetViews>
  <sheetFormatPr defaultRowHeight="15" outlineLevelRow="1" x14ac:dyDescent="0.25"/>
  <cols>
    <col min="1" max="1" width="18.7109375" style="1" bestFit="1" customWidth="1"/>
    <col min="2" max="2" width="10.7109375" style="128" bestFit="1" customWidth="1"/>
    <col min="3" max="3" width="15.7109375" style="11" customWidth="1"/>
    <col min="4" max="5" width="18.7109375" style="11" bestFit="1" customWidth="1"/>
    <col min="6" max="6" width="18.5703125" style="11" bestFit="1" customWidth="1"/>
    <col min="7" max="16384" width="9.140625" style="11"/>
  </cols>
  <sheetData>
    <row r="1" spans="1:6" ht="14.25" customHeight="1" x14ac:dyDescent="0.25">
      <c r="A1" s="23"/>
      <c r="B1" s="160"/>
      <c r="C1" s="669" t="s">
        <v>66</v>
      </c>
      <c r="D1" s="669" t="s">
        <v>8</v>
      </c>
      <c r="E1" s="652" t="s">
        <v>19</v>
      </c>
    </row>
    <row r="2" spans="1:6" ht="14.25" customHeight="1" thickBot="1" x14ac:dyDescent="0.3">
      <c r="A2" s="24"/>
      <c r="B2" s="161"/>
      <c r="C2" s="692"/>
      <c r="D2" s="692"/>
      <c r="E2" s="653"/>
    </row>
    <row r="3" spans="1:6" ht="14.25" customHeight="1" x14ac:dyDescent="0.25">
      <c r="A3" s="616" t="s">
        <v>51</v>
      </c>
      <c r="B3" s="682" t="s">
        <v>52</v>
      </c>
      <c r="C3" s="719" t="s">
        <v>63</v>
      </c>
      <c r="D3" s="719" t="s">
        <v>8</v>
      </c>
      <c r="E3" s="653"/>
    </row>
    <row r="4" spans="1:6" ht="15" customHeight="1" thickBot="1" x14ac:dyDescent="0.3">
      <c r="A4" s="681"/>
      <c r="B4" s="683"/>
      <c r="C4" s="664"/>
      <c r="D4" s="664"/>
      <c r="E4" s="653"/>
    </row>
    <row r="5" spans="1:6" s="44" customFormat="1" ht="14.25" thickBot="1" x14ac:dyDescent="0.3">
      <c r="A5" s="25" t="s">
        <v>3</v>
      </c>
      <c r="B5" s="162">
        <v>42856</v>
      </c>
      <c r="C5" s="12"/>
      <c r="D5" s="18"/>
      <c r="E5" s="17">
        <f t="shared" ref="E5:E11" si="0">SUM(C5:D5)</f>
        <v>0</v>
      </c>
    </row>
    <row r="6" spans="1:6" s="44" customFormat="1" ht="14.25" thickBot="1" x14ac:dyDescent="0.3">
      <c r="A6" s="25" t="s">
        <v>4</v>
      </c>
      <c r="B6" s="176">
        <v>42948</v>
      </c>
      <c r="C6" s="12"/>
      <c r="D6" s="18"/>
      <c r="E6" s="17">
        <f t="shared" si="0"/>
        <v>0</v>
      </c>
    </row>
    <row r="7" spans="1:6" s="44" customFormat="1" ht="14.25" thickBot="1" x14ac:dyDescent="0.3">
      <c r="A7" s="25" t="s">
        <v>5</v>
      </c>
      <c r="B7" s="176">
        <f>B6+1</f>
        <v>42949</v>
      </c>
      <c r="C7" s="12"/>
      <c r="D7" s="18"/>
      <c r="E7" s="17">
        <f t="shared" si="0"/>
        <v>0</v>
      </c>
    </row>
    <row r="8" spans="1:6" s="44" customFormat="1" ht="14.25" thickBot="1" x14ac:dyDescent="0.3">
      <c r="A8" s="25" t="s">
        <v>6</v>
      </c>
      <c r="B8" s="176">
        <f>B7+1</f>
        <v>42950</v>
      </c>
      <c r="C8" s="12"/>
      <c r="D8" s="18"/>
      <c r="E8" s="17">
        <f t="shared" si="0"/>
        <v>0</v>
      </c>
      <c r="F8" s="146"/>
    </row>
    <row r="9" spans="1:6" s="44" customFormat="1" ht="14.25" thickBot="1" x14ac:dyDescent="0.3">
      <c r="A9" s="25" t="s">
        <v>0</v>
      </c>
      <c r="B9" s="176">
        <f>B8+1</f>
        <v>42951</v>
      </c>
      <c r="C9" s="12"/>
      <c r="D9" s="18"/>
      <c r="E9" s="17">
        <f t="shared" si="0"/>
        <v>0</v>
      </c>
      <c r="F9" s="146"/>
    </row>
    <row r="10" spans="1:6" s="44" customFormat="1" ht="14.25" customHeight="1" outlineLevel="1" thickBot="1" x14ac:dyDescent="0.3">
      <c r="A10" s="25" t="s">
        <v>1</v>
      </c>
      <c r="B10" s="176">
        <f>B9+1</f>
        <v>42952</v>
      </c>
      <c r="C10" s="18"/>
      <c r="D10" s="18"/>
      <c r="E10" s="17">
        <f t="shared" si="0"/>
        <v>0</v>
      </c>
      <c r="F10" s="146"/>
    </row>
    <row r="11" spans="1:6" s="44" customFormat="1" ht="15" customHeight="1" outlineLevel="1" thickBot="1" x14ac:dyDescent="0.3">
      <c r="A11" s="25" t="s">
        <v>2</v>
      </c>
      <c r="B11" s="176">
        <f>B10+1</f>
        <v>42953</v>
      </c>
      <c r="C11" s="21"/>
      <c r="D11" s="21"/>
      <c r="E11" s="17">
        <f t="shared" si="0"/>
        <v>0</v>
      </c>
      <c r="F11" s="146"/>
    </row>
    <row r="12" spans="1:6" s="45" customFormat="1" ht="15" customHeight="1" outlineLevel="1" thickBot="1" x14ac:dyDescent="0.3">
      <c r="A12" s="153" t="s">
        <v>21</v>
      </c>
      <c r="B12" s="677" t="s">
        <v>24</v>
      </c>
      <c r="C12" s="110">
        <f>SUM(C5:C11)</f>
        <v>0</v>
      </c>
      <c r="D12" s="110">
        <f>SUM(D5:D11)</f>
        <v>0</v>
      </c>
      <c r="E12" s="113">
        <f>SUM(E5:E11)</f>
        <v>0</v>
      </c>
    </row>
    <row r="13" spans="1:6" s="45" customFormat="1" ht="15" customHeight="1" outlineLevel="1" thickBot="1" x14ac:dyDescent="0.3">
      <c r="A13" s="105" t="s">
        <v>23</v>
      </c>
      <c r="B13" s="678"/>
      <c r="C13" s="106" t="e">
        <f>AVERAGE(C5:C11)</f>
        <v>#DIV/0!</v>
      </c>
      <c r="D13" s="106" t="e">
        <f>AVERAGE(D5:D11)</f>
        <v>#DIV/0!</v>
      </c>
      <c r="E13" s="109">
        <f>AVERAGE(E5:E11)</f>
        <v>0</v>
      </c>
    </row>
    <row r="14" spans="1:6" s="45" customFormat="1" ht="15" customHeight="1" thickBot="1" x14ac:dyDescent="0.3">
      <c r="A14" s="26" t="s">
        <v>20</v>
      </c>
      <c r="B14" s="678"/>
      <c r="C14" s="27">
        <f>SUM(C5:C9)</f>
        <v>0</v>
      </c>
      <c r="D14" s="27">
        <f>SUM(D5:D9)</f>
        <v>0</v>
      </c>
      <c r="E14" s="27">
        <f>SUM(E5:E9)</f>
        <v>0</v>
      </c>
    </row>
    <row r="15" spans="1:6" s="45" customFormat="1" ht="15" customHeight="1" thickBot="1" x14ac:dyDescent="0.3">
      <c r="A15" s="26" t="s">
        <v>22</v>
      </c>
      <c r="B15" s="678"/>
      <c r="C15" s="31" t="e">
        <f>AVERAGE(C5:C9)</f>
        <v>#DIV/0!</v>
      </c>
      <c r="D15" s="31" t="e">
        <f>AVERAGE(D5:D9)</f>
        <v>#DIV/0!</v>
      </c>
      <c r="E15" s="31">
        <f>AVERAGE(E5:E9)</f>
        <v>0</v>
      </c>
    </row>
    <row r="16" spans="1:6" s="45" customFormat="1" ht="15" customHeight="1" thickBot="1" x14ac:dyDescent="0.3">
      <c r="A16" s="25" t="s">
        <v>3</v>
      </c>
      <c r="B16" s="162">
        <f>B11+1</f>
        <v>42954</v>
      </c>
      <c r="C16" s="12"/>
      <c r="D16" s="13"/>
      <c r="E16" s="16">
        <f t="shared" ref="E16:E22" si="1">SUM(C16:D16)</f>
        <v>0</v>
      </c>
    </row>
    <row r="17" spans="1:6" s="45" customFormat="1" ht="15" customHeight="1" thickBot="1" x14ac:dyDescent="0.3">
      <c r="A17" s="25" t="s">
        <v>4</v>
      </c>
      <c r="B17" s="163">
        <f t="shared" ref="B17:B22" si="2">B16+1</f>
        <v>42955</v>
      </c>
      <c r="C17" s="12"/>
      <c r="D17" s="19"/>
      <c r="E17" s="17">
        <f t="shared" si="1"/>
        <v>0</v>
      </c>
    </row>
    <row r="18" spans="1:6" s="45" customFormat="1" ht="15" customHeight="1" thickBot="1" x14ac:dyDescent="0.3">
      <c r="A18" s="25" t="s">
        <v>5</v>
      </c>
      <c r="B18" s="163">
        <f t="shared" si="2"/>
        <v>42956</v>
      </c>
      <c r="C18" s="12"/>
      <c r="D18" s="19"/>
      <c r="E18" s="17">
        <f t="shared" si="1"/>
        <v>0</v>
      </c>
    </row>
    <row r="19" spans="1:6" s="45" customFormat="1" ht="15" customHeight="1" thickBot="1" x14ac:dyDescent="0.3">
      <c r="A19" s="25" t="s">
        <v>6</v>
      </c>
      <c r="B19" s="164">
        <f t="shared" si="2"/>
        <v>42957</v>
      </c>
      <c r="C19" s="12"/>
      <c r="D19" s="19"/>
      <c r="E19" s="17">
        <f t="shared" si="1"/>
        <v>0</v>
      </c>
    </row>
    <row r="20" spans="1:6" s="45" customFormat="1" ht="15" customHeight="1" thickBot="1" x14ac:dyDescent="0.3">
      <c r="A20" s="25" t="s">
        <v>0</v>
      </c>
      <c r="B20" s="164">
        <f t="shared" si="2"/>
        <v>42958</v>
      </c>
      <c r="C20" s="12"/>
      <c r="D20" s="19"/>
      <c r="E20" s="17">
        <f t="shared" si="1"/>
        <v>0</v>
      </c>
    </row>
    <row r="21" spans="1:6" s="45" customFormat="1" ht="15" customHeight="1" outlineLevel="1" thickBot="1" x14ac:dyDescent="0.3">
      <c r="A21" s="25" t="s">
        <v>1</v>
      </c>
      <c r="B21" s="176">
        <f t="shared" si="2"/>
        <v>42959</v>
      </c>
      <c r="C21" s="18"/>
      <c r="D21" s="19"/>
      <c r="E21" s="17">
        <f t="shared" si="1"/>
        <v>0</v>
      </c>
      <c r="F21" s="149"/>
    </row>
    <row r="22" spans="1:6" s="45" customFormat="1" ht="15" customHeight="1" outlineLevel="1" thickBot="1" x14ac:dyDescent="0.3">
      <c r="A22" s="25" t="s">
        <v>2</v>
      </c>
      <c r="B22" s="163">
        <f t="shared" si="2"/>
        <v>42960</v>
      </c>
      <c r="C22" s="21"/>
      <c r="D22" s="22"/>
      <c r="E22" s="62">
        <f t="shared" si="1"/>
        <v>0</v>
      </c>
    </row>
    <row r="23" spans="1:6" s="45" customFormat="1" ht="15" customHeight="1" outlineLevel="1" thickBot="1" x14ac:dyDescent="0.3">
      <c r="A23" s="153" t="s">
        <v>21</v>
      </c>
      <c r="B23" s="677" t="s">
        <v>25</v>
      </c>
      <c r="C23" s="110">
        <f>SUM(C16:C22)</f>
        <v>0</v>
      </c>
      <c r="D23" s="110">
        <f>SUM(D16:D22)</f>
        <v>0</v>
      </c>
      <c r="E23" s="110">
        <f>SUM(E16:E22)</f>
        <v>0</v>
      </c>
    </row>
    <row r="24" spans="1:6" s="45" customFormat="1" ht="15" customHeight="1" outlineLevel="1" thickBot="1" x14ac:dyDescent="0.3">
      <c r="A24" s="105" t="s">
        <v>23</v>
      </c>
      <c r="B24" s="678"/>
      <c r="C24" s="106" t="e">
        <f>AVERAGE(C16:C22)</f>
        <v>#DIV/0!</v>
      </c>
      <c r="D24" s="106" t="e">
        <f>AVERAGE(D16:D22)</f>
        <v>#DIV/0!</v>
      </c>
      <c r="E24" s="106">
        <f>AVERAGE(E16:E22)</f>
        <v>0</v>
      </c>
    </row>
    <row r="25" spans="1:6" s="45" customFormat="1" ht="15" customHeight="1" thickBot="1" x14ac:dyDescent="0.3">
      <c r="A25" s="26" t="s">
        <v>20</v>
      </c>
      <c r="B25" s="678"/>
      <c r="C25" s="27">
        <f>SUM(C16:C20)</f>
        <v>0</v>
      </c>
      <c r="D25" s="27">
        <f>SUM(D16:D20)</f>
        <v>0</v>
      </c>
      <c r="E25" s="27">
        <f>SUM(E16:E20)</f>
        <v>0</v>
      </c>
    </row>
    <row r="26" spans="1:6" s="45" customFormat="1" ht="15" customHeight="1" thickBot="1" x14ac:dyDescent="0.3">
      <c r="A26" s="26" t="s">
        <v>22</v>
      </c>
      <c r="B26" s="679"/>
      <c r="C26" s="31" t="e">
        <f>AVERAGE(C16:C20)</f>
        <v>#DIV/0!</v>
      </c>
      <c r="D26" s="31" t="e">
        <f>AVERAGE(D16:D20)</f>
        <v>#DIV/0!</v>
      </c>
      <c r="E26" s="31">
        <f>AVERAGE(E16:E20)</f>
        <v>0</v>
      </c>
    </row>
    <row r="27" spans="1:6" s="45" customFormat="1" ht="15" customHeight="1" thickBot="1" x14ac:dyDescent="0.3">
      <c r="A27" s="25" t="s">
        <v>3</v>
      </c>
      <c r="B27" s="165">
        <f>B22+1</f>
        <v>42961</v>
      </c>
      <c r="C27" s="12"/>
      <c r="D27" s="12"/>
      <c r="E27" s="16">
        <f t="shared" ref="E27:E33" si="3">SUM(C27:D27)</f>
        <v>0</v>
      </c>
    </row>
    <row r="28" spans="1:6" s="45" customFormat="1" ht="15" customHeight="1" thickBot="1" x14ac:dyDescent="0.3">
      <c r="A28" s="25" t="s">
        <v>4</v>
      </c>
      <c r="B28" s="166">
        <f t="shared" ref="B28:B33" si="4">B27+1</f>
        <v>42962</v>
      </c>
      <c r="C28" s="12"/>
      <c r="D28" s="18"/>
      <c r="E28" s="17">
        <f t="shared" si="3"/>
        <v>0</v>
      </c>
    </row>
    <row r="29" spans="1:6" s="45" customFormat="1" ht="15" customHeight="1" thickBot="1" x14ac:dyDescent="0.3">
      <c r="A29" s="25" t="s">
        <v>5</v>
      </c>
      <c r="B29" s="166">
        <f t="shared" si="4"/>
        <v>42963</v>
      </c>
      <c r="C29" s="12"/>
      <c r="D29" s="18"/>
      <c r="E29" s="17">
        <f t="shared" si="3"/>
        <v>0</v>
      </c>
    </row>
    <row r="30" spans="1:6" s="45" customFormat="1" ht="15" customHeight="1" thickBot="1" x14ac:dyDescent="0.3">
      <c r="A30" s="25" t="s">
        <v>6</v>
      </c>
      <c r="B30" s="166">
        <f t="shared" si="4"/>
        <v>42964</v>
      </c>
      <c r="C30" s="12"/>
      <c r="D30" s="18"/>
      <c r="E30" s="17">
        <f t="shared" si="3"/>
        <v>0</v>
      </c>
    </row>
    <row r="31" spans="1:6" s="45" customFormat="1" ht="15" customHeight="1" thickBot="1" x14ac:dyDescent="0.3">
      <c r="A31" s="25" t="s">
        <v>0</v>
      </c>
      <c r="B31" s="166">
        <f t="shared" si="4"/>
        <v>42965</v>
      </c>
      <c r="C31" s="12"/>
      <c r="D31" s="18"/>
      <c r="E31" s="17">
        <f t="shared" si="3"/>
        <v>0</v>
      </c>
    </row>
    <row r="32" spans="1:6" s="45" customFormat="1" ht="15" customHeight="1" outlineLevel="1" thickBot="1" x14ac:dyDescent="0.3">
      <c r="A32" s="25" t="s">
        <v>1</v>
      </c>
      <c r="B32" s="166">
        <f t="shared" si="4"/>
        <v>42966</v>
      </c>
      <c r="C32" s="18"/>
      <c r="D32" s="18"/>
      <c r="E32" s="17">
        <f t="shared" si="3"/>
        <v>0</v>
      </c>
    </row>
    <row r="33" spans="1:6" s="45" customFormat="1" ht="15" customHeight="1" outlineLevel="1" thickBot="1" x14ac:dyDescent="0.3">
      <c r="A33" s="25" t="s">
        <v>2</v>
      </c>
      <c r="B33" s="166">
        <f t="shared" si="4"/>
        <v>42967</v>
      </c>
      <c r="C33" s="21"/>
      <c r="D33" s="21"/>
      <c r="E33" s="62">
        <f t="shared" si="3"/>
        <v>0</v>
      </c>
      <c r="F33" s="149"/>
    </row>
    <row r="34" spans="1:6" s="45" customFormat="1" ht="15" customHeight="1" outlineLevel="1" thickBot="1" x14ac:dyDescent="0.3">
      <c r="A34" s="153" t="s">
        <v>21</v>
      </c>
      <c r="B34" s="677" t="s">
        <v>26</v>
      </c>
      <c r="C34" s="110">
        <f>SUM(C27:C33)</f>
        <v>0</v>
      </c>
      <c r="D34" s="110">
        <f>SUM(D27:D33)</f>
        <v>0</v>
      </c>
      <c r="E34" s="110">
        <f>SUM(E27:E33)</f>
        <v>0</v>
      </c>
    </row>
    <row r="35" spans="1:6" s="45" customFormat="1" ht="15" customHeight="1" outlineLevel="1" thickBot="1" x14ac:dyDescent="0.3">
      <c r="A35" s="105" t="s">
        <v>23</v>
      </c>
      <c r="B35" s="678"/>
      <c r="C35" s="106" t="e">
        <f>AVERAGE(C27:C33)</f>
        <v>#DIV/0!</v>
      </c>
      <c r="D35" s="106" t="e">
        <f>AVERAGE(D27:D33)</f>
        <v>#DIV/0!</v>
      </c>
      <c r="E35" s="106">
        <f>AVERAGE(E27:E33)</f>
        <v>0</v>
      </c>
    </row>
    <row r="36" spans="1:6" s="45" customFormat="1" ht="15" customHeight="1" thickBot="1" x14ac:dyDescent="0.3">
      <c r="A36" s="26" t="s">
        <v>20</v>
      </c>
      <c r="B36" s="678"/>
      <c r="C36" s="27">
        <f>SUM(C27:C31)</f>
        <v>0</v>
      </c>
      <c r="D36" s="27">
        <f>SUM(D27:D31)</f>
        <v>0</v>
      </c>
      <c r="E36" s="27">
        <f>SUM(E27:E31)</f>
        <v>0</v>
      </c>
    </row>
    <row r="37" spans="1:6" s="45" customFormat="1" ht="15" customHeight="1" thickBot="1" x14ac:dyDescent="0.3">
      <c r="A37" s="26" t="s">
        <v>22</v>
      </c>
      <c r="B37" s="679"/>
      <c r="C37" s="31" t="e">
        <f>AVERAGE(C27:C31)</f>
        <v>#DIV/0!</v>
      </c>
      <c r="D37" s="31" t="e">
        <f>AVERAGE(D27:D31)</f>
        <v>#DIV/0!</v>
      </c>
      <c r="E37" s="31">
        <f>AVERAGE(E27:E31)</f>
        <v>0</v>
      </c>
    </row>
    <row r="38" spans="1:6" s="45" customFormat="1" ht="15" customHeight="1" thickBot="1" x14ac:dyDescent="0.3">
      <c r="A38" s="25" t="s">
        <v>3</v>
      </c>
      <c r="B38" s="167">
        <f>B33+1</f>
        <v>42968</v>
      </c>
      <c r="C38" s="12"/>
      <c r="D38" s="12"/>
      <c r="E38" s="16">
        <f t="shared" ref="E38:E44" si="5">SUM(C38:D38)</f>
        <v>0</v>
      </c>
      <c r="F38" s="149"/>
    </row>
    <row r="39" spans="1:6" s="45" customFormat="1" ht="15" customHeight="1" thickBot="1" x14ac:dyDescent="0.3">
      <c r="A39" s="25" t="s">
        <v>4</v>
      </c>
      <c r="B39" s="168">
        <f t="shared" ref="B39:B44" si="6">B38+1</f>
        <v>42969</v>
      </c>
      <c r="C39" s="12"/>
      <c r="D39" s="18"/>
      <c r="E39" s="17">
        <f t="shared" si="5"/>
        <v>0</v>
      </c>
      <c r="F39" s="149"/>
    </row>
    <row r="40" spans="1:6" s="45" customFormat="1" ht="15" customHeight="1" thickBot="1" x14ac:dyDescent="0.3">
      <c r="A40" s="25" t="s">
        <v>5</v>
      </c>
      <c r="B40" s="168">
        <f t="shared" si="6"/>
        <v>42970</v>
      </c>
      <c r="C40" s="12"/>
      <c r="D40" s="18"/>
      <c r="E40" s="17">
        <f t="shared" si="5"/>
        <v>0</v>
      </c>
      <c r="F40" s="149"/>
    </row>
    <row r="41" spans="1:6" s="45" customFormat="1" ht="15" customHeight="1" thickBot="1" x14ac:dyDescent="0.3">
      <c r="A41" s="25" t="s">
        <v>6</v>
      </c>
      <c r="B41" s="168">
        <f t="shared" si="6"/>
        <v>42971</v>
      </c>
      <c r="C41" s="12"/>
      <c r="D41" s="18"/>
      <c r="E41" s="17">
        <f t="shared" si="5"/>
        <v>0</v>
      </c>
      <c r="F41" s="149"/>
    </row>
    <row r="42" spans="1:6" s="45" customFormat="1" ht="15" customHeight="1" thickBot="1" x14ac:dyDescent="0.3">
      <c r="A42" s="25" t="s">
        <v>0</v>
      </c>
      <c r="B42" s="168">
        <f t="shared" si="6"/>
        <v>42972</v>
      </c>
      <c r="C42" s="12"/>
      <c r="D42" s="18"/>
      <c r="E42" s="17">
        <f t="shared" si="5"/>
        <v>0</v>
      </c>
      <c r="F42" s="149"/>
    </row>
    <row r="43" spans="1:6" s="45" customFormat="1" ht="15" customHeight="1" outlineLevel="1" thickBot="1" x14ac:dyDescent="0.3">
      <c r="A43" s="25" t="s">
        <v>1</v>
      </c>
      <c r="B43" s="168">
        <f t="shared" si="6"/>
        <v>42973</v>
      </c>
      <c r="C43" s="18"/>
      <c r="D43" s="18"/>
      <c r="E43" s="17">
        <f t="shared" si="5"/>
        <v>0</v>
      </c>
      <c r="F43" s="149"/>
    </row>
    <row r="44" spans="1:6" s="45" customFormat="1" ht="15" customHeight="1" outlineLevel="1" thickBot="1" x14ac:dyDescent="0.3">
      <c r="A44" s="25" t="s">
        <v>2</v>
      </c>
      <c r="B44" s="168">
        <f t="shared" si="6"/>
        <v>42974</v>
      </c>
      <c r="C44" s="21"/>
      <c r="D44" s="21"/>
      <c r="E44" s="62">
        <f t="shared" si="5"/>
        <v>0</v>
      </c>
      <c r="F44" s="149"/>
    </row>
    <row r="45" spans="1:6" s="45" customFormat="1" ht="15" customHeight="1" outlineLevel="1" thickBot="1" x14ac:dyDescent="0.3">
      <c r="A45" s="153" t="s">
        <v>21</v>
      </c>
      <c r="B45" s="677" t="s">
        <v>27</v>
      </c>
      <c r="C45" s="110">
        <f>SUM(C38:C44)</f>
        <v>0</v>
      </c>
      <c r="D45" s="110">
        <f>SUM(D38:D44)</f>
        <v>0</v>
      </c>
      <c r="E45" s="110">
        <f>SUM(E38:E44)</f>
        <v>0</v>
      </c>
    </row>
    <row r="46" spans="1:6" s="45" customFormat="1" ht="15" customHeight="1" outlineLevel="1" thickBot="1" x14ac:dyDescent="0.3">
      <c r="A46" s="105" t="s">
        <v>23</v>
      </c>
      <c r="B46" s="678"/>
      <c r="C46" s="106" t="e">
        <f>AVERAGE(C38:C44)</f>
        <v>#DIV/0!</v>
      </c>
      <c r="D46" s="106" t="e">
        <f>AVERAGE(D38:D44)</f>
        <v>#DIV/0!</v>
      </c>
      <c r="E46" s="106">
        <f>AVERAGE(E38:E44)</f>
        <v>0</v>
      </c>
    </row>
    <row r="47" spans="1:6" s="45" customFormat="1" ht="15" customHeight="1" thickBot="1" x14ac:dyDescent="0.3">
      <c r="A47" s="26" t="s">
        <v>20</v>
      </c>
      <c r="B47" s="678"/>
      <c r="C47" s="27">
        <f>SUM(C38:C42)</f>
        <v>0</v>
      </c>
      <c r="D47" s="27">
        <f>SUM(D38:D42)</f>
        <v>0</v>
      </c>
      <c r="E47" s="27">
        <f>SUM(E38:E42)</f>
        <v>0</v>
      </c>
    </row>
    <row r="48" spans="1:6" s="45" customFormat="1" ht="15" customHeight="1" thickBot="1" x14ac:dyDescent="0.3">
      <c r="A48" s="26" t="s">
        <v>22</v>
      </c>
      <c r="B48" s="679"/>
      <c r="C48" s="31" t="e">
        <f>AVERAGE(C38:C42)</f>
        <v>#DIV/0!</v>
      </c>
      <c r="D48" s="31" t="e">
        <f>AVERAGE(D38:D42)</f>
        <v>#DIV/0!</v>
      </c>
      <c r="E48" s="31">
        <f>AVERAGE(E38:E42)</f>
        <v>0</v>
      </c>
    </row>
    <row r="49" spans="1:6" s="45" customFormat="1" ht="15" customHeight="1" thickBot="1" x14ac:dyDescent="0.3">
      <c r="A49" s="25" t="s">
        <v>3</v>
      </c>
      <c r="B49" s="167">
        <f>B44+1</f>
        <v>42975</v>
      </c>
      <c r="C49" s="49"/>
      <c r="D49" s="52"/>
      <c r="E49" s="17">
        <f t="shared" ref="E49:E55" si="7">SUM(C49:D49)</f>
        <v>0</v>
      </c>
      <c r="F49" s="149"/>
    </row>
    <row r="50" spans="1:6" s="45" customFormat="1" ht="15" customHeight="1" thickBot="1" x14ac:dyDescent="0.3">
      <c r="A50" s="145" t="s">
        <v>4</v>
      </c>
      <c r="B50" s="168">
        <f t="shared" ref="B50:B55" si="8">B49+1</f>
        <v>42976</v>
      </c>
      <c r="C50" s="12"/>
      <c r="D50" s="15"/>
      <c r="E50" s="17">
        <f t="shared" si="7"/>
        <v>0</v>
      </c>
      <c r="F50" s="149"/>
    </row>
    <row r="51" spans="1:6" s="45" customFormat="1" ht="13.5" customHeight="1" thickBot="1" x14ac:dyDescent="0.3">
      <c r="A51" s="145" t="s">
        <v>5</v>
      </c>
      <c r="B51" s="168">
        <f t="shared" si="8"/>
        <v>42977</v>
      </c>
      <c r="C51" s="12"/>
      <c r="D51" s="15"/>
      <c r="E51" s="17">
        <f t="shared" si="7"/>
        <v>0</v>
      </c>
      <c r="F51" s="149"/>
    </row>
    <row r="52" spans="1:6" s="45" customFormat="1" ht="15" customHeight="1" thickBot="1" x14ac:dyDescent="0.3">
      <c r="A52" s="145" t="s">
        <v>6</v>
      </c>
      <c r="B52" s="168">
        <f t="shared" si="8"/>
        <v>42978</v>
      </c>
      <c r="C52" s="12"/>
      <c r="D52" s="15"/>
      <c r="E52" s="17">
        <f t="shared" si="7"/>
        <v>0</v>
      </c>
      <c r="F52" s="149"/>
    </row>
    <row r="53" spans="1:6" s="45" customFormat="1" ht="14.25" thickBot="1" x14ac:dyDescent="0.3">
      <c r="A53" s="25" t="s">
        <v>0</v>
      </c>
      <c r="B53" s="170">
        <f t="shared" si="8"/>
        <v>42979</v>
      </c>
      <c r="C53" s="12"/>
      <c r="D53" s="15"/>
      <c r="E53" s="17">
        <f t="shared" si="7"/>
        <v>0</v>
      </c>
      <c r="F53" s="149"/>
    </row>
    <row r="54" spans="1:6" s="45" customFormat="1" ht="14.25" outlineLevel="1" thickBot="1" x14ac:dyDescent="0.3">
      <c r="A54" s="25" t="s">
        <v>1</v>
      </c>
      <c r="B54" s="170">
        <f t="shared" si="8"/>
        <v>42980</v>
      </c>
      <c r="C54" s="18"/>
      <c r="D54" s="18"/>
      <c r="E54" s="17">
        <f t="shared" si="7"/>
        <v>0</v>
      </c>
      <c r="F54" s="149"/>
    </row>
    <row r="55" spans="1:6" s="45" customFormat="1" ht="14.25" outlineLevel="1" thickBot="1" x14ac:dyDescent="0.3">
      <c r="A55" s="145" t="s">
        <v>2</v>
      </c>
      <c r="B55" s="170">
        <f t="shared" si="8"/>
        <v>42981</v>
      </c>
      <c r="C55" s="21"/>
      <c r="D55" s="21"/>
      <c r="E55" s="17">
        <f t="shared" si="7"/>
        <v>0</v>
      </c>
    </row>
    <row r="56" spans="1:6" s="45" customFormat="1" ht="15" customHeight="1" outlineLevel="1" thickBot="1" x14ac:dyDescent="0.3">
      <c r="A56" s="153" t="s">
        <v>21</v>
      </c>
      <c r="B56" s="677" t="s">
        <v>28</v>
      </c>
      <c r="C56" s="110">
        <f>SUM(C49:C55)</f>
        <v>0</v>
      </c>
      <c r="D56" s="110">
        <f>SUM(D49:D55)</f>
        <v>0</v>
      </c>
      <c r="E56" s="113">
        <f>SUM(E49:E55)</f>
        <v>0</v>
      </c>
    </row>
    <row r="57" spans="1:6" s="45" customFormat="1" ht="15" customHeight="1" outlineLevel="1" thickBot="1" x14ac:dyDescent="0.3">
      <c r="A57" s="105" t="s">
        <v>23</v>
      </c>
      <c r="B57" s="678"/>
      <c r="C57" s="106" t="e">
        <f>AVERAGE(C49:C55)</f>
        <v>#DIV/0!</v>
      </c>
      <c r="D57" s="106" t="e">
        <f>AVERAGE(D49:D55)</f>
        <v>#DIV/0!</v>
      </c>
      <c r="E57" s="109">
        <f>AVERAGE(E49:E55)</f>
        <v>0</v>
      </c>
    </row>
    <row r="58" spans="1:6" s="45" customFormat="1" ht="15" customHeight="1" thickBot="1" x14ac:dyDescent="0.3">
      <c r="A58" s="26" t="s">
        <v>20</v>
      </c>
      <c r="B58" s="678"/>
      <c r="C58" s="27">
        <f>SUM(C49:C53)</f>
        <v>0</v>
      </c>
      <c r="D58" s="27">
        <f>SUM(D49:D53)</f>
        <v>0</v>
      </c>
      <c r="E58" s="27">
        <f>SUM(E49:E53)</f>
        <v>0</v>
      </c>
    </row>
    <row r="59" spans="1:6" s="45" customFormat="1" ht="14.25" thickBot="1" x14ac:dyDescent="0.3">
      <c r="A59" s="26" t="s">
        <v>22</v>
      </c>
      <c r="B59" s="679"/>
      <c r="C59" s="31" t="e">
        <f>AVERAGE(C49:C53)</f>
        <v>#DIV/0!</v>
      </c>
      <c r="D59" s="31" t="e">
        <f>AVERAGE(D49:D53)</f>
        <v>#DIV/0!</v>
      </c>
      <c r="E59" s="31">
        <f>AVERAGE(E49:E53)</f>
        <v>0</v>
      </c>
    </row>
    <row r="60" spans="1:6" s="45" customFormat="1" ht="14.25" thickBot="1" x14ac:dyDescent="0.3">
      <c r="A60" s="145" t="s">
        <v>3</v>
      </c>
      <c r="B60" s="167">
        <f>B55+1</f>
        <v>42982</v>
      </c>
      <c r="C60" s="12"/>
      <c r="D60" s="12"/>
      <c r="E60" s="17">
        <f>SUM(C60:D60)</f>
        <v>0</v>
      </c>
    </row>
    <row r="61" spans="1:6" s="45" customFormat="1" ht="14.25" thickBot="1" x14ac:dyDescent="0.3">
      <c r="A61" s="145" t="s">
        <v>4</v>
      </c>
      <c r="B61" s="168">
        <f>B60+1</f>
        <v>42983</v>
      </c>
      <c r="C61" s="12"/>
      <c r="D61" s="18"/>
      <c r="E61" s="17"/>
    </row>
    <row r="62" spans="1:6" s="45" customFormat="1" ht="14.25" thickBot="1" x14ac:dyDescent="0.3">
      <c r="A62" s="145"/>
      <c r="B62" s="169"/>
      <c r="C62" s="12"/>
      <c r="D62" s="18"/>
      <c r="E62" s="17"/>
    </row>
    <row r="63" spans="1:6" s="45" customFormat="1" ht="14.25" thickBot="1" x14ac:dyDescent="0.3">
      <c r="A63" s="145"/>
      <c r="B63" s="169"/>
      <c r="C63" s="12"/>
      <c r="D63" s="18"/>
      <c r="E63" s="17"/>
    </row>
    <row r="64" spans="1:6" s="45" customFormat="1" ht="14.25" thickBot="1" x14ac:dyDescent="0.3">
      <c r="A64" s="25"/>
      <c r="B64" s="169"/>
      <c r="C64" s="12"/>
      <c r="D64" s="18"/>
      <c r="E64" s="17"/>
    </row>
    <row r="65" spans="1:6" s="45" customFormat="1" ht="14.25" thickBot="1" x14ac:dyDescent="0.3">
      <c r="A65" s="25"/>
      <c r="B65" s="169"/>
      <c r="C65" s="18"/>
      <c r="D65" s="18"/>
      <c r="E65" s="17"/>
    </row>
    <row r="66" spans="1:6" s="45" customFormat="1" ht="14.25" thickBot="1" x14ac:dyDescent="0.3">
      <c r="A66" s="25"/>
      <c r="B66" s="171"/>
      <c r="C66" s="21"/>
      <c r="D66" s="21"/>
      <c r="E66" s="62"/>
    </row>
    <row r="67" spans="1:6" s="45" customFormat="1" ht="14.25" thickBot="1" x14ac:dyDescent="0.3">
      <c r="A67" s="153" t="s">
        <v>21</v>
      </c>
      <c r="B67" s="677" t="s">
        <v>32</v>
      </c>
      <c r="C67" s="110">
        <f>SUM(C60:C66)</f>
        <v>0</v>
      </c>
      <c r="D67" s="110">
        <f>SUM(D60:D66)</f>
        <v>0</v>
      </c>
      <c r="E67" s="110">
        <f>SUM(E60:E66)</f>
        <v>0</v>
      </c>
    </row>
    <row r="68" spans="1:6" s="45" customFormat="1" ht="14.25" thickBot="1" x14ac:dyDescent="0.3">
      <c r="A68" s="105" t="s">
        <v>23</v>
      </c>
      <c r="B68" s="678"/>
      <c r="C68" s="106" t="e">
        <f>AVERAGE(C60:C66)</f>
        <v>#DIV/0!</v>
      </c>
      <c r="D68" s="106" t="e">
        <f>AVERAGE(D60:D66)</f>
        <v>#DIV/0!</v>
      </c>
      <c r="E68" s="106">
        <f>AVERAGE(E60:E66)</f>
        <v>0</v>
      </c>
    </row>
    <row r="69" spans="1:6" s="45" customFormat="1" ht="14.25" thickBot="1" x14ac:dyDescent="0.3">
      <c r="A69" s="26" t="s">
        <v>20</v>
      </c>
      <c r="B69" s="678"/>
      <c r="C69" s="27">
        <f>SUM(C60:C64)</f>
        <v>0</v>
      </c>
      <c r="D69" s="27">
        <f>SUM(D60:D64)</f>
        <v>0</v>
      </c>
      <c r="E69" s="27">
        <f>SUM(E60:E64)</f>
        <v>0</v>
      </c>
    </row>
    <row r="70" spans="1:6" s="45" customFormat="1" ht="14.25" thickBot="1" x14ac:dyDescent="0.3">
      <c r="A70" s="26" t="s">
        <v>22</v>
      </c>
      <c r="B70" s="679"/>
      <c r="C70" s="31" t="e">
        <f>AVERAGE(C60:C64)</f>
        <v>#DIV/0!</v>
      </c>
      <c r="D70" s="31" t="e">
        <f>AVERAGE(D60:D64)</f>
        <v>#DIV/0!</v>
      </c>
      <c r="E70" s="31">
        <f>AVERAGE(E60:E64)</f>
        <v>0</v>
      </c>
    </row>
    <row r="71" spans="1:6" s="45" customFormat="1" x14ac:dyDescent="0.25">
      <c r="A71" s="4"/>
      <c r="B71" s="127"/>
      <c r="C71" s="48"/>
      <c r="D71" s="48"/>
      <c r="E71" s="48"/>
    </row>
    <row r="72" spans="1:6" s="45" customFormat="1" x14ac:dyDescent="0.25">
      <c r="B72" s="178"/>
      <c r="C72" s="38" t="s">
        <v>65</v>
      </c>
      <c r="D72" s="38" t="s">
        <v>8</v>
      </c>
      <c r="E72" s="694" t="s">
        <v>71</v>
      </c>
      <c r="F72" s="696"/>
    </row>
    <row r="73" spans="1:6" ht="25.5" x14ac:dyDescent="0.25">
      <c r="A73" s="11"/>
      <c r="B73" s="40" t="s">
        <v>30</v>
      </c>
      <c r="C73" s="179">
        <f>SUM(C58:C58, C47:C47, C36:C36, C25:C25, C14:C14, C69:C69)</f>
        <v>0</v>
      </c>
      <c r="D73" s="37">
        <f>SUM(D69:D69, D58:D58, D47:D47, D36:D36, D25:D25, D14:D14)</f>
        <v>0</v>
      </c>
      <c r="E73" s="201" t="s">
        <v>30</v>
      </c>
      <c r="F73" s="102">
        <f>SUM(E14, E25, E36, E47, E58, E69)</f>
        <v>0</v>
      </c>
    </row>
    <row r="74" spans="1:6" ht="25.5" x14ac:dyDescent="0.25">
      <c r="A74" s="11"/>
      <c r="B74" s="40" t="s">
        <v>29</v>
      </c>
      <c r="C74" s="179">
        <f>SUM(C56:C56, C45:C45, C34:C34, C23:C23, C12:C12, C67:C67)</f>
        <v>0</v>
      </c>
      <c r="D74" s="37">
        <f>SUM(D67:D67, D56:D56, D45:D45, D34:D34, D23:D23, D12:D12)</f>
        <v>0</v>
      </c>
      <c r="E74" s="201" t="s">
        <v>29</v>
      </c>
      <c r="F74" s="103">
        <f>SUM(E56, E45, E34, E23, E12, E67)</f>
        <v>0</v>
      </c>
    </row>
    <row r="75" spans="1:6" x14ac:dyDescent="0.25">
      <c r="C75" s="128"/>
      <c r="E75" s="201" t="s">
        <v>22</v>
      </c>
      <c r="F75" s="103">
        <f>AVERAGE(E14, E25, E36, E47, E58, E69)</f>
        <v>0</v>
      </c>
    </row>
    <row r="76" spans="1:6" x14ac:dyDescent="0.25">
      <c r="C76" s="128"/>
      <c r="E76" s="201" t="s">
        <v>59</v>
      </c>
      <c r="F76" s="102">
        <f>AVERAGE(E56, E45, E34, E23, E12, E67)</f>
        <v>0</v>
      </c>
    </row>
    <row r="78" spans="1:6" x14ac:dyDescent="0.25">
      <c r="C78" s="147"/>
    </row>
  </sheetData>
  <mergeCells count="14">
    <mergeCell ref="E72:F72"/>
    <mergeCell ref="B56:B59"/>
    <mergeCell ref="B67:B70"/>
    <mergeCell ref="D1:D2"/>
    <mergeCell ref="E1:E4"/>
    <mergeCell ref="B12:B15"/>
    <mergeCell ref="B23:B26"/>
    <mergeCell ref="B34:B37"/>
    <mergeCell ref="B45:B48"/>
    <mergeCell ref="A3:A4"/>
    <mergeCell ref="B3:B4"/>
    <mergeCell ref="C3:C4"/>
    <mergeCell ref="D3:D4"/>
    <mergeCell ref="C1:C2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DB25BF1-C14E-40D4-BFA8-B126204A6B4C}"/>
</file>

<file path=customXml/itemProps2.xml><?xml version="1.0" encoding="utf-8"?>
<ds:datastoreItem xmlns:ds="http://schemas.openxmlformats.org/officeDocument/2006/customXml" ds:itemID="{A222E7F6-37C7-41A4-B4CA-9A8FA1CC0EFD}"/>
</file>

<file path=customXml/itemProps3.xml><?xml version="1.0" encoding="utf-8"?>
<ds:datastoreItem xmlns:ds="http://schemas.openxmlformats.org/officeDocument/2006/customXml" ds:itemID="{AA8BBCDC-B68F-4260-8616-7AC78192F2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Weekday Totals</vt:lpstr>
      <vt:lpstr>Sheet2</vt:lpstr>
      <vt:lpstr>Monthly Totals</vt:lpstr>
      <vt:lpstr>NYC Ferry</vt:lpstr>
      <vt:lpstr>NY Waterway-(Port Imperial FC)</vt:lpstr>
      <vt:lpstr>SeaStreak</vt:lpstr>
      <vt:lpstr>New York Water Taxi</vt:lpstr>
      <vt:lpstr>Liberty Landing Ferry</vt:lpstr>
      <vt:lpstr>Water Tours</vt:lpstr>
      <vt:lpstr>Baseball</vt:lpstr>
      <vt:lpstr>Sheet1</vt:lpstr>
      <vt:lpstr>Baseball!Print_Area</vt:lpstr>
      <vt:lpstr>'Monthly Totals'!Print_Area</vt:lpstr>
      <vt:lpstr>'NY Waterway-(Port Imperial FC)'!Print_Area</vt:lpstr>
      <vt:lpstr>'Weekday Totals'!Print_Area</vt:lpstr>
    </vt:vector>
  </TitlesOfParts>
  <Company>NYC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York Bergin</dc:creator>
  <cp:lastModifiedBy>Yuan, Hong</cp:lastModifiedBy>
  <cp:lastPrinted>2017-04-19T14:04:01Z</cp:lastPrinted>
  <dcterms:created xsi:type="dcterms:W3CDTF">2011-07-28T13:02:07Z</dcterms:created>
  <dcterms:modified xsi:type="dcterms:W3CDTF">2020-09-09T14:39:59Z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