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Private Ferry Ridership Counts\2020 PF Ridership\"/>
    </mc:Choice>
  </mc:AlternateContent>
  <bookViews>
    <workbookView xWindow="0" yWindow="0" windowWidth="28800" windowHeight="12135" tabRatio="65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FC)'!$A$1:$N$70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B67" i="4" l="1"/>
  <c r="G61" i="4"/>
  <c r="G17" i="4"/>
  <c r="G28" i="4"/>
  <c r="G39" i="4"/>
  <c r="G68" i="4" s="1"/>
  <c r="G50" i="4"/>
  <c r="C67" i="4"/>
  <c r="C68" i="4"/>
  <c r="B68" i="4"/>
  <c r="O68" i="10"/>
  <c r="K68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K50" i="6" s="1"/>
  <c r="AE52" i="10"/>
  <c r="AF52" i="10"/>
  <c r="AG52" i="10"/>
  <c r="AH52" i="10"/>
  <c r="AI52" i="10"/>
  <c r="AJ52" i="10"/>
  <c r="AK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D30" i="10"/>
  <c r="E30" i="10"/>
  <c r="F30" i="10"/>
  <c r="G30" i="10"/>
  <c r="G68" i="10" s="1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E56" i="6" s="1"/>
  <c r="AC30" i="10"/>
  <c r="E54" i="6" s="1"/>
  <c r="AD30" i="10"/>
  <c r="AE30" i="10"/>
  <c r="AF30" i="10"/>
  <c r="AG30" i="10"/>
  <c r="AH30" i="10"/>
  <c r="AI30" i="10"/>
  <c r="AJ30" i="10"/>
  <c r="AK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C30" i="10"/>
  <c r="C28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D19" i="10"/>
  <c r="E19" i="10"/>
  <c r="I68" i="10" s="1"/>
  <c r="F19" i="10"/>
  <c r="G19" i="10"/>
  <c r="H19" i="10"/>
  <c r="I19" i="10"/>
  <c r="J19" i="10"/>
  <c r="K19" i="10"/>
  <c r="L19" i="10"/>
  <c r="L68" i="10" s="1"/>
  <c r="M19" i="10"/>
  <c r="N19" i="10"/>
  <c r="O19" i="10"/>
  <c r="P19" i="10"/>
  <c r="Q19" i="10"/>
  <c r="R19" i="10"/>
  <c r="S19" i="10"/>
  <c r="T19" i="10"/>
  <c r="U19" i="10"/>
  <c r="P68" i="10" s="1"/>
  <c r="V19" i="10"/>
  <c r="W19" i="10"/>
  <c r="X19" i="10"/>
  <c r="Y19" i="10"/>
  <c r="R68" i="10" s="1"/>
  <c r="Z19" i="10"/>
  <c r="AA19" i="10"/>
  <c r="AB19" i="10"/>
  <c r="S68" i="10" s="1"/>
  <c r="AC19" i="10"/>
  <c r="T68" i="10" s="1"/>
  <c r="AD19" i="10"/>
  <c r="AE19" i="10"/>
  <c r="AF19" i="10"/>
  <c r="AG19" i="10"/>
  <c r="AH19" i="10"/>
  <c r="AI19" i="10"/>
  <c r="AJ19" i="10"/>
  <c r="AK19" i="10"/>
  <c r="W68" i="10" s="1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C29" i="10"/>
  <c r="C31" i="10"/>
  <c r="C39" i="10"/>
  <c r="C40" i="10"/>
  <c r="C41" i="10"/>
  <c r="C42" i="10"/>
  <c r="C50" i="10"/>
  <c r="C51" i="10"/>
  <c r="C52" i="10"/>
  <c r="C53" i="10"/>
  <c r="C19" i="10"/>
  <c r="C17" i="10"/>
  <c r="E50" i="6" l="1"/>
  <c r="B50" i="6"/>
  <c r="J68" i="10"/>
  <c r="E52" i="6"/>
  <c r="H52" i="6"/>
  <c r="K52" i="6"/>
  <c r="N52" i="6"/>
  <c r="E68" i="10"/>
  <c r="D68" i="10"/>
  <c r="B52" i="6"/>
  <c r="Q68" i="10"/>
  <c r="N68" i="10"/>
  <c r="H68" i="10"/>
  <c r="F68" i="10"/>
  <c r="M68" i="10"/>
  <c r="H50" i="6"/>
  <c r="N50" i="6"/>
  <c r="V68" i="10"/>
  <c r="U68" i="10"/>
  <c r="B24" i="14"/>
  <c r="B22" i="14"/>
  <c r="F81" i="5"/>
  <c r="F80" i="5"/>
  <c r="B60" i="6" l="1"/>
  <c r="N60" i="6"/>
  <c r="I68" i="3"/>
  <c r="W63" i="3"/>
  <c r="W47" i="3"/>
  <c r="W50" i="3" s="1"/>
  <c r="W48" i="3"/>
  <c r="W52" i="3"/>
  <c r="W42" i="3"/>
  <c r="W41" i="3"/>
  <c r="W39" i="3"/>
  <c r="W38" i="3"/>
  <c r="W34" i="3"/>
  <c r="W33" i="3"/>
  <c r="W32" i="3"/>
  <c r="W29" i="3"/>
  <c r="W31" i="3"/>
  <c r="W30" i="3"/>
  <c r="W28" i="3"/>
  <c r="W27" i="3"/>
  <c r="W26" i="3"/>
  <c r="W25" i="3"/>
  <c r="W17" i="3"/>
  <c r="W19" i="3"/>
  <c r="W23" i="3"/>
  <c r="W22" i="3"/>
  <c r="W21" i="3"/>
  <c r="W16" i="3"/>
  <c r="W15" i="3"/>
  <c r="W14" i="3"/>
  <c r="W13" i="3"/>
  <c r="W12" i="3"/>
  <c r="W11" i="3"/>
  <c r="W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6" i="4" l="1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W57" i="3" l="1"/>
  <c r="J64" i="3"/>
  <c r="J63" i="3"/>
  <c r="J62" i="3"/>
  <c r="J61" i="3"/>
  <c r="I67" i="3" s="1"/>
  <c r="J53" i="3"/>
  <c r="J52" i="3"/>
  <c r="J51" i="3"/>
  <c r="J50" i="3"/>
  <c r="J42" i="3"/>
  <c r="J41" i="3"/>
  <c r="J40" i="3"/>
  <c r="J39" i="3"/>
  <c r="I28" i="3" l="1"/>
  <c r="I29" i="3"/>
  <c r="I30" i="3"/>
  <c r="I31" i="3"/>
  <c r="I17" i="3"/>
  <c r="H67" i="3" s="1"/>
  <c r="I18" i="3"/>
  <c r="I19" i="3"/>
  <c r="H68" i="3" s="1"/>
  <c r="I20" i="3"/>
  <c r="I64" i="3"/>
  <c r="I63" i="3"/>
  <c r="I62" i="3"/>
  <c r="I61" i="3"/>
  <c r="I53" i="3"/>
  <c r="I52" i="3"/>
  <c r="I51" i="3"/>
  <c r="I50" i="3"/>
  <c r="I42" i="3"/>
  <c r="I41" i="3"/>
  <c r="I40" i="3"/>
  <c r="I39" i="3"/>
  <c r="D64" i="4" l="1"/>
  <c r="V61" i="3" l="1"/>
  <c r="W55" i="3"/>
  <c r="W56" i="3"/>
  <c r="W58" i="3"/>
  <c r="W60" i="3"/>
  <c r="W61" i="3" s="1"/>
  <c r="W54" i="3"/>
  <c r="W44" i="3"/>
  <c r="W45" i="3"/>
  <c r="W46" i="3"/>
  <c r="W49" i="3"/>
  <c r="W43" i="3"/>
  <c r="W35" i="3"/>
  <c r="W36" i="3"/>
  <c r="W37" i="3"/>
  <c r="W24" i="3"/>
  <c r="N67" i="3"/>
  <c r="W18" i="3" l="1"/>
  <c r="W40" i="3"/>
  <c r="B4" i="6"/>
  <c r="W53" i="3"/>
  <c r="W51" i="3"/>
  <c r="H4" i="6"/>
  <c r="E4" i="6"/>
  <c r="K4" i="6"/>
  <c r="W20" i="3"/>
  <c r="D53" i="3"/>
  <c r="E53" i="3"/>
  <c r="F53" i="3"/>
  <c r="G53" i="3"/>
  <c r="H53" i="3"/>
  <c r="K53" i="3"/>
  <c r="L53" i="3"/>
  <c r="M53" i="3"/>
  <c r="N53" i="3"/>
  <c r="O53" i="3"/>
  <c r="P53" i="3"/>
  <c r="Q53" i="3"/>
  <c r="R53" i="3"/>
  <c r="S53" i="3"/>
  <c r="T53" i="3"/>
  <c r="U53" i="3"/>
  <c r="V53" i="3"/>
  <c r="D52" i="3"/>
  <c r="E52" i="3"/>
  <c r="F52" i="3"/>
  <c r="G52" i="3"/>
  <c r="H52" i="3"/>
  <c r="K52" i="3"/>
  <c r="L52" i="3"/>
  <c r="M52" i="3"/>
  <c r="N52" i="3"/>
  <c r="O52" i="3"/>
  <c r="P52" i="3"/>
  <c r="Q52" i="3"/>
  <c r="R52" i="3"/>
  <c r="S52" i="3"/>
  <c r="T52" i="3"/>
  <c r="U52" i="3"/>
  <c r="V52" i="3"/>
  <c r="D51" i="3"/>
  <c r="E51" i="3"/>
  <c r="F51" i="3"/>
  <c r="G51" i="3"/>
  <c r="H51" i="3"/>
  <c r="K51" i="3"/>
  <c r="L51" i="3"/>
  <c r="M51" i="3"/>
  <c r="N51" i="3"/>
  <c r="O51" i="3"/>
  <c r="P51" i="3"/>
  <c r="Q51" i="3"/>
  <c r="R51" i="3"/>
  <c r="S51" i="3"/>
  <c r="T51" i="3"/>
  <c r="U51" i="3"/>
  <c r="V51" i="3"/>
  <c r="D50" i="3"/>
  <c r="E50" i="3"/>
  <c r="F50" i="3"/>
  <c r="G50" i="3"/>
  <c r="H50" i="3"/>
  <c r="K50" i="3"/>
  <c r="L50" i="3"/>
  <c r="M50" i="3"/>
  <c r="N50" i="3"/>
  <c r="O50" i="3"/>
  <c r="P50" i="3"/>
  <c r="Q50" i="3"/>
  <c r="R50" i="3"/>
  <c r="S50" i="3"/>
  <c r="T50" i="3"/>
  <c r="U50" i="3"/>
  <c r="V50" i="3"/>
  <c r="D42" i="3"/>
  <c r="E42" i="3"/>
  <c r="F42" i="3"/>
  <c r="G42" i="3"/>
  <c r="H42" i="3"/>
  <c r="K42" i="3"/>
  <c r="L42" i="3"/>
  <c r="M42" i="3"/>
  <c r="N42" i="3"/>
  <c r="O42" i="3"/>
  <c r="P42" i="3"/>
  <c r="Q42" i="3"/>
  <c r="R42" i="3"/>
  <c r="S42" i="3"/>
  <c r="T42" i="3"/>
  <c r="U42" i="3"/>
  <c r="V42" i="3"/>
  <c r="D41" i="3"/>
  <c r="E41" i="3"/>
  <c r="F41" i="3"/>
  <c r="G41" i="3"/>
  <c r="H41" i="3"/>
  <c r="K41" i="3"/>
  <c r="L41" i="3"/>
  <c r="M41" i="3"/>
  <c r="N41" i="3"/>
  <c r="O41" i="3"/>
  <c r="H22" i="6" s="1"/>
  <c r="P41" i="3"/>
  <c r="Q41" i="3"/>
  <c r="R41" i="3"/>
  <c r="S41" i="3"/>
  <c r="T41" i="3"/>
  <c r="U41" i="3"/>
  <c r="V41" i="3"/>
  <c r="D40" i="3"/>
  <c r="E40" i="3"/>
  <c r="F40" i="3"/>
  <c r="G40" i="3"/>
  <c r="H40" i="3"/>
  <c r="K40" i="3"/>
  <c r="L40" i="3"/>
  <c r="M40" i="3"/>
  <c r="N40" i="3"/>
  <c r="O40" i="3"/>
  <c r="P40" i="3"/>
  <c r="Q40" i="3"/>
  <c r="R40" i="3"/>
  <c r="S40" i="3"/>
  <c r="T40" i="3"/>
  <c r="U40" i="3"/>
  <c r="V40" i="3"/>
  <c r="D39" i="3"/>
  <c r="E39" i="3"/>
  <c r="F39" i="3"/>
  <c r="G39" i="3"/>
  <c r="H39" i="3"/>
  <c r="K39" i="3"/>
  <c r="L39" i="3"/>
  <c r="M39" i="3"/>
  <c r="N39" i="3"/>
  <c r="O39" i="3"/>
  <c r="P39" i="3"/>
  <c r="Q39" i="3"/>
  <c r="R39" i="3"/>
  <c r="S39" i="3"/>
  <c r="T39" i="3"/>
  <c r="U39" i="3"/>
  <c r="V39" i="3"/>
  <c r="D31" i="3"/>
  <c r="E31" i="3"/>
  <c r="F31" i="3"/>
  <c r="G31" i="3"/>
  <c r="H31" i="3"/>
  <c r="K31" i="3"/>
  <c r="L31" i="3"/>
  <c r="M31" i="3"/>
  <c r="N31" i="3"/>
  <c r="O31" i="3"/>
  <c r="P31" i="3"/>
  <c r="Q31" i="3"/>
  <c r="R31" i="3"/>
  <c r="S31" i="3"/>
  <c r="T31" i="3"/>
  <c r="U31" i="3"/>
  <c r="V31" i="3"/>
  <c r="D30" i="3"/>
  <c r="E30" i="3"/>
  <c r="F30" i="3"/>
  <c r="G30" i="3"/>
  <c r="H30" i="3"/>
  <c r="K30" i="3"/>
  <c r="E26" i="6" s="1"/>
  <c r="L30" i="3"/>
  <c r="M30" i="3"/>
  <c r="N30" i="3"/>
  <c r="O30" i="3"/>
  <c r="P30" i="3"/>
  <c r="Q30" i="3"/>
  <c r="R30" i="3"/>
  <c r="S30" i="3"/>
  <c r="T30" i="3"/>
  <c r="U30" i="3"/>
  <c r="V30" i="3"/>
  <c r="D29" i="3"/>
  <c r="E29" i="3"/>
  <c r="F29" i="3"/>
  <c r="G29" i="3"/>
  <c r="H29" i="3"/>
  <c r="K29" i="3"/>
  <c r="L29" i="3"/>
  <c r="M29" i="3"/>
  <c r="N29" i="3"/>
  <c r="O29" i="3"/>
  <c r="P29" i="3"/>
  <c r="Q29" i="3"/>
  <c r="R29" i="3"/>
  <c r="S29" i="3"/>
  <c r="T29" i="3"/>
  <c r="U29" i="3"/>
  <c r="V29" i="3"/>
  <c r="D28" i="3"/>
  <c r="E28" i="3"/>
  <c r="F28" i="3"/>
  <c r="G28" i="3"/>
  <c r="H28" i="3"/>
  <c r="K28" i="3"/>
  <c r="L28" i="3"/>
  <c r="M28" i="3"/>
  <c r="N28" i="3"/>
  <c r="O28" i="3"/>
  <c r="P28" i="3"/>
  <c r="Q28" i="3"/>
  <c r="R28" i="3"/>
  <c r="S28" i="3"/>
  <c r="T28" i="3"/>
  <c r="U28" i="3"/>
  <c r="V28" i="3"/>
  <c r="D20" i="3"/>
  <c r="E20" i="3"/>
  <c r="F20" i="3"/>
  <c r="G20" i="3"/>
  <c r="H20" i="3"/>
  <c r="K20" i="3"/>
  <c r="L20" i="3"/>
  <c r="M20" i="3"/>
  <c r="N20" i="3"/>
  <c r="O20" i="3"/>
  <c r="P20" i="3"/>
  <c r="Q20" i="3"/>
  <c r="R20" i="3"/>
  <c r="S20" i="3"/>
  <c r="T20" i="3"/>
  <c r="U20" i="3"/>
  <c r="V20" i="3"/>
  <c r="D19" i="3"/>
  <c r="E19" i="3"/>
  <c r="F19" i="3"/>
  <c r="G19" i="3"/>
  <c r="H19" i="3"/>
  <c r="K19" i="3"/>
  <c r="L19" i="3"/>
  <c r="M19" i="3"/>
  <c r="N19" i="3"/>
  <c r="O19" i="3"/>
  <c r="P19" i="3"/>
  <c r="Q19" i="3"/>
  <c r="R19" i="3"/>
  <c r="S19" i="3"/>
  <c r="T19" i="3"/>
  <c r="U19" i="3"/>
  <c r="V19" i="3"/>
  <c r="D18" i="3"/>
  <c r="E18" i="3"/>
  <c r="F18" i="3"/>
  <c r="G18" i="3"/>
  <c r="H18" i="3"/>
  <c r="K18" i="3"/>
  <c r="L18" i="3"/>
  <c r="M18" i="3"/>
  <c r="N18" i="3"/>
  <c r="O18" i="3"/>
  <c r="P18" i="3"/>
  <c r="Q18" i="3"/>
  <c r="R18" i="3"/>
  <c r="S18" i="3"/>
  <c r="T18" i="3"/>
  <c r="U18" i="3"/>
  <c r="V18" i="3"/>
  <c r="D17" i="3"/>
  <c r="E17" i="3"/>
  <c r="F17" i="3"/>
  <c r="G17" i="3"/>
  <c r="H17" i="3"/>
  <c r="K17" i="3"/>
  <c r="L17" i="3"/>
  <c r="M17" i="3"/>
  <c r="N17" i="3"/>
  <c r="O17" i="3"/>
  <c r="P17" i="3"/>
  <c r="Q17" i="3"/>
  <c r="R17" i="3"/>
  <c r="S17" i="3"/>
  <c r="T17" i="3"/>
  <c r="U17" i="3"/>
  <c r="V17" i="3"/>
  <c r="W64" i="3"/>
  <c r="V64" i="3"/>
  <c r="U64" i="3"/>
  <c r="T64" i="3"/>
  <c r="S64" i="3"/>
  <c r="R64" i="3"/>
  <c r="Q64" i="3"/>
  <c r="P64" i="3"/>
  <c r="O64" i="3"/>
  <c r="N4" i="6"/>
  <c r="V63" i="3"/>
  <c r="U63" i="3"/>
  <c r="T63" i="3"/>
  <c r="S63" i="3"/>
  <c r="R63" i="3"/>
  <c r="Q63" i="3"/>
  <c r="P63" i="3"/>
  <c r="O63" i="3"/>
  <c r="W62" i="3"/>
  <c r="V62" i="3"/>
  <c r="U62" i="3"/>
  <c r="T62" i="3"/>
  <c r="S62" i="3"/>
  <c r="R62" i="3"/>
  <c r="Q62" i="3"/>
  <c r="P62" i="3"/>
  <c r="O62" i="3"/>
  <c r="U61" i="3"/>
  <c r="T61" i="3"/>
  <c r="S61" i="3"/>
  <c r="R61" i="3"/>
  <c r="Q61" i="3"/>
  <c r="P61" i="3"/>
  <c r="O61" i="3"/>
  <c r="F68" i="3" l="1"/>
  <c r="B20" i="6"/>
  <c r="E68" i="3"/>
  <c r="G67" i="3"/>
  <c r="B22" i="6"/>
  <c r="G68" i="3"/>
  <c r="N69" i="3"/>
  <c r="N70" i="3"/>
  <c r="N68" i="3"/>
  <c r="H26" i="6"/>
  <c r="K22" i="6"/>
  <c r="E22" i="6"/>
  <c r="N22" i="6"/>
  <c r="G50" i="2"/>
  <c r="G51" i="2"/>
  <c r="G52" i="2"/>
  <c r="G53" i="2"/>
  <c r="H53" i="2"/>
  <c r="B4" i="14" l="1"/>
  <c r="K61" i="2" l="1"/>
  <c r="L49" i="2" l="1"/>
  <c r="K50" i="2"/>
  <c r="J50" i="2"/>
  <c r="I50" i="2"/>
  <c r="H50" i="2"/>
  <c r="F50" i="2"/>
  <c r="E50" i="2"/>
  <c r="C50" i="2"/>
  <c r="G39" i="2"/>
  <c r="E39" i="2"/>
  <c r="F39" i="2"/>
  <c r="L37" i="2"/>
  <c r="L38" i="2"/>
  <c r="F17" i="2" l="1"/>
  <c r="E28" i="2"/>
  <c r="C6" i="10" l="1"/>
  <c r="C61" i="10"/>
  <c r="AL38" i="10"/>
  <c r="AL37" i="10"/>
  <c r="AL36" i="10"/>
  <c r="AL35" i="10"/>
  <c r="AL34" i="10"/>
  <c r="AL33" i="10"/>
  <c r="AL32" i="10"/>
  <c r="AL27" i="10"/>
  <c r="AL26" i="10"/>
  <c r="AL25" i="10"/>
  <c r="AL24" i="10"/>
  <c r="AL23" i="10"/>
  <c r="AL22" i="10"/>
  <c r="AL21" i="10"/>
  <c r="AL16" i="10"/>
  <c r="AL15" i="10"/>
  <c r="AL14" i="10"/>
  <c r="AL13" i="10"/>
  <c r="AL12" i="10"/>
  <c r="AL11" i="10"/>
  <c r="AL10" i="10"/>
  <c r="AL6" i="10"/>
  <c r="B14" i="14"/>
  <c r="AL54" i="10"/>
  <c r="AL39" i="10" l="1"/>
  <c r="AL40" i="10"/>
  <c r="AL41" i="10"/>
  <c r="AL42" i="10"/>
  <c r="AL31" i="10"/>
  <c r="AL30" i="10"/>
  <c r="AL28" i="10"/>
  <c r="AL29" i="10"/>
  <c r="AL17" i="10"/>
  <c r="AL20" i="10"/>
  <c r="AL18" i="10"/>
  <c r="AL19" i="10"/>
  <c r="C7" i="5"/>
  <c r="C6" i="5"/>
  <c r="E7" i="2"/>
  <c r="F7" i="2"/>
  <c r="G7" i="2"/>
  <c r="H7" i="2"/>
  <c r="I7" i="2"/>
  <c r="J7" i="2"/>
  <c r="K7" i="2"/>
  <c r="E6" i="2"/>
  <c r="F6" i="2"/>
  <c r="G6" i="2"/>
  <c r="H6" i="2"/>
  <c r="I6" i="2"/>
  <c r="J6" i="2"/>
  <c r="K6" i="2"/>
  <c r="D7" i="2"/>
  <c r="D6" i="2"/>
  <c r="L7" i="2"/>
  <c r="AL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T7" i="10"/>
  <c r="U7" i="10"/>
  <c r="V7" i="10"/>
  <c r="W7" i="10"/>
  <c r="X7" i="10"/>
  <c r="Y7" i="10"/>
  <c r="Z7" i="10"/>
  <c r="AA7" i="10"/>
  <c r="AB7" i="10"/>
  <c r="AC7" i="10"/>
  <c r="AE7" i="10"/>
  <c r="AF7" i="10"/>
  <c r="AG7" i="10"/>
  <c r="AH7" i="10"/>
  <c r="AI7" i="10"/>
  <c r="AJ7" i="10"/>
  <c r="AK7" i="10"/>
  <c r="C8" i="10"/>
  <c r="C7" i="10"/>
  <c r="P6" i="10"/>
  <c r="O6" i="10"/>
  <c r="N6" i="10"/>
  <c r="M6" i="10"/>
  <c r="L6" i="10"/>
  <c r="K6" i="10"/>
  <c r="J6" i="10"/>
  <c r="I6" i="10"/>
  <c r="H6" i="10"/>
  <c r="G6" i="10"/>
  <c r="F6" i="10"/>
  <c r="J67" i="10" s="1"/>
  <c r="B40" i="14" s="1"/>
  <c r="E6" i="10"/>
  <c r="D6" i="10"/>
  <c r="AK6" i="10"/>
  <c r="AJ6" i="10"/>
  <c r="AI6" i="10"/>
  <c r="AH6" i="10"/>
  <c r="AG6" i="10"/>
  <c r="V67" i="10" s="1"/>
  <c r="AF6" i="10"/>
  <c r="U67" i="10" s="1"/>
  <c r="AE6" i="10"/>
  <c r="AC6" i="10"/>
  <c r="AB6" i="10"/>
  <c r="AA6" i="10"/>
  <c r="Z6" i="10"/>
  <c r="Y6" i="10"/>
  <c r="X6" i="10"/>
  <c r="W6" i="10"/>
  <c r="V6" i="10"/>
  <c r="U6" i="10"/>
  <c r="T6" i="10"/>
  <c r="R6" i="10"/>
  <c r="Q6" i="10"/>
  <c r="C9" i="5"/>
  <c r="C8" i="5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C7" i="2"/>
  <c r="C6" i="2"/>
  <c r="AL9" i="10"/>
  <c r="AK9" i="10"/>
  <c r="AJ9" i="10"/>
  <c r="AI9" i="10"/>
  <c r="AH9" i="10"/>
  <c r="AG9" i="10"/>
  <c r="AF9" i="10"/>
  <c r="AE9" i="10"/>
  <c r="AC9" i="10"/>
  <c r="AB9" i="10"/>
  <c r="AA9" i="10"/>
  <c r="Z9" i="10"/>
  <c r="Y9" i="10"/>
  <c r="X9" i="10"/>
  <c r="W9" i="10"/>
  <c r="V9" i="10"/>
  <c r="U9" i="10"/>
  <c r="T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L8" i="10"/>
  <c r="AK8" i="10"/>
  <c r="AJ8" i="10"/>
  <c r="AI8" i="10"/>
  <c r="AH8" i="10"/>
  <c r="AG8" i="10"/>
  <c r="AF8" i="10"/>
  <c r="AE8" i="10"/>
  <c r="AC8" i="10"/>
  <c r="AB8" i="10"/>
  <c r="AA8" i="10"/>
  <c r="Z8" i="10"/>
  <c r="Y8" i="10"/>
  <c r="X8" i="10"/>
  <c r="W8" i="10"/>
  <c r="V8" i="10"/>
  <c r="U8" i="10"/>
  <c r="T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67" i="10" l="1"/>
  <c r="E67" i="10"/>
  <c r="L6" i="2"/>
  <c r="AL49" i="10"/>
  <c r="AL48" i="10"/>
  <c r="F40" i="2" l="1"/>
  <c r="N64" i="6" l="1"/>
  <c r="N58" i="6"/>
  <c r="N44" i="6"/>
  <c r="N62" i="6"/>
  <c r="N70" i="6"/>
  <c r="N68" i="6"/>
  <c r="N66" i="6"/>
  <c r="N56" i="6"/>
  <c r="N54" i="6"/>
  <c r="K64" i="6"/>
  <c r="K58" i="6"/>
  <c r="K62" i="6"/>
  <c r="K70" i="6"/>
  <c r="K68" i="6"/>
  <c r="K66" i="6"/>
  <c r="K54" i="6"/>
  <c r="K60" i="6"/>
  <c r="H64" i="6"/>
  <c r="H58" i="6"/>
  <c r="H62" i="6"/>
  <c r="H70" i="6"/>
  <c r="H68" i="6"/>
  <c r="H66" i="6"/>
  <c r="H54" i="6"/>
  <c r="H60" i="6"/>
  <c r="E64" i="6"/>
  <c r="E58" i="6"/>
  <c r="E62" i="6"/>
  <c r="E70" i="6"/>
  <c r="E68" i="6"/>
  <c r="E66" i="6"/>
  <c r="B58" i="6"/>
  <c r="B54" i="14" l="1"/>
  <c r="Q67" i="10"/>
  <c r="B70" i="14" s="1"/>
  <c r="M67" i="10"/>
  <c r="B62" i="14" s="1"/>
  <c r="B56" i="14"/>
  <c r="N72" i="6"/>
  <c r="P67" i="10"/>
  <c r="B72" i="14" s="1"/>
  <c r="S67" i="10"/>
  <c r="B60" i="14" s="1"/>
  <c r="T67" i="10"/>
  <c r="B58" i="14" s="1"/>
  <c r="W67" i="10"/>
  <c r="B46" i="14" s="1"/>
  <c r="O67" i="10"/>
  <c r="B64" i="14" s="1"/>
  <c r="L67" i="10"/>
  <c r="B66" i="14" s="1"/>
  <c r="F67" i="10"/>
  <c r="B74" i="14" s="1"/>
  <c r="K67" i="10"/>
  <c r="R67" i="10"/>
  <c r="B68" i="14" s="1"/>
  <c r="N67" i="10"/>
  <c r="B48" i="14" s="1"/>
  <c r="D67" i="10"/>
  <c r="B62" i="6"/>
  <c r="E72" i="6"/>
  <c r="K72" i="6"/>
  <c r="B66" i="6"/>
  <c r="B70" i="6"/>
  <c r="B68" i="6"/>
  <c r="B54" i="6"/>
  <c r="B64" i="6"/>
  <c r="B72" i="6"/>
  <c r="H72" i="6"/>
  <c r="D64" i="2"/>
  <c r="E64" i="2"/>
  <c r="F64" i="2"/>
  <c r="G64" i="2"/>
  <c r="H64" i="2"/>
  <c r="I64" i="2"/>
  <c r="J64" i="2"/>
  <c r="K64" i="2"/>
  <c r="K63" i="2"/>
  <c r="N46" i="6" s="1"/>
  <c r="J63" i="2"/>
  <c r="I63" i="2"/>
  <c r="N48" i="6" s="1"/>
  <c r="H63" i="2"/>
  <c r="G63" i="2"/>
  <c r="N32" i="6" s="1"/>
  <c r="F63" i="2"/>
  <c r="N30" i="6" s="1"/>
  <c r="E63" i="2"/>
  <c r="D63" i="2"/>
  <c r="N28" i="6" s="1"/>
  <c r="D62" i="2"/>
  <c r="E62" i="2"/>
  <c r="F62" i="2"/>
  <c r="G62" i="2"/>
  <c r="H62" i="2"/>
  <c r="I62" i="2"/>
  <c r="J62" i="2"/>
  <c r="K62" i="2"/>
  <c r="J61" i="2"/>
  <c r="I61" i="2"/>
  <c r="H61" i="2"/>
  <c r="G61" i="2"/>
  <c r="F61" i="2"/>
  <c r="E61" i="2"/>
  <c r="D61" i="2"/>
  <c r="H52" i="2"/>
  <c r="I51" i="2" l="1"/>
  <c r="H51" i="2"/>
  <c r="I52" i="2"/>
  <c r="K48" i="6" s="1"/>
  <c r="I53" i="2"/>
  <c r="K53" i="2"/>
  <c r="J53" i="2"/>
  <c r="K52" i="2"/>
  <c r="J52" i="2"/>
  <c r="J51" i="2"/>
  <c r="K51" i="2"/>
  <c r="F41" i="2"/>
  <c r="E41" i="2"/>
  <c r="D39" i="2"/>
  <c r="D53" i="2"/>
  <c r="D52" i="2"/>
  <c r="D51" i="2"/>
  <c r="D50" i="2"/>
  <c r="E53" i="2"/>
  <c r="E52" i="2"/>
  <c r="E51" i="2"/>
  <c r="F53" i="2"/>
  <c r="F52" i="2"/>
  <c r="F51" i="2"/>
  <c r="G41" i="2"/>
  <c r="G40" i="2"/>
  <c r="J17" i="2" l="1"/>
  <c r="C63" i="5"/>
  <c r="C61" i="5"/>
  <c r="AL58" i="10"/>
  <c r="AL57" i="10"/>
  <c r="AL56" i="10"/>
  <c r="AL55" i="10"/>
  <c r="AL47" i="10"/>
  <c r="AL46" i="10"/>
  <c r="AL45" i="10"/>
  <c r="AL44" i="10"/>
  <c r="AL43" i="10"/>
  <c r="C50" i="5"/>
  <c r="C39" i="5"/>
  <c r="C28" i="5"/>
  <c r="C17" i="5"/>
  <c r="C72" i="5"/>
  <c r="C19" i="5"/>
  <c r="B26" i="6" s="1"/>
  <c r="C30" i="5"/>
  <c r="E10" i="6" s="1"/>
  <c r="C41" i="5"/>
  <c r="H10" i="6" s="1"/>
  <c r="C52" i="5"/>
  <c r="C74" i="5"/>
  <c r="D74" i="5" s="1"/>
  <c r="C62" i="5"/>
  <c r="C64" i="5"/>
  <c r="D72" i="5"/>
  <c r="C73" i="5"/>
  <c r="D73" i="5" s="1"/>
  <c r="C75" i="5"/>
  <c r="D75" i="5" s="1"/>
  <c r="AL59" i="10"/>
  <c r="E60" i="6"/>
  <c r="C63" i="10"/>
  <c r="C68" i="10" s="1"/>
  <c r="K17" i="2"/>
  <c r="L60" i="2"/>
  <c r="L59" i="2"/>
  <c r="L58" i="2"/>
  <c r="L57" i="2"/>
  <c r="L55" i="2"/>
  <c r="L54" i="2"/>
  <c r="L56" i="2"/>
  <c r="L48" i="2"/>
  <c r="L47" i="2"/>
  <c r="L46" i="2"/>
  <c r="L45" i="2"/>
  <c r="L44" i="2"/>
  <c r="L36" i="2"/>
  <c r="L35" i="2"/>
  <c r="L34" i="2"/>
  <c r="L33" i="2"/>
  <c r="L32" i="2"/>
  <c r="L27" i="2"/>
  <c r="L26" i="2"/>
  <c r="L25" i="2"/>
  <c r="L24" i="2"/>
  <c r="L23" i="2"/>
  <c r="L22" i="2"/>
  <c r="L21" i="2"/>
  <c r="L16" i="2"/>
  <c r="L15" i="2"/>
  <c r="L14" i="2"/>
  <c r="L13" i="2"/>
  <c r="L12" i="2"/>
  <c r="L10" i="2"/>
  <c r="K19" i="2"/>
  <c r="B46" i="6" s="1"/>
  <c r="J19" i="2"/>
  <c r="I19" i="2"/>
  <c r="B48" i="6" s="1"/>
  <c r="H19" i="2"/>
  <c r="I17" i="2"/>
  <c r="H17" i="2"/>
  <c r="F19" i="4"/>
  <c r="E19" i="4"/>
  <c r="D19" i="4"/>
  <c r="C19" i="4"/>
  <c r="G10" i="4"/>
  <c r="G11" i="4"/>
  <c r="G12" i="4"/>
  <c r="G13" i="4"/>
  <c r="G14" i="4"/>
  <c r="G15" i="4"/>
  <c r="G16" i="4"/>
  <c r="F17" i="4"/>
  <c r="E17" i="4"/>
  <c r="D17" i="4"/>
  <c r="C17" i="4"/>
  <c r="B56" i="6"/>
  <c r="B44" i="6"/>
  <c r="L43" i="2"/>
  <c r="C61" i="2"/>
  <c r="C62" i="2"/>
  <c r="C63" i="2"/>
  <c r="C64" i="2"/>
  <c r="C51" i="2"/>
  <c r="C52" i="2"/>
  <c r="C53" i="2"/>
  <c r="C39" i="2"/>
  <c r="C40" i="2"/>
  <c r="C41" i="2"/>
  <c r="C42" i="2"/>
  <c r="C28" i="2"/>
  <c r="C29" i="2"/>
  <c r="C30" i="2"/>
  <c r="C31" i="2"/>
  <c r="C17" i="2"/>
  <c r="C18" i="2"/>
  <c r="C19" i="2"/>
  <c r="C20" i="2"/>
  <c r="E20" i="4"/>
  <c r="F20" i="4"/>
  <c r="G21" i="4"/>
  <c r="J39" i="2"/>
  <c r="K72" i="2"/>
  <c r="K73" i="2"/>
  <c r="K74" i="2"/>
  <c r="K75" i="2"/>
  <c r="I72" i="2"/>
  <c r="I73" i="2"/>
  <c r="I74" i="2"/>
  <c r="I75" i="2"/>
  <c r="K46" i="6"/>
  <c r="K39" i="2"/>
  <c r="K40" i="2"/>
  <c r="K41" i="2"/>
  <c r="H46" i="6" s="1"/>
  <c r="K42" i="2"/>
  <c r="I39" i="2"/>
  <c r="I40" i="2"/>
  <c r="I41" i="2"/>
  <c r="H48" i="6" s="1"/>
  <c r="I42" i="2"/>
  <c r="K28" i="2"/>
  <c r="K29" i="2"/>
  <c r="K30" i="2"/>
  <c r="E46" i="6" s="1"/>
  <c r="K31" i="2"/>
  <c r="I28" i="2"/>
  <c r="I29" i="2"/>
  <c r="I30" i="2"/>
  <c r="E48" i="6" s="1"/>
  <c r="I31" i="2"/>
  <c r="K20" i="2"/>
  <c r="K18" i="2"/>
  <c r="I20" i="2"/>
  <c r="I18" i="2"/>
  <c r="J28" i="2"/>
  <c r="J29" i="2"/>
  <c r="C61" i="4"/>
  <c r="D61" i="4"/>
  <c r="E61" i="4"/>
  <c r="F61" i="4"/>
  <c r="G60" i="4"/>
  <c r="G59" i="4"/>
  <c r="G58" i="4"/>
  <c r="G57" i="4"/>
  <c r="G56" i="4"/>
  <c r="G55" i="4"/>
  <c r="G54" i="4"/>
  <c r="C50" i="4"/>
  <c r="D50" i="4"/>
  <c r="E50" i="4"/>
  <c r="F50" i="4"/>
  <c r="G49" i="4"/>
  <c r="G48" i="4"/>
  <c r="G47" i="4"/>
  <c r="G46" i="4"/>
  <c r="G45" i="4"/>
  <c r="G44" i="4"/>
  <c r="G43" i="4"/>
  <c r="G32" i="4"/>
  <c r="C30" i="4"/>
  <c r="E18" i="6" s="1"/>
  <c r="D30" i="4"/>
  <c r="E30" i="4"/>
  <c r="F30" i="4"/>
  <c r="C28" i="4"/>
  <c r="D28" i="4"/>
  <c r="E28" i="4"/>
  <c r="F28" i="4"/>
  <c r="G27" i="4"/>
  <c r="G26" i="4"/>
  <c r="G25" i="4"/>
  <c r="G24" i="4"/>
  <c r="G23" i="4"/>
  <c r="G22" i="4"/>
  <c r="F63" i="4"/>
  <c r="E63" i="4"/>
  <c r="D63" i="4"/>
  <c r="C63" i="4"/>
  <c r="F52" i="4"/>
  <c r="E52" i="4"/>
  <c r="D52" i="4"/>
  <c r="C52" i="4"/>
  <c r="E41" i="4"/>
  <c r="G38" i="4"/>
  <c r="G37" i="4"/>
  <c r="G36" i="4"/>
  <c r="G35" i="4"/>
  <c r="G34" i="4"/>
  <c r="G33" i="4"/>
  <c r="C20" i="3"/>
  <c r="C19" i="3"/>
  <c r="D68" i="3" s="1"/>
  <c r="C52" i="3"/>
  <c r="K18" i="6" s="1"/>
  <c r="C50" i="3"/>
  <c r="G67" i="10"/>
  <c r="B42" i="14" s="1"/>
  <c r="N42" i="6"/>
  <c r="N40" i="6"/>
  <c r="N34" i="6"/>
  <c r="N36" i="6"/>
  <c r="N38" i="6"/>
  <c r="I67" i="10"/>
  <c r="B38" i="14" s="1"/>
  <c r="C42" i="3"/>
  <c r="C41" i="3"/>
  <c r="K56" i="6"/>
  <c r="K44" i="6"/>
  <c r="K42" i="6"/>
  <c r="K40" i="6"/>
  <c r="K38" i="6"/>
  <c r="K36" i="6"/>
  <c r="K34" i="6"/>
  <c r="H44" i="6"/>
  <c r="H42" i="6"/>
  <c r="H40" i="6"/>
  <c r="H38" i="6"/>
  <c r="H36" i="6"/>
  <c r="H34" i="6"/>
  <c r="H39" i="2"/>
  <c r="H41" i="2"/>
  <c r="F41" i="4"/>
  <c r="D41" i="4"/>
  <c r="C41" i="4"/>
  <c r="H20" i="6"/>
  <c r="C30" i="3"/>
  <c r="C29" i="3"/>
  <c r="C28" i="3"/>
  <c r="E39" i="4"/>
  <c r="C18" i="4"/>
  <c r="D18" i="4"/>
  <c r="E18" i="4"/>
  <c r="F18" i="4"/>
  <c r="C20" i="4"/>
  <c r="D20" i="4"/>
  <c r="D29" i="4"/>
  <c r="E29" i="4"/>
  <c r="C29" i="4"/>
  <c r="C42" i="4"/>
  <c r="D42" i="4"/>
  <c r="F42" i="4"/>
  <c r="E40" i="4"/>
  <c r="F40" i="4"/>
  <c r="C40" i="4"/>
  <c r="D40" i="4"/>
  <c r="D51" i="4"/>
  <c r="C51" i="4"/>
  <c r="C53" i="4"/>
  <c r="F53" i="4"/>
  <c r="C62" i="4"/>
  <c r="D62" i="4"/>
  <c r="E64" i="4"/>
  <c r="F62" i="4"/>
  <c r="F64" i="4"/>
  <c r="E53" i="4"/>
  <c r="D53" i="4"/>
  <c r="F51" i="4"/>
  <c r="F39" i="4"/>
  <c r="F31" i="4"/>
  <c r="E51" i="4"/>
  <c r="E31" i="4"/>
  <c r="C64" i="4"/>
  <c r="E62" i="4"/>
  <c r="E42" i="4"/>
  <c r="D39" i="4"/>
  <c r="D31" i="4"/>
  <c r="F29" i="4"/>
  <c r="C39" i="4"/>
  <c r="C31" i="4"/>
  <c r="F19" i="2"/>
  <c r="B30" i="6" s="1"/>
  <c r="E19" i="2"/>
  <c r="D19" i="2"/>
  <c r="B28" i="6" s="1"/>
  <c r="E17" i="2"/>
  <c r="D17" i="2"/>
  <c r="E44" i="6"/>
  <c r="E42" i="6"/>
  <c r="E40" i="6"/>
  <c r="E38" i="6"/>
  <c r="E36" i="6"/>
  <c r="J30" i="2"/>
  <c r="J31" i="2"/>
  <c r="H31" i="2"/>
  <c r="H30" i="2"/>
  <c r="G31" i="2"/>
  <c r="G30" i="2"/>
  <c r="E32" i="6" s="1"/>
  <c r="F31" i="2"/>
  <c r="F30" i="2"/>
  <c r="E30" i="6" s="1"/>
  <c r="E30" i="2"/>
  <c r="E31" i="2"/>
  <c r="D31" i="2"/>
  <c r="D30" i="2"/>
  <c r="E28" i="6" s="1"/>
  <c r="D29" i="2"/>
  <c r="D28" i="2"/>
  <c r="J20" i="2"/>
  <c r="H20" i="2"/>
  <c r="F20" i="2"/>
  <c r="E20" i="2"/>
  <c r="D20" i="2"/>
  <c r="C20" i="10"/>
  <c r="K32" i="6"/>
  <c r="H32" i="6"/>
  <c r="G42" i="2"/>
  <c r="F18" i="2"/>
  <c r="G29" i="2"/>
  <c r="G28" i="2"/>
  <c r="J18" i="2"/>
  <c r="J40" i="2"/>
  <c r="J41" i="2"/>
  <c r="J42" i="2"/>
  <c r="J72" i="2"/>
  <c r="J73" i="2"/>
  <c r="J74" i="2"/>
  <c r="J75" i="2"/>
  <c r="H56" i="6"/>
  <c r="B21" i="2"/>
  <c r="B22" i="2" s="1"/>
  <c r="B23" i="2" s="1"/>
  <c r="B24" i="2" s="1"/>
  <c r="B25" i="2" s="1"/>
  <c r="B26" i="2" s="1"/>
  <c r="B27" i="2" s="1"/>
  <c r="B32" i="2" s="1"/>
  <c r="B33" i="2" s="1"/>
  <c r="B34" i="2" s="1"/>
  <c r="B35" i="2" s="1"/>
  <c r="B36" i="2" s="1"/>
  <c r="B37" i="2" s="1"/>
  <c r="H61" i="3"/>
  <c r="E67" i="3" s="1"/>
  <c r="H62" i="3"/>
  <c r="H63" i="3"/>
  <c r="H64" i="3"/>
  <c r="E61" i="3"/>
  <c r="E62" i="3"/>
  <c r="E63" i="3"/>
  <c r="E64" i="3"/>
  <c r="H18" i="2"/>
  <c r="D18" i="2"/>
  <c r="C18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1" i="4"/>
  <c r="B22" i="4" s="1"/>
  <c r="B23" i="4" s="1"/>
  <c r="B24" i="4" s="1"/>
  <c r="B25" i="4" s="1"/>
  <c r="B26" i="4" s="1"/>
  <c r="B27" i="4" s="1"/>
  <c r="B32" i="4" s="1"/>
  <c r="B33" i="4" s="1"/>
  <c r="B34" i="4" s="1"/>
  <c r="B35" i="4" s="1"/>
  <c r="B36" i="4" s="1"/>
  <c r="B37" i="4" s="1"/>
  <c r="B38" i="4" s="1"/>
  <c r="B43" i="4" s="1"/>
  <c r="B44" i="4" s="1"/>
  <c r="B45" i="4" s="1"/>
  <c r="B46" i="4" s="1"/>
  <c r="B47" i="4" s="1"/>
  <c r="B48" i="4" s="1"/>
  <c r="B49" i="4" s="1"/>
  <c r="B54" i="4" s="1"/>
  <c r="B55" i="4" s="1"/>
  <c r="B56" i="4" s="1"/>
  <c r="B57" i="4" s="1"/>
  <c r="B58" i="4" s="1"/>
  <c r="B59" i="4" s="1"/>
  <c r="B60" i="4" s="1"/>
  <c r="B21" i="5"/>
  <c r="B22" i="5" s="1"/>
  <c r="B23" i="5" s="1"/>
  <c r="B24" i="5" s="1"/>
  <c r="B25" i="5" s="1"/>
  <c r="B26" i="5" s="1"/>
  <c r="B27" i="5" s="1"/>
  <c r="B32" i="5" s="1"/>
  <c r="B33" i="5" s="1"/>
  <c r="B34" i="5" s="1"/>
  <c r="B35" i="5" s="1"/>
  <c r="B36" i="5" s="1"/>
  <c r="B37" i="5" s="1"/>
  <c r="B38" i="5" s="1"/>
  <c r="B43" i="5" s="1"/>
  <c r="B44" i="5" s="1"/>
  <c r="B45" i="5" s="1"/>
  <c r="B46" i="5" s="1"/>
  <c r="B47" i="5" s="1"/>
  <c r="B48" i="5" s="1"/>
  <c r="B49" i="5" s="1"/>
  <c r="B54" i="5" s="1"/>
  <c r="B55" i="5" s="1"/>
  <c r="B56" i="5" s="1"/>
  <c r="B57" i="5" s="1"/>
  <c r="B58" i="5" s="1"/>
  <c r="B59" i="5" s="1"/>
  <c r="B60" i="5" s="1"/>
  <c r="B65" i="5" s="1"/>
  <c r="B66" i="5" s="1"/>
  <c r="B67" i="5" s="1"/>
  <c r="B68" i="5" s="1"/>
  <c r="B69" i="5" s="1"/>
  <c r="B70" i="5" s="1"/>
  <c r="B71" i="5" s="1"/>
  <c r="B21" i="3"/>
  <c r="B22" i="3" s="1"/>
  <c r="B23" i="3" s="1"/>
  <c r="B24" i="3" s="1"/>
  <c r="B25" i="3" s="1"/>
  <c r="B26" i="3" s="1"/>
  <c r="B27" i="3" s="1"/>
  <c r="B32" i="3" s="1"/>
  <c r="B33" i="3" s="1"/>
  <c r="B34" i="3" s="1"/>
  <c r="B35" i="3" s="1"/>
  <c r="B36" i="3" s="1"/>
  <c r="B37" i="3" s="1"/>
  <c r="B38" i="3" s="1"/>
  <c r="B43" i="3" s="1"/>
  <c r="B44" i="3" s="1"/>
  <c r="B45" i="3" s="1"/>
  <c r="B46" i="3" s="1"/>
  <c r="B47" i="3" s="1"/>
  <c r="B48" i="3" s="1"/>
  <c r="B49" i="3" s="1"/>
  <c r="B54" i="3" s="1"/>
  <c r="B55" i="3" s="1"/>
  <c r="B56" i="3" s="1"/>
  <c r="B57" i="3" s="1"/>
  <c r="B58" i="3" s="1"/>
  <c r="B59" i="3" s="1"/>
  <c r="B60" i="3" s="1"/>
  <c r="D69" i="11"/>
  <c r="C63" i="3"/>
  <c r="D63" i="3"/>
  <c r="F74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61" i="3"/>
  <c r="D61" i="3"/>
  <c r="F72" i="2"/>
  <c r="C12" i="11"/>
  <c r="C67" i="11"/>
  <c r="C23" i="11"/>
  <c r="C34" i="11"/>
  <c r="C45" i="11"/>
  <c r="L66" i="2"/>
  <c r="L65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40" i="5"/>
  <c r="C42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K63" i="3"/>
  <c r="L63" i="3"/>
  <c r="M63" i="3"/>
  <c r="N63" i="3"/>
  <c r="E20" i="6"/>
  <c r="K20" i="6"/>
  <c r="K61" i="3"/>
  <c r="F67" i="3" s="1"/>
  <c r="L61" i="3"/>
  <c r="M61" i="3"/>
  <c r="N61" i="3"/>
  <c r="C17" i="3"/>
  <c r="C39" i="3"/>
  <c r="C64" i="10"/>
  <c r="C62" i="10"/>
  <c r="C18" i="10"/>
  <c r="G55" i="8"/>
  <c r="G56" i="8"/>
  <c r="G54" i="8"/>
  <c r="G10" i="8"/>
  <c r="B55" i="8"/>
  <c r="G33" i="8"/>
  <c r="G32" i="8"/>
  <c r="C53" i="3"/>
  <c r="C59" i="8"/>
  <c r="H28" i="2"/>
  <c r="C51" i="3"/>
  <c r="C37" i="8"/>
  <c r="C20" i="5"/>
  <c r="F73" i="2"/>
  <c r="F75" i="2"/>
  <c r="H40" i="2"/>
  <c r="H42" i="2"/>
  <c r="C53" i="5"/>
  <c r="D12" i="8"/>
  <c r="E72" i="2"/>
  <c r="H72" i="2"/>
  <c r="E73" i="2"/>
  <c r="H73" i="2"/>
  <c r="E74" i="2"/>
  <c r="H74" i="2"/>
  <c r="E75" i="2"/>
  <c r="H75" i="2"/>
  <c r="G21" i="8"/>
  <c r="G22" i="8"/>
  <c r="G24" i="8"/>
  <c r="G43" i="8"/>
  <c r="G44" i="8"/>
  <c r="G11" i="8"/>
  <c r="G13" i="8"/>
  <c r="E40" i="2"/>
  <c r="E42" i="2"/>
  <c r="F42" i="2"/>
  <c r="E29" i="2"/>
  <c r="H29" i="2"/>
  <c r="E18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0" i="2"/>
  <c r="D41" i="2"/>
  <c r="H28" i="6" s="1"/>
  <c r="D42" i="2"/>
  <c r="K28" i="6"/>
  <c r="C18" i="3"/>
  <c r="D74" i="2"/>
  <c r="C31" i="5"/>
  <c r="C64" i="3"/>
  <c r="C62" i="3"/>
  <c r="C40" i="3"/>
  <c r="C31" i="3"/>
  <c r="D73" i="2"/>
  <c r="D72" i="2"/>
  <c r="D75" i="2"/>
  <c r="C51" i="5"/>
  <c r="C29" i="5"/>
  <c r="N62" i="3"/>
  <c r="M62" i="3"/>
  <c r="L62" i="3"/>
  <c r="K62" i="3"/>
  <c r="G62" i="3"/>
  <c r="F62" i="3"/>
  <c r="D62" i="3"/>
  <c r="G61" i="3"/>
  <c r="F61" i="3"/>
  <c r="N64" i="3"/>
  <c r="M64" i="3"/>
  <c r="L64" i="3"/>
  <c r="K64" i="3"/>
  <c r="G64" i="3"/>
  <c r="F64" i="3"/>
  <c r="D64" i="3"/>
  <c r="G63" i="3"/>
  <c r="F63" i="3"/>
  <c r="G74" i="8"/>
  <c r="D73" i="8"/>
  <c r="G34" i="8"/>
  <c r="G35" i="8"/>
  <c r="G12" i="8"/>
  <c r="C74" i="8"/>
  <c r="G75" i="8"/>
  <c r="G73" i="8"/>
  <c r="B21" i="10"/>
  <c r="B22" i="10" s="1"/>
  <c r="B23" i="10" s="1"/>
  <c r="B24" i="10" s="1"/>
  <c r="B25" i="10" s="1"/>
  <c r="B26" i="10" s="1"/>
  <c r="B27" i="10" s="1"/>
  <c r="B32" i="10" s="1"/>
  <c r="B33" i="10" s="1"/>
  <c r="B34" i="10" s="1"/>
  <c r="B35" i="10" s="1"/>
  <c r="B36" i="10" s="1"/>
  <c r="B37" i="10" s="1"/>
  <c r="B38" i="10" s="1"/>
  <c r="B43" i="10" s="1"/>
  <c r="B44" i="10" s="1"/>
  <c r="B45" i="10" s="1"/>
  <c r="B46" i="10" s="1"/>
  <c r="B47" i="10" s="1"/>
  <c r="B48" i="10" s="1"/>
  <c r="B49" i="10" s="1"/>
  <c r="B54" i="10" s="1"/>
  <c r="B55" i="10" s="1"/>
  <c r="B56" i="10" s="1"/>
  <c r="B57" i="10" s="1"/>
  <c r="B58" i="10" s="1"/>
  <c r="B59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9" i="2"/>
  <c r="F28" i="2"/>
  <c r="AL63" i="10" l="1"/>
  <c r="AL62" i="10"/>
  <c r="E74" i="10" s="1"/>
  <c r="AL61" i="10"/>
  <c r="AL64" i="10"/>
  <c r="AL50" i="10"/>
  <c r="AL51" i="10"/>
  <c r="AL52" i="10"/>
  <c r="E73" i="10" s="1"/>
  <c r="AL53" i="10"/>
  <c r="E75" i="10" s="1"/>
  <c r="B18" i="6"/>
  <c r="H18" i="6"/>
  <c r="K10" i="6"/>
  <c r="K26" i="6"/>
  <c r="D67" i="3"/>
  <c r="N18" i="6"/>
  <c r="N26" i="6"/>
  <c r="N20" i="6"/>
  <c r="B60" i="10"/>
  <c r="N10" i="6"/>
  <c r="B38" i="2"/>
  <c r="B43" i="2" s="1"/>
  <c r="B44" i="2" s="1"/>
  <c r="B45" i="2" s="1"/>
  <c r="B46" i="2" s="1"/>
  <c r="B47" i="2" s="1"/>
  <c r="B48" i="2" s="1"/>
  <c r="B49" i="2" s="1"/>
  <c r="B54" i="2" s="1"/>
  <c r="B55" i="2" s="1"/>
  <c r="B56" i="2" s="1"/>
  <c r="B57" i="2" s="1"/>
  <c r="B58" i="2" s="1"/>
  <c r="B59" i="2" s="1"/>
  <c r="B60" i="2" s="1"/>
  <c r="B65" i="2" s="1"/>
  <c r="B66" i="2" s="1"/>
  <c r="B67" i="2" s="1"/>
  <c r="B68" i="2" s="1"/>
  <c r="B69" i="2" s="1"/>
  <c r="B70" i="2" s="1"/>
  <c r="B71" i="2" s="1"/>
  <c r="N24" i="6"/>
  <c r="K78" i="2"/>
  <c r="E34" i="6"/>
  <c r="K24" i="6"/>
  <c r="H24" i="6"/>
  <c r="E24" i="6"/>
  <c r="H67" i="10"/>
  <c r="B44" i="14" s="1"/>
  <c r="B78" i="5"/>
  <c r="F79" i="5"/>
  <c r="B10" i="14" s="1"/>
  <c r="D78" i="2"/>
  <c r="B30" i="14" s="1"/>
  <c r="B24" i="6"/>
  <c r="E78" i="2"/>
  <c r="B34" i="14" s="1"/>
  <c r="I78" i="2"/>
  <c r="B52" i="14" s="1"/>
  <c r="H78" i="2"/>
  <c r="J78" i="2"/>
  <c r="B10" i="6"/>
  <c r="B40" i="6"/>
  <c r="E12" i="6"/>
  <c r="B42" i="6"/>
  <c r="B38" i="6"/>
  <c r="B36" i="6"/>
  <c r="B34" i="6"/>
  <c r="G63" i="4"/>
  <c r="N6" i="6" s="1"/>
  <c r="N12" i="6"/>
  <c r="G62" i="4"/>
  <c r="G64" i="4"/>
  <c r="G51" i="4"/>
  <c r="G52" i="4"/>
  <c r="K6" i="6" s="1"/>
  <c r="G53" i="4"/>
  <c r="B79" i="5"/>
  <c r="F78" i="5"/>
  <c r="G40" i="4"/>
  <c r="G41" i="4"/>
  <c r="H6" i="6" s="1"/>
  <c r="G19" i="4"/>
  <c r="G20" i="4"/>
  <c r="G18" i="4"/>
  <c r="C78" i="2"/>
  <c r="L64" i="2"/>
  <c r="L72" i="2"/>
  <c r="L53" i="2"/>
  <c r="L51" i="2"/>
  <c r="I79" i="2"/>
  <c r="L73" i="2"/>
  <c r="L52" i="2"/>
  <c r="K8" i="6" s="1"/>
  <c r="J79" i="2"/>
  <c r="L75" i="2"/>
  <c r="L28" i="2"/>
  <c r="E79" i="2"/>
  <c r="L29" i="2"/>
  <c r="F79" i="2"/>
  <c r="L74" i="2"/>
  <c r="K79" i="2"/>
  <c r="L61" i="2"/>
  <c r="D79" i="2"/>
  <c r="L30" i="2"/>
  <c r="E8" i="6" s="1"/>
  <c r="C79" i="2"/>
  <c r="L50" i="2"/>
  <c r="L63" i="2"/>
  <c r="N8" i="6" s="1"/>
  <c r="L42" i="2"/>
  <c r="L31" i="2"/>
  <c r="L41" i="2"/>
  <c r="H8" i="6" s="1"/>
  <c r="L62" i="2"/>
  <c r="H79" i="2"/>
  <c r="L40" i="2"/>
  <c r="L39" i="2"/>
  <c r="G42" i="4"/>
  <c r="G29" i="4"/>
  <c r="G30" i="4"/>
  <c r="G31" i="4"/>
  <c r="E72" i="10" l="1"/>
  <c r="B12" i="14" s="1"/>
  <c r="K12" i="6"/>
  <c r="K14" i="6" s="1"/>
  <c r="Q22" i="6"/>
  <c r="B6" i="14"/>
  <c r="B6" i="6"/>
  <c r="G67" i="4"/>
  <c r="G70" i="4"/>
  <c r="G69" i="4"/>
  <c r="B20" i="14"/>
  <c r="B76" i="14" s="1"/>
  <c r="B28" i="14"/>
  <c r="N74" i="6"/>
  <c r="N14" i="6"/>
  <c r="B50" i="14"/>
  <c r="B26" i="14"/>
  <c r="B12" i="6"/>
  <c r="E74" i="6"/>
  <c r="H12" i="6"/>
  <c r="K74" i="6"/>
  <c r="H74" i="6"/>
  <c r="E6" i="6"/>
  <c r="E14" i="6" s="1"/>
  <c r="Q18" i="6" l="1"/>
  <c r="Q13" i="6"/>
  <c r="H14" i="6"/>
  <c r="F78" i="2"/>
  <c r="B32" i="14" l="1"/>
  <c r="G18" i="2"/>
  <c r="G20" i="2"/>
  <c r="G17" i="2"/>
  <c r="G78" i="2" s="1"/>
  <c r="B36" i="14" s="1"/>
  <c r="G19" i="2"/>
  <c r="B32" i="6" s="1"/>
  <c r="B74" i="6" s="1"/>
  <c r="L11" i="2"/>
  <c r="L18" i="2" l="1"/>
  <c r="M81" i="2" s="1"/>
  <c r="L20" i="2"/>
  <c r="M80" i="2" s="1"/>
  <c r="L19" i="2"/>
  <c r="B8" i="6" s="1"/>
  <c r="B14" i="6" s="1"/>
  <c r="M79" i="2"/>
  <c r="B8" i="14" s="1"/>
  <c r="B16" i="14" s="1"/>
  <c r="L17" i="2"/>
  <c r="B79" i="2"/>
  <c r="G79" i="2"/>
  <c r="M78" i="2" s="1"/>
  <c r="Q28" i="6" s="1"/>
  <c r="B78" i="2" l="1"/>
</calcChain>
</file>

<file path=xl/sharedStrings.xml><?xml version="1.0" encoding="utf-8"?>
<sst xmlns="http://schemas.openxmlformats.org/spreadsheetml/2006/main" count="893" uniqueCount="132">
  <si>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</si>
  <si>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</si>
  <si>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</si>
  <si>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</si>
  <si>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</si>
  <si>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</si>
  <si>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</si>
  <si>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</si>
  <si>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</si>
  <si>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</si>
  <si>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</si>
  <si>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</si>
  <si>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</si>
  <si>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</si>
  <si>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</si>
  <si>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</si>
  <si>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</si>
  <si>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</si>
  <si>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</si>
  <si>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</si>
  <si>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</si>
  <si>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</si>
  <si>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</si>
  <si>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</si>
  <si>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</si>
  <si>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</si>
  <si>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</si>
  <si>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</si>
  <si>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</si>
  <si>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</si>
  <si>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</si>
  <si>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</si>
  <si>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</si>
  <si>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</si>
  <si>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</si>
  <si>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</si>
  <si>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</si>
  <si>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</si>
  <si>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</si>
  <si>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</si>
  <si>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</si>
  <si>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</si>
  <si>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</si>
  <si>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</si>
  <si>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</si>
  <si>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</si>
  <si>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</si>
  <si>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</si>
  <si>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</si>
  <si>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</si>
  <si>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</si>
  <si>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</si>
  <si>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</si>
  <si>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</si>
  <si>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</si>
  <si>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</si>
  <si>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</si>
  <si>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</si>
  <si>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</si>
  <si>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</si>
  <si>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</si>
  <si>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</si>
  <si>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</si>
  <si>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</si>
  <si>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</si>
  <si>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</si>
  <si>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</si>
  <si>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</si>
  <si>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</si>
  <si>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</si>
  <si>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</si>
  <si>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</si>
  <si>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</si>
  <si>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</si>
  <si>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</si>
  <si>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</si>
  <si>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</si>
  <si>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</si>
  <si>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</si>
  <si>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</si>
  <si>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</si>
  <si>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</si>
  <si>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</si>
  <si>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</si>
  <si>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</si>
  <si>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</si>
  <si>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</si>
  <si>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</si>
  <si>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</si>
  <si>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</si>
  <si>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</si>
  <si>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</si>
  <si>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</si>
  <si>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</si>
  <si>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</si>
  <si>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</si>
  <si>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</si>
  <si>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</si>
  <si>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</si>
  <si>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</si>
  <si>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</si>
  <si>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</si>
  <si>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</si>
  <si>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</si>
  <si>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</si>
  <si>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</si>
  <si>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</si>
  <si>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</si>
  <si>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</si>
  <si>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</si>
  <si>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</si>
  <si>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</si>
  <si>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</si>
  <si>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</si>
  <si>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</si>
  <si>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</si>
  <si>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</si>
  <si>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</si>
  <si>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</si>
  <si>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</si>
  <si>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**</t>
  </si>
  <si>
    <t>7/1/2020--7/3/2020</t>
  </si>
  <si>
    <t>7/6/2020--7/10/2020</t>
  </si>
  <si>
    <t>7/13/2020--7/17/2020</t>
  </si>
  <si>
    <t>7/20/2020--7/24/2020</t>
  </si>
  <si>
    <t>7/27/2020--7/31/2020</t>
  </si>
  <si>
    <t>Pier 6 BBP Atlantic Ave</t>
  </si>
  <si>
    <t>Battery Maritime Building</t>
  </si>
  <si>
    <t>Port Liberte (Slip 5)</t>
  </si>
  <si>
    <t>Governors Island (GI Ferry Slip)</t>
  </si>
  <si>
    <t>Includes Liberty Landing Ferry ridership from July 20th--July 31 only.</t>
  </si>
  <si>
    <t>LLF Service was suspended prior to July 20th.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</si>
</sst>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721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1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2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2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4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6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6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78" xfId="0" applyNumberFormat="1" applyFont="1" applyBorder="1" applyAlignment="1">
      <alignment horizontal="right"/>
    </xf>
    <xf numFmtId="3" fontId="1" fillId="0" borderId="79" xfId="0" applyNumberFormat="1" applyFont="1" applyBorder="1" applyAlignment="1">
      <alignment horizontal="right"/>
    </xf>
    <xf numFmtId="3" fontId="1" fillId="0" borderId="80" xfId="0" applyNumberFormat="1" applyFont="1" applyBorder="1" applyAlignment="1">
      <alignment horizontal="right"/>
    </xf>
    <xf numFmtId="3" fontId="1" fillId="0" borderId="81" xfId="0" applyNumberFormat="1" applyFont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164" fontId="1" fillId="0" borderId="23" xfId="0" applyNumberFormat="1" applyFont="1" applyFill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1" fillId="0" borderId="41" xfId="0" applyNumberFormat="1" applyFont="1" applyBorder="1" applyAlignment="1">
      <alignment horizontal="right"/>
    </xf>
    <xf numFmtId="0" fontId="1" fillId="6" borderId="21" xfId="0" applyFont="1" applyFill="1" applyBorder="1" applyAlignment="1">
      <alignment vertical="center" wrapText="1"/>
    </xf>
    <xf numFmtId="0" fontId="1" fillId="0" borderId="80" xfId="0" applyFont="1" applyBorder="1"/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1" fontId="1" fillId="0" borderId="79" xfId="0" applyNumberFormat="1" applyFont="1" applyFill="1" applyBorder="1" applyAlignment="1">
      <alignment horizontal="right" wrapText="1"/>
    </xf>
    <xf numFmtId="0" fontId="1" fillId="0" borderId="78" xfId="0" applyFont="1" applyFill="1" applyBorder="1" applyAlignment="1">
      <alignment horizontal="right" wrapText="1"/>
    </xf>
    <xf numFmtId="0" fontId="1" fillId="0" borderId="81" xfId="0" applyFont="1" applyFill="1" applyBorder="1" applyAlignment="1">
      <alignment horizontal="right" wrapText="1"/>
    </xf>
    <xf numFmtId="0" fontId="1" fillId="0" borderId="79" xfId="0" applyFont="1" applyFill="1" applyBorder="1" applyAlignment="1">
      <alignment horizontal="right" wrapText="1"/>
    </xf>
    <xf numFmtId="0" fontId="1" fillId="0" borderId="80" xfId="0" applyFont="1" applyFill="1" applyBorder="1" applyAlignment="1">
      <alignment horizontal="right" wrapText="1"/>
    </xf>
    <xf numFmtId="0" fontId="1" fillId="0" borderId="67" xfId="0" applyFont="1" applyFill="1" applyBorder="1" applyAlignment="1">
      <alignment horizontal="right" wrapText="1"/>
    </xf>
    <xf numFmtId="0" fontId="1" fillId="0" borderId="38" xfId="0" applyFont="1" applyFill="1" applyBorder="1" applyAlignment="1">
      <alignment horizontal="right" wrapText="1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6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70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0" fontId="1" fillId="0" borderId="17" xfId="0" applyFont="1" applyFill="1" applyBorder="1" applyAlignment="1">
      <alignment horizontal="right" vertical="center" wrapText="1"/>
    </xf>
    <xf numFmtId="3" fontId="19" fillId="0" borderId="42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7" borderId="0" xfId="0" applyNumberFormat="1" applyFont="1" applyFill="1"/>
    <xf numFmtId="3" fontId="1" fillId="7" borderId="0" xfId="0" applyNumberFormat="1" applyFont="1" applyFill="1"/>
    <xf numFmtId="3" fontId="21" fillId="5" borderId="22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0" fontId="1" fillId="0" borderId="79" xfId="0" applyFont="1" applyBorder="1"/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165" fontId="1" fillId="0" borderId="36" xfId="3" applyNumberFormat="1" applyFont="1" applyBorder="1" applyAlignment="1"/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164" fontId="1" fillId="0" borderId="25" xfId="0" applyNumberFormat="1" applyFont="1" applyBorder="1" applyAlignment="1">
      <alignment horizontal="right"/>
    </xf>
    <xf numFmtId="1" fontId="19" fillId="5" borderId="26" xfId="0" applyNumberFormat="1" applyFont="1" applyFill="1" applyBorder="1" applyAlignment="1">
      <alignment horizontal="right"/>
    </xf>
    <xf numFmtId="3" fontId="19" fillId="5" borderId="34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21" fillId="4" borderId="27" xfId="0" applyNumberFormat="1" applyFont="1" applyFill="1" applyBorder="1" applyAlignment="1">
      <alignment horizontal="center" vertical="center" wrapText="1"/>
    </xf>
    <xf numFmtId="3" fontId="21" fillId="4" borderId="62" xfId="0" applyNumberFormat="1" applyFont="1" applyFill="1" applyBorder="1" applyAlignment="1">
      <alignment horizontal="center" vertical="center" wrapText="1"/>
    </xf>
    <xf numFmtId="3" fontId="19" fillId="0" borderId="22" xfId="0" applyNumberFormat="1" applyFont="1" applyBorder="1" applyAlignment="1">
      <alignment horizontal="center" vertical="center"/>
    </xf>
    <xf numFmtId="3" fontId="19" fillId="0" borderId="72" xfId="0" applyNumberFormat="1" applyFont="1" applyBorder="1" applyAlignment="1">
      <alignment horizontal="center" vertical="center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0" fontId="1" fillId="0" borderId="42" xfId="0" applyFont="1" applyFill="1" applyBorder="1" applyAlignment="1">
      <alignment horizontal="right" vertical="center" wrapText="1"/>
    </xf>
    <xf numFmtId="0" fontId="1" fillId="0" borderId="27" xfId="0" applyFont="1" applyFill="1" applyBorder="1" applyAlignment="1">
      <alignment horizontal="right" vertical="center" wrapText="1"/>
    </xf>
    <xf numFmtId="164" fontId="19" fillId="0" borderId="48" xfId="0" applyNumberFormat="1" applyFont="1" applyFill="1" applyBorder="1" applyAlignment="1">
      <alignment horizontal="right"/>
    </xf>
    <xf numFmtId="0" fontId="1" fillId="0" borderId="68" xfId="0" applyFont="1" applyFill="1" applyBorder="1" applyAlignment="1">
      <alignment horizontal="right" vertical="center" wrapText="1"/>
    </xf>
    <xf numFmtId="3" fontId="1" fillId="5" borderId="36" xfId="0" applyNumberFormat="1" applyFont="1" applyFill="1" applyBorder="1" applyAlignment="1"/>
    <xf numFmtId="3" fontId="1" fillId="4" borderId="36" xfId="0" applyNumberFormat="1" applyFont="1" applyFill="1" applyBorder="1" applyAlignment="1"/>
    <xf numFmtId="3" fontId="1" fillId="0" borderId="36" xfId="0" applyNumberFormat="1" applyFont="1" applyBorder="1" applyAlignment="1"/>
    <xf numFmtId="38" fontId="12" fillId="0" borderId="36" xfId="0" applyNumberFormat="1" applyFont="1" applyFill="1" applyBorder="1" applyAlignment="1">
      <alignment wrapText="1"/>
    </xf>
    <xf numFmtId="3" fontId="1" fillId="4" borderId="69" xfId="0" applyNumberFormat="1" applyFont="1" applyFill="1" applyBorder="1" applyAlignment="1"/>
    <xf numFmtId="3" fontId="21" fillId="5" borderId="51" xfId="0" applyNumberFormat="1" applyFont="1" applyFill="1" applyBorder="1" applyAlignment="1">
      <alignment horizontal="right"/>
    </xf>
    <xf numFmtId="3" fontId="21" fillId="4" borderId="51" xfId="0" applyNumberFormat="1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74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10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1" fillId="0" borderId="60" xfId="0" applyNumberFormat="1" applyFont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0" fontId="12" fillId="6" borderId="21" xfId="0" applyFont="1" applyFill="1" applyBorder="1" applyAlignment="1">
      <alignment vertical="center" wrapText="1"/>
    </xf>
    <xf numFmtId="0" fontId="1" fillId="0" borderId="34" xfId="0" applyFont="1" applyBorder="1"/>
    <xf numFmtId="0" fontId="26" fillId="0" borderId="22" xfId="0" applyNumberFormat="1" applyFont="1" applyFill="1" applyBorder="1" applyAlignment="1">
      <alignment vertical="top" wrapText="1" readingOrder="1"/>
    </xf>
    <xf numFmtId="0" fontId="1" fillId="0" borderId="42" xfId="0" applyFont="1" applyBorder="1"/>
    <xf numFmtId="3" fontId="1" fillId="0" borderId="34" xfId="0" applyNumberFormat="1" applyFont="1" applyBorder="1" applyAlignment="1">
      <alignment horizontal="right"/>
    </xf>
    <xf numFmtId="0" fontId="12" fillId="0" borderId="21" xfId="0" applyFont="1" applyFill="1" applyBorder="1" applyAlignment="1">
      <alignment vertical="center" wrapText="1"/>
    </xf>
    <xf numFmtId="3" fontId="1" fillId="0" borderId="16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3" fillId="4" borderId="50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2" fillId="3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1" fillId="0" borderId="52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21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41" xfId="0" applyFont="1" applyFill="1" applyBorder="1" applyAlignment="1">
      <alignment horizontal="center" vertical="center" wrapText="1"/>
    </xf>
    <xf numFmtId="0" fontId="27" fillId="4" borderId="28" xfId="0" applyFont="1" applyFill="1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8" xfId="0" applyNumberFormat="1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7" xfId="0" applyFont="1" applyFill="1" applyBorder="1" applyAlignment="1">
      <alignment horizontal="right" vertical="center"/>
    </xf>
    <xf numFmtId="0" fontId="18" fillId="2" borderId="76" xfId="0" applyFont="1" applyFill="1" applyBorder="1" applyAlignment="1">
      <alignment horizontal="right" vertical="center"/>
    </xf>
    <xf numFmtId="0" fontId="18" fillId="2" borderId="31" xfId="0" applyFont="1" applyFill="1" applyBorder="1" applyAlignment="1">
      <alignment horizontal="right" vertical="center"/>
    </xf>
    <xf numFmtId="0" fontId="20" fillId="3" borderId="43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42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21" fillId="4" borderId="30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57" xfId="0" applyFont="1" applyFill="1" applyBorder="1" applyAlignment="1">
      <alignment horizontal="center" vertical="center" wrapText="1"/>
    </xf>
    <xf numFmtId="0" fontId="21" fillId="4" borderId="75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164" fontId="21" fillId="4" borderId="18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4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1" fillId="4" borderId="72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7"/>
  <sheetViews>
    <sheetView tabSelected="1" zoomScaleNormal="100" workbookViewId="0">
      <pane ySplit="2" topLeftCell="A3" activePane="bottomLeft" state="frozen"/>
      <selection pane="bottomLeft" activeCell="N54" sqref="N54:N55"/>
    </sheetView>
  </sheetViews>
  <sheetFormatPr defaultRowHeight="13.5" x14ac:dyDescent="0.25"/>
  <cols>
    <col min="1" max="1" width="26.5703125" style="97" bestFit="1" customWidth="1"/>
    <col min="2" max="2" width="8.85546875" style="97" customWidth="1"/>
    <col min="3" max="3" width="3.5703125" style="97" customWidth="1"/>
    <col min="4" max="4" width="26.5703125" style="97" bestFit="1" customWidth="1"/>
    <col min="5" max="5" width="7.5703125" style="97" bestFit="1" customWidth="1"/>
    <col min="6" max="6" width="3.7109375" style="97" customWidth="1"/>
    <col min="7" max="7" width="26.5703125" style="97" bestFit="1" customWidth="1"/>
    <col min="8" max="8" width="7.5703125" style="97" bestFit="1" customWidth="1"/>
    <col min="9" max="9" width="3.7109375" style="97" customWidth="1"/>
    <col min="10" max="10" width="26.5703125" style="97" bestFit="1" customWidth="1"/>
    <col min="11" max="11" width="11.140625" style="97" customWidth="1"/>
    <col min="12" max="12" width="3.7109375" style="97" customWidth="1"/>
    <col min="13" max="13" width="26.5703125" style="382" bestFit="1" customWidth="1"/>
    <col min="14" max="14" width="11.140625" style="382" customWidth="1"/>
    <col min="15" max="15" width="3.7109375" style="97" customWidth="1"/>
    <col min="16" max="16" width="36.5703125" style="97" bestFit="1" customWidth="1"/>
    <col min="17" max="17" width="9.140625" style="97" bestFit="1" customWidth="1"/>
    <col min="18" max="18" width="61.7109375" style="97" bestFit="1" customWidth="1"/>
    <col min="19" max="16384" width="9.140625" style="97"/>
  </cols>
  <sheetData>
    <row r="1" spans="1:18" x14ac:dyDescent="0.25">
      <c r="A1" s="541" t="s">
        <v>42</v>
      </c>
      <c r="B1" s="568"/>
      <c r="C1" s="81"/>
      <c r="D1" s="541" t="s">
        <v>42</v>
      </c>
      <c r="E1" s="568"/>
      <c r="F1" s="41"/>
      <c r="G1" s="541" t="s">
        <v>42</v>
      </c>
      <c r="H1" s="568"/>
      <c r="I1" s="82"/>
      <c r="J1" s="541" t="s">
        <v>42</v>
      </c>
      <c r="K1" s="568"/>
      <c r="L1" s="82"/>
      <c r="M1" s="541" t="s">
        <v>42</v>
      </c>
      <c r="N1" s="542"/>
    </row>
    <row r="2" spans="1:18" ht="15.75" customHeight="1" x14ac:dyDescent="0.25">
      <c r="A2" s="569" t="s">
        <v>121</v>
      </c>
      <c r="B2" s="570"/>
      <c r="C2" s="83"/>
      <c r="D2" s="569" t="s">
        <v>122</v>
      </c>
      <c r="E2" s="570"/>
      <c r="F2" s="83"/>
      <c r="G2" s="543" t="s">
        <v>123</v>
      </c>
      <c r="H2" s="544"/>
      <c r="I2" s="84"/>
      <c r="J2" s="543" t="s">
        <v>124</v>
      </c>
      <c r="K2" s="544"/>
      <c r="L2" s="82"/>
      <c r="M2" s="543" t="s">
        <v>125</v>
      </c>
      <c r="N2" s="544"/>
    </row>
    <row r="3" spans="1:18" ht="14.25" thickBot="1" x14ac:dyDescent="0.3">
      <c r="A3" s="545" t="s">
        <v>43</v>
      </c>
      <c r="B3" s="571"/>
      <c r="C3" s="81"/>
      <c r="D3" s="545" t="s">
        <v>43</v>
      </c>
      <c r="E3" s="571"/>
      <c r="F3" s="82"/>
      <c r="G3" s="545" t="s">
        <v>43</v>
      </c>
      <c r="H3" s="571"/>
      <c r="I3" s="82"/>
      <c r="J3" s="545" t="s">
        <v>43</v>
      </c>
      <c r="K3" s="572"/>
      <c r="L3" s="82"/>
      <c r="M3" s="545" t="s">
        <v>43</v>
      </c>
      <c r="N3" s="546"/>
    </row>
    <row r="4" spans="1:18" s="98" customFormat="1" ht="12.95" customHeight="1" x14ac:dyDescent="0.25">
      <c r="A4" s="525" t="s">
        <v>44</v>
      </c>
      <c r="B4" s="523">
        <f>'NY Waterway-(Port Imperial FC)'!W19</f>
        <v>4429</v>
      </c>
      <c r="C4" s="7"/>
      <c r="D4" s="525" t="s">
        <v>44</v>
      </c>
      <c r="E4" s="523">
        <f>'NY Waterway-(Port Imperial FC)'!W30</f>
        <v>7562</v>
      </c>
      <c r="F4" s="85"/>
      <c r="G4" s="525" t="s">
        <v>44</v>
      </c>
      <c r="H4" s="523">
        <f>'NY Waterway-(Port Imperial FC)'!W41</f>
        <v>9937</v>
      </c>
      <c r="I4" s="85"/>
      <c r="J4" s="525" t="s">
        <v>44</v>
      </c>
      <c r="K4" s="523">
        <f>'NY Waterway-(Port Imperial FC)'!W52</f>
        <v>18929</v>
      </c>
      <c r="L4" s="85"/>
      <c r="M4" s="525" t="s">
        <v>44</v>
      </c>
      <c r="N4" s="523">
        <f>'NY Waterway-(Port Imperial FC)'!W63</f>
        <v>19284</v>
      </c>
    </row>
    <row r="5" spans="1:18" s="98" customFormat="1" ht="12.95" customHeight="1" thickBot="1" x14ac:dyDescent="0.3">
      <c r="A5" s="539"/>
      <c r="B5" s="524"/>
      <c r="C5" s="8"/>
      <c r="D5" s="539"/>
      <c r="E5" s="524"/>
      <c r="F5" s="85"/>
      <c r="G5" s="539"/>
      <c r="H5" s="540"/>
      <c r="I5" s="85"/>
      <c r="J5" s="539"/>
      <c r="K5" s="540"/>
      <c r="L5" s="85"/>
      <c r="M5" s="539"/>
      <c r="N5" s="540"/>
    </row>
    <row r="6" spans="1:18" s="98" customFormat="1" ht="12.95" customHeight="1" x14ac:dyDescent="0.25">
      <c r="A6" s="525" t="s">
        <v>45</v>
      </c>
      <c r="B6" s="523">
        <f>SUM(SeaStreak!G19)</f>
        <v>1894</v>
      </c>
      <c r="C6" s="7"/>
      <c r="D6" s="525" t="s">
        <v>45</v>
      </c>
      <c r="E6" s="523">
        <f>SUM(SeaStreak!G30)</f>
        <v>2845</v>
      </c>
      <c r="F6" s="85"/>
      <c r="G6" s="525" t="s">
        <v>45</v>
      </c>
      <c r="H6" s="523">
        <f>SUM(SeaStreak!G41)</f>
        <v>3457</v>
      </c>
      <c r="I6" s="85"/>
      <c r="J6" s="525" t="s">
        <v>45</v>
      </c>
      <c r="K6" s="523">
        <f>SUM(SeaStreak!G52)</f>
        <v>3454</v>
      </c>
      <c r="L6" s="85"/>
      <c r="M6" s="525" t="s">
        <v>45</v>
      </c>
      <c r="N6" s="523">
        <f>SeaStreak!G63</f>
        <v>3582</v>
      </c>
    </row>
    <row r="7" spans="1:18" s="98" customFormat="1" ht="12.95" customHeight="1" thickBot="1" x14ac:dyDescent="0.3">
      <c r="A7" s="526"/>
      <c r="B7" s="524"/>
      <c r="C7" s="86"/>
      <c r="D7" s="526"/>
      <c r="E7" s="540"/>
      <c r="F7" s="85"/>
      <c r="G7" s="526"/>
      <c r="H7" s="540"/>
      <c r="I7" s="85"/>
      <c r="J7" s="526"/>
      <c r="K7" s="540"/>
      <c r="L7" s="85"/>
      <c r="M7" s="526"/>
      <c r="N7" s="540"/>
    </row>
    <row r="8" spans="1:18" s="98" customFormat="1" ht="12.95" customHeight="1" x14ac:dyDescent="0.25">
      <c r="A8" s="520" t="s">
        <v>46</v>
      </c>
      <c r="B8" s="523">
        <f>SUM('New York Water Taxi'!L19)</f>
        <v>622</v>
      </c>
      <c r="C8" s="9"/>
      <c r="D8" s="520" t="s">
        <v>46</v>
      </c>
      <c r="E8" s="532">
        <f>SUM('New York Water Taxi'!L30)</f>
        <v>1471</v>
      </c>
      <c r="F8" s="85"/>
      <c r="G8" s="520" t="s">
        <v>46</v>
      </c>
      <c r="H8" s="532">
        <f>SUM('New York Water Taxi'!L41)</f>
        <v>1586</v>
      </c>
      <c r="I8" s="85"/>
      <c r="J8" s="520" t="s">
        <v>46</v>
      </c>
      <c r="K8" s="532">
        <f>SUM('New York Water Taxi'!L52)</f>
        <v>1560</v>
      </c>
      <c r="L8" s="85"/>
      <c r="M8" s="520" t="s">
        <v>46</v>
      </c>
      <c r="N8" s="532">
        <f>'New York Water Taxi'!L63</f>
        <v>1687</v>
      </c>
    </row>
    <row r="9" spans="1:18" s="98" customFormat="1" ht="12.95" customHeight="1" thickBot="1" x14ac:dyDescent="0.3">
      <c r="A9" s="521"/>
      <c r="B9" s="524"/>
      <c r="C9" s="87"/>
      <c r="D9" s="521"/>
      <c r="E9" s="534"/>
      <c r="F9" s="85"/>
      <c r="G9" s="521"/>
      <c r="H9" s="533"/>
      <c r="I9" s="85"/>
      <c r="J9" s="521"/>
      <c r="K9" s="533"/>
      <c r="L9" s="85"/>
      <c r="M9" s="521"/>
      <c r="N9" s="533"/>
    </row>
    <row r="10" spans="1:18" s="98" customFormat="1" ht="12.95" customHeight="1" x14ac:dyDescent="0.25">
      <c r="A10" s="530" t="s">
        <v>32</v>
      </c>
      <c r="B10" s="523">
        <f>'Liberty Landing Ferry'!C19</f>
        <v>0</v>
      </c>
      <c r="C10" s="9"/>
      <c r="D10" s="530" t="s">
        <v>32</v>
      </c>
      <c r="E10" s="532">
        <f>'Liberty Landing Ferry'!C30</f>
        <v>0</v>
      </c>
      <c r="F10" s="85"/>
      <c r="G10" s="530" t="s">
        <v>32</v>
      </c>
      <c r="H10" s="532">
        <f>'Liberty Landing Ferry'!C41</f>
        <v>0</v>
      </c>
      <c r="I10" s="85"/>
      <c r="J10" s="530" t="s">
        <v>32</v>
      </c>
      <c r="K10" s="532">
        <f>'Liberty Landing Ferry'!C52</f>
        <v>534</v>
      </c>
      <c r="L10" s="85"/>
      <c r="M10" s="530" t="s">
        <v>32</v>
      </c>
      <c r="N10" s="532">
        <f>'Liberty Landing Ferry'!C63</f>
        <v>539</v>
      </c>
    </row>
    <row r="11" spans="1:18" s="98" customFormat="1" ht="12.95" customHeight="1" thickBot="1" x14ac:dyDescent="0.3">
      <c r="A11" s="531"/>
      <c r="B11" s="524"/>
      <c r="C11" s="87"/>
      <c r="D11" s="531"/>
      <c r="E11" s="534"/>
      <c r="F11" s="85"/>
      <c r="G11" s="531"/>
      <c r="H11" s="533"/>
      <c r="I11" s="85"/>
      <c r="J11" s="531"/>
      <c r="K11" s="533"/>
      <c r="L11" s="85"/>
      <c r="M11" s="531"/>
      <c r="N11" s="533"/>
    </row>
    <row r="12" spans="1:18" s="178" customFormat="1" ht="12.95" customHeight="1" thickBot="1" x14ac:dyDescent="0.3">
      <c r="A12" s="530" t="s">
        <v>68</v>
      </c>
      <c r="B12" s="532">
        <f>'NYC Ferry'!AL19</f>
        <v>31944</v>
      </c>
      <c r="C12" s="87"/>
      <c r="D12" s="530" t="s">
        <v>68</v>
      </c>
      <c r="E12" s="532">
        <f>'NYC Ferry'!AL30</f>
        <v>41039</v>
      </c>
      <c r="F12" s="177"/>
      <c r="G12" s="530" t="s">
        <v>68</v>
      </c>
      <c r="H12" s="532">
        <f>'NYC Ferry'!AL41</f>
        <v>58790</v>
      </c>
      <c r="I12" s="177"/>
      <c r="J12" s="530" t="s">
        <v>68</v>
      </c>
      <c r="K12" s="532">
        <f>'NYC Ferry'!AL52</f>
        <v>48819</v>
      </c>
      <c r="L12" s="177"/>
      <c r="M12" s="530" t="s">
        <v>68</v>
      </c>
      <c r="N12" s="532">
        <f>'NYC Ferry'!AL63</f>
        <v>58444</v>
      </c>
    </row>
    <row r="13" spans="1:18" s="178" customFormat="1" ht="12.95" customHeight="1" thickBot="1" x14ac:dyDescent="0.3">
      <c r="A13" s="531"/>
      <c r="B13" s="534"/>
      <c r="C13" s="87"/>
      <c r="D13" s="531"/>
      <c r="E13" s="534"/>
      <c r="F13" s="177"/>
      <c r="G13" s="531"/>
      <c r="H13" s="534"/>
      <c r="I13" s="177"/>
      <c r="J13" s="531"/>
      <c r="K13" s="534"/>
      <c r="L13" s="177"/>
      <c r="M13" s="531"/>
      <c r="N13" s="534"/>
      <c r="P13" s="535" t="s">
        <v>114</v>
      </c>
      <c r="Q13" s="512">
        <f>AVERAGE('NYC Ferry'!E75,'NY Waterway-(Port Imperial FC)'!N69,SeaStreak!G69,'New York Water Taxi'!M80,'Liberty Landing Ferry'!F80)</f>
        <v>2592.1399999999994</v>
      </c>
    </row>
    <row r="14" spans="1:18" s="89" customFormat="1" ht="12.95" customHeight="1" x14ac:dyDescent="0.2">
      <c r="A14" s="535" t="s">
        <v>18</v>
      </c>
      <c r="B14" s="512">
        <f>SUM(B4:B13)</f>
        <v>38889</v>
      </c>
      <c r="C14" s="10"/>
      <c r="D14" s="535" t="s">
        <v>18</v>
      </c>
      <c r="E14" s="512">
        <f>SUM(E4:E13)</f>
        <v>52917</v>
      </c>
      <c r="F14" s="88"/>
      <c r="G14" s="535" t="s">
        <v>18</v>
      </c>
      <c r="H14" s="512">
        <f>SUM(H4:H13)</f>
        <v>73770</v>
      </c>
      <c r="I14" s="88"/>
      <c r="J14" s="535" t="s">
        <v>18</v>
      </c>
      <c r="K14" s="512">
        <f>SUM(K4:K13)</f>
        <v>73296</v>
      </c>
      <c r="L14" s="88"/>
      <c r="M14" s="535" t="s">
        <v>18</v>
      </c>
      <c r="N14" s="512">
        <f>SUM(N4:N13)</f>
        <v>83536</v>
      </c>
      <c r="P14" s="547"/>
      <c r="Q14" s="549"/>
      <c r="R14" s="425" t="s">
        <v>120</v>
      </c>
    </row>
    <row r="15" spans="1:18" s="89" customFormat="1" ht="12.95" customHeight="1" thickBot="1" x14ac:dyDescent="0.3">
      <c r="A15" s="536"/>
      <c r="B15" s="513"/>
      <c r="C15" s="90"/>
      <c r="D15" s="536"/>
      <c r="E15" s="513"/>
      <c r="F15" s="88"/>
      <c r="G15" s="536"/>
      <c r="H15" s="513"/>
      <c r="I15" s="88"/>
      <c r="J15" s="536"/>
      <c r="K15" s="513"/>
      <c r="L15" s="88"/>
      <c r="M15" s="536"/>
      <c r="N15" s="513"/>
      <c r="P15" s="547"/>
      <c r="Q15" s="549"/>
      <c r="R15" s="426" t="s">
        <v>130</v>
      </c>
    </row>
    <row r="16" spans="1:18" s="98" customFormat="1" ht="14.25" thickBot="1" x14ac:dyDescent="0.3">
      <c r="A16" s="91"/>
      <c r="B16" s="92"/>
      <c r="C16" s="85"/>
      <c r="D16" s="91"/>
      <c r="E16" s="92"/>
      <c r="F16" s="85"/>
      <c r="G16" s="91"/>
      <c r="H16" s="92"/>
      <c r="I16" s="85"/>
      <c r="J16" s="93"/>
      <c r="K16" s="94"/>
      <c r="L16" s="85"/>
      <c r="M16" s="390"/>
      <c r="N16" s="391"/>
      <c r="P16" s="548"/>
      <c r="Q16" s="550"/>
      <c r="R16" s="426" t="s">
        <v>131</v>
      </c>
    </row>
    <row r="17" spans="1:18" ht="14.25" thickBot="1" x14ac:dyDescent="0.3">
      <c r="A17" s="537" t="s">
        <v>47</v>
      </c>
      <c r="B17" s="566"/>
      <c r="C17" s="81"/>
      <c r="D17" s="537" t="s">
        <v>47</v>
      </c>
      <c r="E17" s="566"/>
      <c r="F17" s="82"/>
      <c r="G17" s="537" t="s">
        <v>47</v>
      </c>
      <c r="H17" s="566"/>
      <c r="I17" s="82"/>
      <c r="J17" s="537" t="s">
        <v>47</v>
      </c>
      <c r="K17" s="567"/>
      <c r="L17" s="82"/>
      <c r="M17" s="537" t="s">
        <v>47</v>
      </c>
      <c r="N17" s="538"/>
      <c r="P17" s="10"/>
      <c r="Q17" s="10"/>
    </row>
    <row r="18" spans="1:18" ht="12.95" customHeight="1" x14ac:dyDescent="0.25">
      <c r="A18" s="525" t="s">
        <v>10</v>
      </c>
      <c r="B18" s="523">
        <f>SUM('NY Waterway-(Port Imperial FC)'!C19:G19, 'New York Water Taxi'!J19:J19, SeaStreak!C19:D19,'NYC Ferry'!C19,'NYC Ferry'!J19,'NYC Ferry'!M19,'NYC Ferry'!T19,'NYC Ferry'!Z19,'NYC Ferry'!AE19,'NYC Ferry'!AJ19)</f>
        <v>9114</v>
      </c>
      <c r="C18" s="7"/>
      <c r="D18" s="525" t="s">
        <v>10</v>
      </c>
      <c r="E18" s="523">
        <f>SUM('NY Waterway-(Port Imperial FC)'!C30:G30, 'New York Water Taxi'!J30:J30, SeaStreak!C30:D30,'NYC Ferry'!C30,'NYC Ferry'!J30,'NYC Ferry'!M30,'NYC Ferry'!T30,'NYC Ferry'!Z30,'NYC Ferry'!AE30,'NYC Ferry'!AJ30)</f>
        <v>11829</v>
      </c>
      <c r="F18" s="82"/>
      <c r="G18" s="525" t="s">
        <v>10</v>
      </c>
      <c r="H18" s="523">
        <f>SUM('NY Waterway-(Port Imperial FC)'!C41:G41, 'New York Water Taxi'!J41:J41, SeaStreak!C41:D41,'NYC Ferry'!C41,'NYC Ferry'!J41,'NYC Ferry'!M41,'NYC Ferry'!T41,'NYC Ferry'!Z41,'NYC Ferry'!AE41,'NYC Ferry'!AJ41)</f>
        <v>16386</v>
      </c>
      <c r="I18" s="82"/>
      <c r="J18" s="525" t="s">
        <v>10</v>
      </c>
      <c r="K18" s="523">
        <f>SUM('NY Waterway-(Port Imperial FC)'!C52:G52, 'New York Water Taxi'!J52:J52, SeaStreak!C52:D52,'NYC Ferry'!C52,'NYC Ferry'!J52,'NYC Ferry'!M52,'NYC Ferry'!T52,'NYC Ferry'!Z52,'NYC Ferry'!AE52,'NYC Ferry'!AJ52)</f>
        <v>14354</v>
      </c>
      <c r="L18" s="82"/>
      <c r="M18" s="525" t="s">
        <v>10</v>
      </c>
      <c r="N18" s="523">
        <f>SUM('NY Waterway-(Port Imperial FC)'!C63:G63,'NYC Ferry'!C63,'NYC Ferry'!J63,'NYC Ferry'!M63,'NYC Ferry'!T63,'NYC Ferry'!Z63,'NYC Ferry'!AE63,'NYC Ferry'!AJ63,'New York Water Taxi'!J63,SeaStreak!C63:D63)</f>
        <v>17515</v>
      </c>
      <c r="P18" s="551" t="s">
        <v>115</v>
      </c>
      <c r="Q18" s="554">
        <f>SUM('NYC Ferry'!E75,'NY Waterway-(Port Imperial FC)'!N69,SeaStreak!G69,'New York Water Taxi'!M80,'Liberty Landing Ferry'!F80)</f>
        <v>12960.699999999997</v>
      </c>
      <c r="R18" s="425" t="s">
        <v>120</v>
      </c>
    </row>
    <row r="19" spans="1:18" ht="12.95" customHeight="1" thickBot="1" x14ac:dyDescent="0.3">
      <c r="A19" s="539"/>
      <c r="B19" s="540"/>
      <c r="C19" s="8"/>
      <c r="D19" s="539"/>
      <c r="E19" s="524"/>
      <c r="F19" s="82"/>
      <c r="G19" s="539"/>
      <c r="H19" s="524"/>
      <c r="I19" s="82"/>
      <c r="J19" s="539"/>
      <c r="K19" s="524"/>
      <c r="L19" s="82"/>
      <c r="M19" s="539"/>
      <c r="N19" s="540"/>
      <c r="P19" s="552"/>
      <c r="Q19" s="555"/>
      <c r="R19" s="426" t="s">
        <v>130</v>
      </c>
    </row>
    <row r="20" spans="1:18" ht="12.95" customHeight="1" thickBot="1" x14ac:dyDescent="0.3">
      <c r="A20" s="520" t="s">
        <v>64</v>
      </c>
      <c r="B20" s="523">
        <f xml:space="preserve"> 'NY Waterway-(Port Imperial FC)'!H19</f>
        <v>0</v>
      </c>
      <c r="C20" s="8"/>
      <c r="D20" s="520" t="s">
        <v>64</v>
      </c>
      <c r="E20" s="523">
        <f xml:space="preserve"> 'NY Waterway-(Port Imperial FC)'!H19</f>
        <v>0</v>
      </c>
      <c r="F20" s="82"/>
      <c r="G20" s="520" t="s">
        <v>64</v>
      </c>
      <c r="H20" s="523">
        <f xml:space="preserve"> 'NY Waterway-(Port Imperial FC)'!H30</f>
        <v>0</v>
      </c>
      <c r="I20" s="82"/>
      <c r="J20" s="520" t="s">
        <v>64</v>
      </c>
      <c r="K20" s="523">
        <f>'NY Waterway-(Port Imperial FC)'!H41</f>
        <v>0</v>
      </c>
      <c r="L20" s="82"/>
      <c r="M20" s="520" t="s">
        <v>64</v>
      </c>
      <c r="N20" s="523">
        <f>'NY Waterway-(Port Imperial FC)'!H63</f>
        <v>0</v>
      </c>
      <c r="P20" s="553"/>
      <c r="Q20" s="556"/>
      <c r="R20" s="426" t="s">
        <v>131</v>
      </c>
    </row>
    <row r="21" spans="1:18" ht="12.95" customHeight="1" thickBot="1" x14ac:dyDescent="0.3">
      <c r="A21" s="561"/>
      <c r="B21" s="540"/>
      <c r="C21" s="8"/>
      <c r="D21" s="561"/>
      <c r="E21" s="524"/>
      <c r="F21" s="82"/>
      <c r="G21" s="561"/>
      <c r="H21" s="524"/>
      <c r="I21" s="82"/>
      <c r="J21" s="561"/>
      <c r="K21" s="524"/>
      <c r="L21" s="82"/>
      <c r="M21" s="522"/>
      <c r="N21" s="524"/>
      <c r="P21" s="384"/>
      <c r="Q21" s="387"/>
    </row>
    <row r="22" spans="1:18" ht="12.95" customHeight="1" x14ac:dyDescent="0.25">
      <c r="A22" s="520" t="s">
        <v>8</v>
      </c>
      <c r="B22" s="532">
        <f>SUM('NY Waterway-(Port Imperial FC)'!O19:V19)</f>
        <v>2339</v>
      </c>
      <c r="C22" s="9"/>
      <c r="D22" s="520" t="s">
        <v>8</v>
      </c>
      <c r="E22" s="532">
        <f>SUM('NY Waterway-(Port Imperial FC)'!O30:V30)</f>
        <v>4102</v>
      </c>
      <c r="F22" s="82"/>
      <c r="G22" s="520" t="s">
        <v>8</v>
      </c>
      <c r="H22" s="532">
        <f>SUM('NY Waterway-(Port Imperial FC)'!O41:V41)</f>
        <v>6076</v>
      </c>
      <c r="I22" s="82"/>
      <c r="J22" s="520" t="s">
        <v>8</v>
      </c>
      <c r="K22" s="532">
        <f>SUM('NY Waterway-(Port Imperial FC)'!O52:V52)</f>
        <v>5970</v>
      </c>
      <c r="L22" s="82"/>
      <c r="M22" s="520" t="s">
        <v>8</v>
      </c>
      <c r="N22" s="532">
        <f>SUM('NY Waterway-(Port Imperial FC)'!O63:V63)</f>
        <v>6515</v>
      </c>
      <c r="P22" s="551" t="s">
        <v>116</v>
      </c>
      <c r="Q22" s="554">
        <f>SUM('NYC Ferry'!E73,'NY Waterway-(Port Imperial FC)'!N67,SeaStreak!G67,'New York Water Taxi'!M78,'Liberty Landing Ferry'!F78,'Liberty Landing Ferry'!F78)</f>
        <v>323481</v>
      </c>
    </row>
    <row r="23" spans="1:18" ht="12.95" customHeight="1" thickBot="1" x14ac:dyDescent="0.3">
      <c r="A23" s="561"/>
      <c r="B23" s="533"/>
      <c r="C23" s="84"/>
      <c r="D23" s="561"/>
      <c r="E23" s="533"/>
      <c r="F23" s="82"/>
      <c r="G23" s="561"/>
      <c r="H23" s="560"/>
      <c r="I23" s="82"/>
      <c r="J23" s="561"/>
      <c r="K23" s="562"/>
      <c r="L23" s="82"/>
      <c r="M23" s="522"/>
      <c r="N23" s="560"/>
      <c r="P23" s="552"/>
      <c r="Q23" s="555"/>
    </row>
    <row r="24" spans="1:18" ht="12.95" customHeight="1" thickBot="1" x14ac:dyDescent="0.3">
      <c r="A24" s="525" t="s">
        <v>14</v>
      </c>
      <c r="B24" s="523">
        <f>SUM(SeaStreak!E19:F19,'New York Water Taxi'!H19,'NYC Ferry'!I19,'NYC Ferry'!V19,'NYC Ferry'!AA19,'NYC Ferry'!AH19)</f>
        <v>6359</v>
      </c>
      <c r="C24" s="7"/>
      <c r="D24" s="525" t="s">
        <v>14</v>
      </c>
      <c r="E24" s="523">
        <f>SUM(SeaStreak!E30:F30,'New York Water Taxi'!H30, 'NYC Ferry'!I30,'NYC Ferry'!V30,'NYC Ferry'!AA30,'NYC Ferry'!AH30)</f>
        <v>9539</v>
      </c>
      <c r="F24" s="82"/>
      <c r="G24" s="525" t="s">
        <v>14</v>
      </c>
      <c r="H24" s="523">
        <f>SUM(SeaStreak!E41:F41,'New York Water Taxi'!H41, 'NYC Ferry'!I41,'NYC Ferry'!V41,'NYC Ferry'!AA41,'NYC Ferry'!AH41)</f>
        <v>12597</v>
      </c>
      <c r="I24" s="82"/>
      <c r="J24" s="525" t="s">
        <v>14</v>
      </c>
      <c r="K24" s="523">
        <f>SUM(SeaStreak!E52:F52,'New York Water Taxi'!H52,'NYC Ferry'!I52,'NYC Ferry'!V52,'NYC Ferry'!AA52,'NYC Ferry'!AH52)</f>
        <v>11438</v>
      </c>
      <c r="L24" s="82"/>
      <c r="M24" s="525" t="s">
        <v>14</v>
      </c>
      <c r="N24" s="523">
        <f>SUM('NYC Ferry'!I63,'NYC Ferry'!V63,'NYC Ferry'!AA63,'NYC Ferry'!AH63,SeaStreak!E63:F63,'New York Water Taxi'!H63,)</f>
        <v>12665</v>
      </c>
      <c r="P24" s="553"/>
      <c r="Q24" s="556"/>
    </row>
    <row r="25" spans="1:18" ht="12.95" customHeight="1" thickBot="1" x14ac:dyDescent="0.3">
      <c r="A25" s="526"/>
      <c r="B25" s="540"/>
      <c r="C25" s="86"/>
      <c r="D25" s="526"/>
      <c r="E25" s="527"/>
      <c r="F25" s="82"/>
      <c r="G25" s="526"/>
      <c r="H25" s="527"/>
      <c r="I25" s="82"/>
      <c r="J25" s="526"/>
      <c r="K25" s="527"/>
      <c r="L25" s="82"/>
      <c r="M25" s="526"/>
      <c r="N25" s="527"/>
      <c r="P25" s="385"/>
      <c r="Q25" s="388"/>
    </row>
    <row r="26" spans="1:18" ht="12.95" customHeight="1" thickBot="1" x14ac:dyDescent="0.3">
      <c r="A26" s="520" t="s">
        <v>9</v>
      </c>
      <c r="B26" s="532">
        <f>SUM('NY Waterway-(Port Imperial FC)'!K19:N19, 'Liberty Landing Ferry'!C19, 'New York Water Taxi'!C19)</f>
        <v>1919</v>
      </c>
      <c r="C26" s="9"/>
      <c r="D26" s="520" t="s">
        <v>9</v>
      </c>
      <c r="E26" s="508">
        <f>SUM('NY Waterway-(Port Imperial FC)'!K30:N30, 'Liberty Landing Ferry'!C30, 'New York Water Taxi'!C30)</f>
        <v>2709</v>
      </c>
      <c r="F26" s="82"/>
      <c r="G26" s="520" t="s">
        <v>9</v>
      </c>
      <c r="H26" s="532">
        <f>SUM('NY Waterway-(Port Imperial FC)'!K41:N41, 'Liberty Landing Ferry'!C41, 'New York Water Taxi'!C41)</f>
        <v>2915</v>
      </c>
      <c r="I26" s="82"/>
      <c r="J26" s="520" t="s">
        <v>9</v>
      </c>
      <c r="K26" s="532">
        <f>SUM('NY Waterway-(Port Imperial FC)'!K52:N52, 'Liberty Landing Ferry'!C52, 'New York Water Taxi'!C52)</f>
        <v>3595</v>
      </c>
      <c r="L26" s="82"/>
      <c r="M26" s="520" t="s">
        <v>9</v>
      </c>
      <c r="N26" s="532">
        <f>SUM('NY Waterway-(Port Imperial FC)'!K63:N63,'Liberty Landing Ferry'!C63,'New York Water Taxi'!C63)</f>
        <v>3839</v>
      </c>
      <c r="P26" s="386" t="s">
        <v>105</v>
      </c>
      <c r="Q26" s="389">
        <v>23</v>
      </c>
    </row>
    <row r="27" spans="1:18" ht="12.95" customHeight="1" thickBot="1" x14ac:dyDescent="0.3">
      <c r="A27" s="521"/>
      <c r="B27" s="533"/>
      <c r="C27" s="87"/>
      <c r="D27" s="521"/>
      <c r="E27" s="534"/>
      <c r="F27" s="82"/>
      <c r="G27" s="521"/>
      <c r="H27" s="534"/>
      <c r="I27" s="82"/>
      <c r="J27" s="521"/>
      <c r="K27" s="534"/>
      <c r="L27" s="82"/>
      <c r="M27" s="521"/>
      <c r="N27" s="534"/>
      <c r="P27" s="384"/>
      <c r="Q27" s="387"/>
      <c r="R27" s="96"/>
    </row>
    <row r="28" spans="1:18" s="96" customFormat="1" ht="12.95" customHeight="1" x14ac:dyDescent="0.2">
      <c r="A28" s="520" t="s">
        <v>7</v>
      </c>
      <c r="B28" s="508">
        <f>SUM('New York Water Taxi'!D19)</f>
        <v>0</v>
      </c>
      <c r="C28" s="10"/>
      <c r="D28" s="520" t="s">
        <v>7</v>
      </c>
      <c r="E28" s="508">
        <f>SUM('New York Water Taxi'!D30)</f>
        <v>0</v>
      </c>
      <c r="F28" s="95"/>
      <c r="G28" s="520" t="s">
        <v>7</v>
      </c>
      <c r="H28" s="508">
        <f>SUM('New York Water Taxi'!D41)</f>
        <v>0</v>
      </c>
      <c r="I28" s="95"/>
      <c r="J28" s="520" t="s">
        <v>7</v>
      </c>
      <c r="K28" s="508">
        <f>SUM('New York Water Taxi'!D52)</f>
        <v>0</v>
      </c>
      <c r="L28" s="95"/>
      <c r="M28" s="520" t="s">
        <v>7</v>
      </c>
      <c r="N28" s="508">
        <f>SUM('New York Water Taxi'!D63)</f>
        <v>0</v>
      </c>
      <c r="P28" s="551" t="s">
        <v>106</v>
      </c>
      <c r="Q28" s="557">
        <f>Q22/Q26</f>
        <v>14064.391304347826</v>
      </c>
    </row>
    <row r="29" spans="1:18" s="96" customFormat="1" ht="12.95" customHeight="1" thickBot="1" x14ac:dyDescent="0.3">
      <c r="A29" s="521"/>
      <c r="B29" s="509"/>
      <c r="C29" s="90"/>
      <c r="D29" s="521"/>
      <c r="E29" s="528"/>
      <c r="F29" s="95"/>
      <c r="G29" s="521"/>
      <c r="H29" s="528"/>
      <c r="I29" s="95"/>
      <c r="J29" s="521"/>
      <c r="K29" s="528"/>
      <c r="L29" s="95"/>
      <c r="M29" s="521"/>
      <c r="N29" s="528"/>
      <c r="P29" s="552"/>
      <c r="Q29" s="558"/>
      <c r="R29" s="97"/>
    </row>
    <row r="30" spans="1:18" ht="12.75" customHeight="1" thickBot="1" x14ac:dyDescent="0.3">
      <c r="A30" s="520" t="s">
        <v>92</v>
      </c>
      <c r="B30" s="508">
        <f>SUM('New York Water Taxi'!F19)</f>
        <v>0</v>
      </c>
      <c r="C30" s="82"/>
      <c r="D30" s="520" t="s">
        <v>92</v>
      </c>
      <c r="E30" s="508">
        <f>SUM('New York Water Taxi'!F30)</f>
        <v>0</v>
      </c>
      <c r="F30" s="82"/>
      <c r="G30" s="520" t="s">
        <v>92</v>
      </c>
      <c r="H30" s="508">
        <f>SUM('New York Water Taxi'!F41)</f>
        <v>0</v>
      </c>
      <c r="I30" s="82"/>
      <c r="J30" s="520" t="s">
        <v>92</v>
      </c>
      <c r="K30" s="508">
        <f>SUM('New York Water Taxi'!F52)</f>
        <v>0</v>
      </c>
      <c r="L30" s="82"/>
      <c r="M30" s="520" t="s">
        <v>92</v>
      </c>
      <c r="N30" s="508">
        <f>SUM('New York Water Taxi'!F63)</f>
        <v>0</v>
      </c>
      <c r="P30" s="553"/>
      <c r="Q30" s="559"/>
    </row>
    <row r="31" spans="1:18" ht="14.25" thickBot="1" x14ac:dyDescent="0.3">
      <c r="A31" s="521"/>
      <c r="B31" s="509"/>
      <c r="C31" s="82"/>
      <c r="D31" s="521"/>
      <c r="E31" s="564"/>
      <c r="F31" s="82"/>
      <c r="G31" s="521"/>
      <c r="H31" s="529"/>
      <c r="I31" s="82"/>
      <c r="J31" s="521"/>
      <c r="K31" s="564"/>
      <c r="L31" s="82"/>
      <c r="M31" s="521"/>
      <c r="N31" s="529"/>
    </row>
    <row r="32" spans="1:18" ht="12.75" customHeight="1" x14ac:dyDescent="0.25">
      <c r="A32" s="520" t="s">
        <v>89</v>
      </c>
      <c r="B32" s="508">
        <f>('New York Water Taxi'!G19)</f>
        <v>0</v>
      </c>
      <c r="C32" s="82"/>
      <c r="D32" s="520" t="s">
        <v>89</v>
      </c>
      <c r="E32" s="508">
        <f>'New York Water Taxi'!G30</f>
        <v>0</v>
      </c>
      <c r="F32" s="82"/>
      <c r="G32" s="520" t="s">
        <v>89</v>
      </c>
      <c r="H32" s="508">
        <f>'New York Water Taxi'!G41</f>
        <v>0</v>
      </c>
      <c r="I32" s="82"/>
      <c r="J32" s="520" t="s">
        <v>89</v>
      </c>
      <c r="K32" s="508">
        <f>'New York Water Taxi'!G52</f>
        <v>0</v>
      </c>
      <c r="L32" s="82"/>
      <c r="M32" s="520" t="s">
        <v>89</v>
      </c>
      <c r="N32" s="508">
        <f>SUM('New York Water Taxi'!G63)</f>
        <v>0</v>
      </c>
    </row>
    <row r="33" spans="1:14" ht="14.25" customHeight="1" thickBot="1" x14ac:dyDescent="0.3">
      <c r="A33" s="521"/>
      <c r="B33" s="509"/>
      <c r="C33" s="82"/>
      <c r="D33" s="521"/>
      <c r="E33" s="565"/>
      <c r="F33" s="82"/>
      <c r="G33" s="521"/>
      <c r="H33" s="517"/>
      <c r="I33" s="82"/>
      <c r="J33" s="521"/>
      <c r="K33" s="509"/>
      <c r="L33" s="82"/>
      <c r="M33" s="521"/>
      <c r="N33" s="509"/>
    </row>
    <row r="34" spans="1:14" x14ac:dyDescent="0.25">
      <c r="A34" s="506" t="s">
        <v>59</v>
      </c>
      <c r="B34" s="508">
        <f>SUM('NYC Ferry'!D19+'NYC Ferry'!N19,'New York Water Taxi'!E19)</f>
        <v>2017</v>
      </c>
      <c r="C34" s="82"/>
      <c r="D34" s="506" t="s">
        <v>59</v>
      </c>
      <c r="E34" s="508">
        <f>SUM('NYC Ferry'!D30+'NYC Ferry'!N30,'New York Water Taxi'!E30)</f>
        <v>2390</v>
      </c>
      <c r="F34" s="82"/>
      <c r="G34" s="506" t="s">
        <v>59</v>
      </c>
      <c r="H34" s="508">
        <f>SUM('NYC Ferry'!D41+'NYC Ferry'!N41,'New York Water Taxi'!E41)</f>
        <v>3917</v>
      </c>
      <c r="I34" s="82"/>
      <c r="J34" s="506" t="s">
        <v>59</v>
      </c>
      <c r="K34" s="508">
        <f>SUM('NYC Ferry'!D52+'NYC Ferry'!N52,'New York Water Taxi'!E52)</f>
        <v>2834</v>
      </c>
      <c r="L34" s="82"/>
      <c r="M34" s="506" t="s">
        <v>59</v>
      </c>
      <c r="N34" s="508">
        <f>SUM('NYC Ferry'!D63,'NYC Ferry'!N63,'New York Water Taxi'!E63)</f>
        <v>3458</v>
      </c>
    </row>
    <row r="35" spans="1:14" ht="14.25" thickBot="1" x14ac:dyDescent="0.3">
      <c r="A35" s="507"/>
      <c r="B35" s="509"/>
      <c r="C35" s="82"/>
      <c r="D35" s="507"/>
      <c r="E35" s="509"/>
      <c r="F35" s="82"/>
      <c r="G35" s="507"/>
      <c r="H35" s="509"/>
      <c r="I35" s="82"/>
      <c r="J35" s="507"/>
      <c r="K35" s="509"/>
      <c r="L35" s="82"/>
      <c r="M35" s="507"/>
      <c r="N35" s="509"/>
    </row>
    <row r="36" spans="1:14" ht="12.75" customHeight="1" x14ac:dyDescent="0.25">
      <c r="A36" s="506" t="s">
        <v>60</v>
      </c>
      <c r="B36" s="508">
        <f>SUM('NYC Ferry'!E19)</f>
        <v>809</v>
      </c>
      <c r="C36" s="82"/>
      <c r="D36" s="506" t="s">
        <v>60</v>
      </c>
      <c r="E36" s="508">
        <f>SUM('NYC Ferry'!E30)</f>
        <v>931</v>
      </c>
      <c r="F36" s="82"/>
      <c r="G36" s="506" t="s">
        <v>60</v>
      </c>
      <c r="H36" s="508">
        <f>SUM('NYC Ferry'!E41)</f>
        <v>1584</v>
      </c>
      <c r="I36" s="82"/>
      <c r="J36" s="506" t="s">
        <v>60</v>
      </c>
      <c r="K36" s="508">
        <f>SUM('NYC Ferry'!E52)</f>
        <v>1147</v>
      </c>
      <c r="L36" s="82"/>
      <c r="M36" s="506" t="s">
        <v>60</v>
      </c>
      <c r="N36" s="508">
        <f>SUM('NYC Ferry'!E63)</f>
        <v>1217</v>
      </c>
    </row>
    <row r="37" spans="1:14" ht="13.5" customHeight="1" thickBot="1" x14ac:dyDescent="0.3">
      <c r="A37" s="507"/>
      <c r="B37" s="509"/>
      <c r="C37" s="82"/>
      <c r="D37" s="507"/>
      <c r="E37" s="509"/>
      <c r="F37" s="82"/>
      <c r="G37" s="507"/>
      <c r="H37" s="509"/>
      <c r="I37" s="82"/>
      <c r="J37" s="507"/>
      <c r="K37" s="509"/>
      <c r="L37" s="82"/>
      <c r="M37" s="507"/>
      <c r="N37" s="509"/>
    </row>
    <row r="38" spans="1:14" ht="12.75" customHeight="1" x14ac:dyDescent="0.25">
      <c r="A38" s="506" t="s">
        <v>11</v>
      </c>
      <c r="B38" s="508">
        <f>SUM('NYC Ferry'!F19)</f>
        <v>1484</v>
      </c>
      <c r="C38" s="82"/>
      <c r="D38" s="506" t="s">
        <v>11</v>
      </c>
      <c r="E38" s="508">
        <f>SUM('NYC Ferry'!F30)</f>
        <v>1952</v>
      </c>
      <c r="F38" s="82"/>
      <c r="G38" s="506" t="s">
        <v>11</v>
      </c>
      <c r="H38" s="508">
        <f>SUM('NYC Ferry'!F41)</f>
        <v>2948</v>
      </c>
      <c r="I38" s="82"/>
      <c r="J38" s="506" t="s">
        <v>11</v>
      </c>
      <c r="K38" s="508">
        <f>SUM('NYC Ferry'!F52)</f>
        <v>2420</v>
      </c>
      <c r="L38" s="82"/>
      <c r="M38" s="506" t="s">
        <v>11</v>
      </c>
      <c r="N38" s="508">
        <f>SUM('NYC Ferry'!F63)</f>
        <v>2918</v>
      </c>
    </row>
    <row r="39" spans="1:14" ht="13.5" customHeight="1" thickBot="1" x14ac:dyDescent="0.3">
      <c r="A39" s="507"/>
      <c r="B39" s="509"/>
      <c r="C39" s="82"/>
      <c r="D39" s="507"/>
      <c r="E39" s="509"/>
      <c r="F39" s="82"/>
      <c r="G39" s="507"/>
      <c r="H39" s="509"/>
      <c r="I39" s="82"/>
      <c r="J39" s="507"/>
      <c r="K39" s="509"/>
      <c r="L39" s="82"/>
      <c r="M39" s="507"/>
      <c r="N39" s="509"/>
    </row>
    <row r="40" spans="1:14" ht="12.75" customHeight="1" x14ac:dyDescent="0.25">
      <c r="A40" s="506" t="s">
        <v>12</v>
      </c>
      <c r="B40" s="508">
        <f>SUM('NYC Ferry'!G19)</f>
        <v>889</v>
      </c>
      <c r="C40" s="82"/>
      <c r="D40" s="506" t="s">
        <v>12</v>
      </c>
      <c r="E40" s="508">
        <f>SUM('NYC Ferry'!G30)</f>
        <v>1329</v>
      </c>
      <c r="F40" s="82"/>
      <c r="G40" s="506" t="s">
        <v>12</v>
      </c>
      <c r="H40" s="508">
        <f>SUM('NYC Ferry'!G41)</f>
        <v>1994</v>
      </c>
      <c r="I40" s="82"/>
      <c r="J40" s="506" t="s">
        <v>12</v>
      </c>
      <c r="K40" s="508">
        <f>SUM('NYC Ferry'!G52)</f>
        <v>1700</v>
      </c>
      <c r="L40" s="82"/>
      <c r="M40" s="506" t="s">
        <v>12</v>
      </c>
      <c r="N40" s="508">
        <f>SUM('NYC Ferry'!G63)</f>
        <v>1877</v>
      </c>
    </row>
    <row r="41" spans="1:14" ht="13.5" customHeight="1" thickBot="1" x14ac:dyDescent="0.3">
      <c r="A41" s="507"/>
      <c r="B41" s="509"/>
      <c r="C41" s="82"/>
      <c r="D41" s="507"/>
      <c r="E41" s="509"/>
      <c r="F41" s="82"/>
      <c r="G41" s="507"/>
      <c r="H41" s="509"/>
      <c r="I41" s="82"/>
      <c r="J41" s="507"/>
      <c r="K41" s="509"/>
      <c r="L41" s="82"/>
      <c r="M41" s="507"/>
      <c r="N41" s="509"/>
    </row>
    <row r="42" spans="1:14" ht="12.75" customHeight="1" x14ac:dyDescent="0.25">
      <c r="A42" s="506" t="s">
        <v>85</v>
      </c>
      <c r="B42" s="508">
        <f>SUM('NYC Ferry'!H19,)</f>
        <v>1138</v>
      </c>
      <c r="C42" s="82"/>
      <c r="D42" s="506" t="s">
        <v>85</v>
      </c>
      <c r="E42" s="508">
        <f>SUM('NYC Ferry'!H30)</f>
        <v>1517</v>
      </c>
      <c r="F42" s="82"/>
      <c r="G42" s="506" t="s">
        <v>85</v>
      </c>
      <c r="H42" s="508">
        <f>SUM('NYC Ferry'!H41)</f>
        <v>2322</v>
      </c>
      <c r="I42" s="82"/>
      <c r="J42" s="506" t="s">
        <v>85</v>
      </c>
      <c r="K42" s="508">
        <f>SUM('NYC Ferry'!H52)</f>
        <v>1572</v>
      </c>
      <c r="L42" s="82"/>
      <c r="M42" s="506" t="s">
        <v>85</v>
      </c>
      <c r="N42" s="508">
        <f>SUM('NYC Ferry'!H63,)</f>
        <v>2064</v>
      </c>
    </row>
    <row r="43" spans="1:14" ht="13.5" customHeight="1" thickBot="1" x14ac:dyDescent="0.3">
      <c r="A43" s="507"/>
      <c r="B43" s="509"/>
      <c r="C43" s="82"/>
      <c r="D43" s="507"/>
      <c r="E43" s="509"/>
      <c r="F43" s="82"/>
      <c r="G43" s="507"/>
      <c r="H43" s="509"/>
      <c r="I43" s="82"/>
      <c r="J43" s="507"/>
      <c r="K43" s="509"/>
      <c r="L43" s="82"/>
      <c r="M43" s="507"/>
      <c r="N43" s="509"/>
    </row>
    <row r="44" spans="1:14" ht="12.75" customHeight="1" x14ac:dyDescent="0.25">
      <c r="A44" s="506" t="s">
        <v>73</v>
      </c>
      <c r="B44" s="508">
        <f>SUM('NYC Ferry'!P19)</f>
        <v>338</v>
      </c>
      <c r="C44" s="82"/>
      <c r="D44" s="506" t="s">
        <v>73</v>
      </c>
      <c r="E44" s="508">
        <f>SUM('NYC Ferry'!P30)</f>
        <v>344</v>
      </c>
      <c r="F44" s="82"/>
      <c r="G44" s="506" t="s">
        <v>73</v>
      </c>
      <c r="H44" s="508">
        <f>SUM('NYC Ferry'!P41)</f>
        <v>472</v>
      </c>
      <c r="I44" s="82"/>
      <c r="J44" s="506" t="s">
        <v>73</v>
      </c>
      <c r="K44" s="508">
        <f>SUM('NYC Ferry'!P52)</f>
        <v>445</v>
      </c>
      <c r="L44" s="82"/>
      <c r="M44" s="506" t="s">
        <v>73</v>
      </c>
      <c r="N44" s="508">
        <f>SUM('NYC Ferry'!P63)</f>
        <v>427</v>
      </c>
    </row>
    <row r="45" spans="1:14" ht="13.5" customHeight="1" thickBot="1" x14ac:dyDescent="0.3">
      <c r="A45" s="507"/>
      <c r="B45" s="509"/>
      <c r="C45" s="82"/>
      <c r="D45" s="507"/>
      <c r="E45" s="509"/>
      <c r="F45" s="82"/>
      <c r="G45" s="507"/>
      <c r="H45" s="509"/>
      <c r="I45" s="82"/>
      <c r="J45" s="507"/>
      <c r="K45" s="509"/>
      <c r="L45" s="82"/>
      <c r="M45" s="507"/>
      <c r="N45" s="509"/>
    </row>
    <row r="46" spans="1:14" ht="13.5" customHeight="1" x14ac:dyDescent="0.25">
      <c r="A46" s="506" t="s">
        <v>98</v>
      </c>
      <c r="B46" s="508">
        <f>'New York Water Taxi'!K19</f>
        <v>0</v>
      </c>
      <c r="C46" s="82"/>
      <c r="D46" s="506" t="s">
        <v>98</v>
      </c>
      <c r="E46" s="508">
        <f>'New York Water Taxi'!K30</f>
        <v>0</v>
      </c>
      <c r="F46" s="82"/>
      <c r="G46" s="506" t="s">
        <v>98</v>
      </c>
      <c r="H46" s="508">
        <f>SUM('New York Water Taxi'!K41)</f>
        <v>0</v>
      </c>
      <c r="I46" s="82"/>
      <c r="J46" s="506" t="s">
        <v>98</v>
      </c>
      <c r="K46" s="508">
        <f>'New York Water Taxi'!K52</f>
        <v>0</v>
      </c>
      <c r="L46" s="82"/>
      <c r="M46" s="506" t="s">
        <v>98</v>
      </c>
      <c r="N46" s="508">
        <f>SUM('New York Water Taxi'!K63)</f>
        <v>0</v>
      </c>
    </row>
    <row r="47" spans="1:14" ht="13.5" customHeight="1" thickBot="1" x14ac:dyDescent="0.3">
      <c r="A47" s="507"/>
      <c r="B47" s="509"/>
      <c r="C47" s="82"/>
      <c r="D47" s="507"/>
      <c r="E47" s="509"/>
      <c r="F47" s="82"/>
      <c r="G47" s="507"/>
      <c r="H47" s="515"/>
      <c r="I47" s="82"/>
      <c r="J47" s="507"/>
      <c r="K47" s="515"/>
      <c r="L47" s="82"/>
      <c r="M47" s="507"/>
      <c r="N47" s="515"/>
    </row>
    <row r="48" spans="1:14" ht="13.5" customHeight="1" x14ac:dyDescent="0.25">
      <c r="A48" s="518" t="s">
        <v>104</v>
      </c>
      <c r="B48" s="508">
        <f>SUM('NYC Ferry'!K19,'NYC Ferry'!Q19,'New York Water Taxi'!I19)</f>
        <v>1320</v>
      </c>
      <c r="C48" s="82"/>
      <c r="D48" s="518" t="s">
        <v>104</v>
      </c>
      <c r="E48" s="508">
        <f>SUM('NYC Ferry'!K30,'NYC Ferry'!Q30,'New York Water Taxi'!I30)</f>
        <v>2113</v>
      </c>
      <c r="F48" s="82"/>
      <c r="G48" s="518" t="s">
        <v>104</v>
      </c>
      <c r="H48" s="508">
        <f>SUM('NYC Ferry'!K41,'NYC Ferry'!Q41,'New York Water Taxi'!I41)</f>
        <v>2678</v>
      </c>
      <c r="I48" s="82"/>
      <c r="J48" s="518" t="s">
        <v>104</v>
      </c>
      <c r="K48" s="508">
        <f>SUM('NYC Ferry'!K52,'NYC Ferry'!Q52,'New York Water Taxi'!I52)</f>
        <v>2158</v>
      </c>
      <c r="L48" s="82"/>
      <c r="M48" s="518" t="s">
        <v>104</v>
      </c>
      <c r="N48" s="508">
        <f>SUM('NYC Ferry'!K63,'NYC Ferry'!Q63,'New York Water Taxi'!I63)</f>
        <v>2579</v>
      </c>
    </row>
    <row r="49" spans="1:14" ht="13.5" customHeight="1" thickBot="1" x14ac:dyDescent="0.3">
      <c r="A49" s="519"/>
      <c r="B49" s="509"/>
      <c r="C49" s="82"/>
      <c r="D49" s="519"/>
      <c r="E49" s="509"/>
      <c r="F49" s="82"/>
      <c r="G49" s="519"/>
      <c r="H49" s="517"/>
      <c r="I49" s="82"/>
      <c r="J49" s="519"/>
      <c r="K49" s="517"/>
      <c r="L49" s="82"/>
      <c r="M49" s="519"/>
      <c r="N49" s="517"/>
    </row>
    <row r="50" spans="1:14" ht="13.5" customHeight="1" x14ac:dyDescent="0.25">
      <c r="A50" s="506" t="s">
        <v>79</v>
      </c>
      <c r="B50" s="508">
        <f>SUM('NYC Ferry'!AG19,'NYC Ferry'!AD19)</f>
        <v>357</v>
      </c>
      <c r="C50" s="82"/>
      <c r="D50" s="506" t="s">
        <v>79</v>
      </c>
      <c r="E50" s="508">
        <f>SUM('NYC Ferry'!AG30,'NYC Ferry'!AD30)</f>
        <v>508</v>
      </c>
      <c r="F50" s="82"/>
      <c r="G50" s="506" t="s">
        <v>79</v>
      </c>
      <c r="H50" s="516">
        <f>SUM('NYC Ferry'!AG41,'NYC Ferry'!AD41,)</f>
        <v>711</v>
      </c>
      <c r="I50" s="82"/>
      <c r="J50" s="506" t="s">
        <v>79</v>
      </c>
      <c r="K50" s="516">
        <f>SUM('NYC Ferry'!AG52,'NYC Ferry'!AD52,)</f>
        <v>620</v>
      </c>
      <c r="L50" s="82"/>
      <c r="M50" s="506" t="s">
        <v>79</v>
      </c>
      <c r="N50" s="516">
        <f>SUM('NYC Ferry'!AG63,'NYC Ferry'!AD63,)</f>
        <v>651</v>
      </c>
    </row>
    <row r="51" spans="1:14" ht="13.5" customHeight="1" thickBot="1" x14ac:dyDescent="0.3">
      <c r="A51" s="507"/>
      <c r="B51" s="509"/>
      <c r="C51" s="82"/>
      <c r="D51" s="507"/>
      <c r="E51" s="509"/>
      <c r="F51" s="82"/>
      <c r="G51" s="507"/>
      <c r="H51" s="517"/>
      <c r="I51" s="82"/>
      <c r="J51" s="507"/>
      <c r="K51" s="517"/>
      <c r="L51" s="82"/>
      <c r="M51" s="507"/>
      <c r="N51" s="517"/>
    </row>
    <row r="52" spans="1:14" ht="13.5" customHeight="1" x14ac:dyDescent="0.25">
      <c r="A52" s="506" t="s">
        <v>80</v>
      </c>
      <c r="B52" s="508">
        <f>SUM('NYC Ferry'!AF19,'NYC Ferry'!S19)</f>
        <v>270</v>
      </c>
      <c r="C52" s="82"/>
      <c r="D52" s="506" t="s">
        <v>80</v>
      </c>
      <c r="E52" s="508">
        <f>SUM('NYC Ferry'!AF30,'NYC Ferry'!S30,)</f>
        <v>305</v>
      </c>
      <c r="F52" s="82"/>
      <c r="G52" s="506" t="s">
        <v>80</v>
      </c>
      <c r="H52" s="516">
        <f>SUM('NYC Ferry'!AF41,'NYC Ferry'!S41,)</f>
        <v>518</v>
      </c>
      <c r="I52" s="82"/>
      <c r="J52" s="506" t="s">
        <v>80</v>
      </c>
      <c r="K52" s="516">
        <f>SUM('NYC Ferry'!AF52,'NYC Ferry'!S52,)</f>
        <v>384</v>
      </c>
      <c r="L52" s="82"/>
      <c r="M52" s="506" t="s">
        <v>80</v>
      </c>
      <c r="N52" s="516">
        <f>SUM('NYC Ferry'!AF63,'NYC Ferry'!S63,)</f>
        <v>388</v>
      </c>
    </row>
    <row r="53" spans="1:14" ht="13.5" customHeight="1" thickBot="1" x14ac:dyDescent="0.3">
      <c r="A53" s="507"/>
      <c r="B53" s="509"/>
      <c r="C53" s="82"/>
      <c r="D53" s="507"/>
      <c r="E53" s="509"/>
      <c r="F53" s="82"/>
      <c r="G53" s="507"/>
      <c r="H53" s="517"/>
      <c r="I53" s="82"/>
      <c r="J53" s="507"/>
      <c r="K53" s="517"/>
      <c r="L53" s="82"/>
      <c r="M53" s="507"/>
      <c r="N53" s="517"/>
    </row>
    <row r="54" spans="1:14" ht="13.5" customHeight="1" x14ac:dyDescent="0.25">
      <c r="A54" s="506" t="s">
        <v>82</v>
      </c>
      <c r="B54" s="508">
        <f>SUM('NYC Ferry'!AC19)</f>
        <v>1246</v>
      </c>
      <c r="C54" s="82"/>
      <c r="D54" s="506" t="s">
        <v>82</v>
      </c>
      <c r="E54" s="508">
        <f>SUM('NYC Ferry'!AC30)</f>
        <v>1990</v>
      </c>
      <c r="F54" s="82"/>
      <c r="G54" s="506" t="s">
        <v>82</v>
      </c>
      <c r="H54" s="516">
        <f>SUM('NYC Ferry'!AC41)</f>
        <v>2587</v>
      </c>
      <c r="I54" s="82"/>
      <c r="J54" s="506" t="s">
        <v>82</v>
      </c>
      <c r="K54" s="516">
        <f>SUM('NYC Ferry'!AC52)</f>
        <v>2268</v>
      </c>
      <c r="L54" s="82"/>
      <c r="M54" s="506" t="s">
        <v>82</v>
      </c>
      <c r="N54" s="516">
        <f>SUM('NYC Ferry'!AC63)</f>
        <v>2584</v>
      </c>
    </row>
    <row r="55" spans="1:14" ht="13.5" customHeight="1" thickBot="1" x14ac:dyDescent="0.3">
      <c r="A55" s="507"/>
      <c r="B55" s="509"/>
      <c r="C55" s="82"/>
      <c r="D55" s="507"/>
      <c r="E55" s="509"/>
      <c r="F55" s="82"/>
      <c r="G55" s="507"/>
      <c r="H55" s="517"/>
      <c r="I55" s="82"/>
      <c r="J55" s="507"/>
      <c r="K55" s="517"/>
      <c r="L55" s="82"/>
      <c r="M55" s="507"/>
      <c r="N55" s="517"/>
    </row>
    <row r="56" spans="1:14" ht="13.5" customHeight="1" x14ac:dyDescent="0.25">
      <c r="A56" s="506" t="s">
        <v>81</v>
      </c>
      <c r="B56" s="508">
        <f>SUM('NYC Ferry'!AB19)</f>
        <v>1334</v>
      </c>
      <c r="C56" s="82"/>
      <c r="D56" s="506" t="s">
        <v>81</v>
      </c>
      <c r="E56" s="508">
        <f>SUM('NYC Ferry'!AB30)</f>
        <v>1594</v>
      </c>
      <c r="F56" s="82"/>
      <c r="G56" s="506" t="s">
        <v>81</v>
      </c>
      <c r="H56" s="516">
        <f>SUM('NYC Ferry'!AB41)</f>
        <v>2250</v>
      </c>
      <c r="I56" s="82"/>
      <c r="J56" s="506" t="s">
        <v>81</v>
      </c>
      <c r="K56" s="516">
        <f>SUM('NYC Ferry'!AB52)</f>
        <v>1818</v>
      </c>
      <c r="L56" s="82"/>
      <c r="M56" s="506" t="s">
        <v>81</v>
      </c>
      <c r="N56" s="516">
        <f>SUM('NYC Ferry'!AB63)</f>
        <v>2292</v>
      </c>
    </row>
    <row r="57" spans="1:14" ht="13.5" customHeight="1" thickBot="1" x14ac:dyDescent="0.3">
      <c r="A57" s="507"/>
      <c r="B57" s="509"/>
      <c r="C57" s="82"/>
      <c r="D57" s="507"/>
      <c r="E57" s="509"/>
      <c r="F57" s="82"/>
      <c r="G57" s="507"/>
      <c r="H57" s="517"/>
      <c r="I57" s="82"/>
      <c r="J57" s="507"/>
      <c r="K57" s="517"/>
      <c r="L57" s="82"/>
      <c r="M57" s="507"/>
      <c r="N57" s="517"/>
    </row>
    <row r="58" spans="1:14" ht="12.75" customHeight="1" x14ac:dyDescent="0.25">
      <c r="A58" s="506" t="s">
        <v>13</v>
      </c>
      <c r="B58" s="508">
        <f>SUM('NYC Ferry'!O19)</f>
        <v>493</v>
      </c>
      <c r="C58" s="82"/>
      <c r="D58" s="506" t="s">
        <v>13</v>
      </c>
      <c r="E58" s="508">
        <f>'NYC Ferry'!O30</f>
        <v>759</v>
      </c>
      <c r="F58" s="82"/>
      <c r="G58" s="506" t="s">
        <v>13</v>
      </c>
      <c r="H58" s="508">
        <f>'NYC Ferry'!O41</f>
        <v>1001</v>
      </c>
      <c r="I58" s="82"/>
      <c r="J58" s="506" t="s">
        <v>13</v>
      </c>
      <c r="K58" s="508">
        <f>'NYC Ferry'!O52</f>
        <v>848</v>
      </c>
      <c r="L58" s="82"/>
      <c r="M58" s="506" t="s">
        <v>13</v>
      </c>
      <c r="N58" s="508">
        <f>SUM('NYC Ferry'!O63)</f>
        <v>1035</v>
      </c>
    </row>
    <row r="59" spans="1:14" ht="13.5" customHeight="1" thickBot="1" x14ac:dyDescent="0.3">
      <c r="A59" s="507"/>
      <c r="B59" s="509"/>
      <c r="C59" s="82"/>
      <c r="D59" s="507"/>
      <c r="E59" s="509"/>
      <c r="F59" s="82"/>
      <c r="G59" s="507"/>
      <c r="H59" s="509"/>
      <c r="I59" s="82"/>
      <c r="J59" s="507"/>
      <c r="K59" s="509"/>
      <c r="L59" s="82"/>
      <c r="M59" s="507"/>
      <c r="N59" s="509"/>
    </row>
    <row r="60" spans="1:14" ht="13.5" customHeight="1" x14ac:dyDescent="0.25">
      <c r="A60" s="514" t="s">
        <v>30</v>
      </c>
      <c r="B60" s="508">
        <f>'NYC Ferry'!AK19</f>
        <v>0</v>
      </c>
      <c r="C60" s="82"/>
      <c r="D60" s="514" t="s">
        <v>30</v>
      </c>
      <c r="E60" s="508">
        <f>'NYC Ferry'!AK30</f>
        <v>0</v>
      </c>
      <c r="F60" s="82"/>
      <c r="G60" s="514" t="s">
        <v>30</v>
      </c>
      <c r="H60" s="515">
        <f>'NYC Ferry'!AK41</f>
        <v>0</v>
      </c>
      <c r="I60" s="82"/>
      <c r="J60" s="514" t="s">
        <v>30</v>
      </c>
      <c r="K60" s="515">
        <f>SUM('NYC Ferry'!AK52,'NY Waterway-(Port Imperial FC)'!I52)</f>
        <v>8801</v>
      </c>
      <c r="L60" s="82"/>
      <c r="M60" s="514" t="s">
        <v>30</v>
      </c>
      <c r="N60" s="515">
        <f>SUM('NYC Ferry'!AK63,'NY Waterway-(Port Imperial FC)'!I63)</f>
        <v>8270</v>
      </c>
    </row>
    <row r="61" spans="1:14" ht="13.5" customHeight="1" thickBot="1" x14ac:dyDescent="0.3">
      <c r="A61" s="507"/>
      <c r="B61" s="509"/>
      <c r="C61" s="82"/>
      <c r="D61" s="507"/>
      <c r="E61" s="509"/>
      <c r="F61" s="82"/>
      <c r="G61" s="507"/>
      <c r="H61" s="509"/>
      <c r="I61" s="82"/>
      <c r="J61" s="507"/>
      <c r="K61" s="509"/>
      <c r="L61" s="82"/>
      <c r="M61" s="507"/>
      <c r="N61" s="509"/>
    </row>
    <row r="62" spans="1:14" ht="13.5" customHeight="1" x14ac:dyDescent="0.25">
      <c r="A62" s="506" t="s">
        <v>72</v>
      </c>
      <c r="B62" s="508">
        <f>'NYC Ferry'!R19</f>
        <v>624</v>
      </c>
      <c r="C62" s="82"/>
      <c r="D62" s="506" t="s">
        <v>72</v>
      </c>
      <c r="E62" s="508">
        <f>'NYC Ferry'!R30</f>
        <v>910</v>
      </c>
      <c r="F62" s="82"/>
      <c r="G62" s="506" t="s">
        <v>72</v>
      </c>
      <c r="H62" s="515">
        <f>'NYC Ferry'!R41</f>
        <v>1413</v>
      </c>
      <c r="I62" s="82"/>
      <c r="J62" s="506" t="s">
        <v>72</v>
      </c>
      <c r="K62" s="515">
        <f>'NYC Ferry'!R52</f>
        <v>959</v>
      </c>
      <c r="L62" s="82"/>
      <c r="M62" s="506" t="s">
        <v>72</v>
      </c>
      <c r="N62" s="515">
        <f>SUM('NYC Ferry'!R63)</f>
        <v>1285</v>
      </c>
    </row>
    <row r="63" spans="1:14" ht="13.5" customHeight="1" thickBot="1" x14ac:dyDescent="0.3">
      <c r="A63" s="507"/>
      <c r="B63" s="509"/>
      <c r="C63" s="82"/>
      <c r="D63" s="507"/>
      <c r="E63" s="509"/>
      <c r="F63" s="82"/>
      <c r="G63" s="507"/>
      <c r="H63" s="509"/>
      <c r="I63" s="82"/>
      <c r="J63" s="507"/>
      <c r="K63" s="509"/>
      <c r="L63" s="82"/>
      <c r="M63" s="507"/>
      <c r="N63" s="509"/>
    </row>
    <row r="64" spans="1:14" ht="13.5" customHeight="1" x14ac:dyDescent="0.25">
      <c r="A64" s="514" t="s">
        <v>67</v>
      </c>
      <c r="B64" s="508">
        <f>'NYC Ferry'!L19</f>
        <v>3149</v>
      </c>
      <c r="C64" s="82"/>
      <c r="D64" s="514" t="s">
        <v>67</v>
      </c>
      <c r="E64" s="508">
        <f>'NYC Ferry'!L30</f>
        <v>3287</v>
      </c>
      <c r="F64" s="82"/>
      <c r="G64" s="514" t="s">
        <v>67</v>
      </c>
      <c r="H64" s="515">
        <f>'NYC Ferry'!L41</f>
        <v>4616</v>
      </c>
      <c r="I64" s="82"/>
      <c r="J64" s="514" t="s">
        <v>67</v>
      </c>
      <c r="K64" s="515">
        <f>'NYC Ferry'!L52</f>
        <v>4158</v>
      </c>
      <c r="L64" s="82"/>
      <c r="M64" s="514" t="s">
        <v>67</v>
      </c>
      <c r="N64" s="515">
        <f>SUM('NYC Ferry'!L63)</f>
        <v>5356</v>
      </c>
    </row>
    <row r="65" spans="1:14" ht="13.5" customHeight="1" thickBot="1" x14ac:dyDescent="0.3">
      <c r="A65" s="507"/>
      <c r="B65" s="509"/>
      <c r="C65" s="82"/>
      <c r="D65" s="507"/>
      <c r="E65" s="509"/>
      <c r="F65" s="82"/>
      <c r="G65" s="507"/>
      <c r="H65" s="509"/>
      <c r="I65" s="82"/>
      <c r="J65" s="507"/>
      <c r="K65" s="509"/>
      <c r="L65" s="82"/>
      <c r="M65" s="507"/>
      <c r="N65" s="509"/>
    </row>
    <row r="66" spans="1:14" ht="13.5" customHeight="1" x14ac:dyDescent="0.25">
      <c r="A66" s="514" t="s">
        <v>74</v>
      </c>
      <c r="B66" s="508">
        <f>SUM('NYC Ferry'!Y19)</f>
        <v>1313</v>
      </c>
      <c r="C66" s="82"/>
      <c r="D66" s="514" t="s">
        <v>74</v>
      </c>
      <c r="E66" s="508">
        <f>SUM('NYC Ferry'!Y30)</f>
        <v>1678</v>
      </c>
      <c r="F66" s="82"/>
      <c r="G66" s="514" t="s">
        <v>74</v>
      </c>
      <c r="H66" s="515">
        <f>SUM('NYC Ferry'!Y41)</f>
        <v>2235</v>
      </c>
      <c r="I66" s="82"/>
      <c r="J66" s="514" t="s">
        <v>74</v>
      </c>
      <c r="K66" s="515">
        <f>SUM('NYC Ferry'!Y52)</f>
        <v>1961</v>
      </c>
      <c r="L66" s="82"/>
      <c r="M66" s="514" t="s">
        <v>74</v>
      </c>
      <c r="N66" s="515">
        <f>SUM('NYC Ferry'!Y63)</f>
        <v>2199</v>
      </c>
    </row>
    <row r="67" spans="1:14" ht="13.5" customHeight="1" thickBot="1" x14ac:dyDescent="0.3">
      <c r="A67" s="507"/>
      <c r="B67" s="509"/>
      <c r="C67" s="82"/>
      <c r="D67" s="507"/>
      <c r="E67" s="509"/>
      <c r="F67" s="82"/>
      <c r="G67" s="507"/>
      <c r="H67" s="509"/>
      <c r="I67" s="82"/>
      <c r="J67" s="507"/>
      <c r="K67" s="509"/>
      <c r="L67" s="82"/>
      <c r="M67" s="507"/>
      <c r="N67" s="509"/>
    </row>
    <row r="68" spans="1:14" ht="13.5" customHeight="1" x14ac:dyDescent="0.25">
      <c r="A68" s="514" t="s">
        <v>75</v>
      </c>
      <c r="B68" s="508">
        <f>SUM('NYC Ferry'!X19)</f>
        <v>678</v>
      </c>
      <c r="C68" s="82"/>
      <c r="D68" s="514" t="s">
        <v>75</v>
      </c>
      <c r="E68" s="508">
        <f>SUM('NYC Ferry'!X30)</f>
        <v>886</v>
      </c>
      <c r="F68" s="82"/>
      <c r="G68" s="514" t="s">
        <v>75</v>
      </c>
      <c r="H68" s="515">
        <f>SUM('NYC Ferry'!X41)</f>
        <v>1269</v>
      </c>
      <c r="I68" s="82"/>
      <c r="J68" s="514" t="s">
        <v>75</v>
      </c>
      <c r="K68" s="515">
        <f>SUM('NYC Ferry'!X52)</f>
        <v>914</v>
      </c>
      <c r="L68" s="82"/>
      <c r="M68" s="514" t="s">
        <v>75</v>
      </c>
      <c r="N68" s="515">
        <f>SUM('NYC Ferry'!X63)</f>
        <v>1187</v>
      </c>
    </row>
    <row r="69" spans="1:14" ht="13.5" customHeight="1" thickBot="1" x14ac:dyDescent="0.3">
      <c r="A69" s="507"/>
      <c r="B69" s="509"/>
      <c r="C69" s="82"/>
      <c r="D69" s="507"/>
      <c r="E69" s="509"/>
      <c r="F69" s="82"/>
      <c r="G69" s="507"/>
      <c r="H69" s="509"/>
      <c r="I69" s="82"/>
      <c r="J69" s="507"/>
      <c r="K69" s="509"/>
      <c r="L69" s="82"/>
      <c r="M69" s="507"/>
      <c r="N69" s="509"/>
    </row>
    <row r="70" spans="1:14" ht="13.5" customHeight="1" x14ac:dyDescent="0.25">
      <c r="A70" s="506" t="s">
        <v>102</v>
      </c>
      <c r="B70" s="508">
        <f>'NYC Ferry'!U19</f>
        <v>370</v>
      </c>
      <c r="C70" s="82"/>
      <c r="D70" s="506" t="s">
        <v>102</v>
      </c>
      <c r="E70" s="508">
        <f>'NYC Ferry'!U30</f>
        <v>674</v>
      </c>
      <c r="F70" s="82"/>
      <c r="G70" s="506" t="s">
        <v>102</v>
      </c>
      <c r="H70" s="508">
        <f>'NYC Ferry'!U41</f>
        <v>853</v>
      </c>
      <c r="I70" s="82"/>
      <c r="J70" s="506" t="s">
        <v>102</v>
      </c>
      <c r="K70" s="508">
        <f>'NYC Ferry'!U52</f>
        <v>781</v>
      </c>
      <c r="L70" s="82"/>
      <c r="M70" s="506" t="s">
        <v>102</v>
      </c>
      <c r="N70" s="508">
        <f>SUM('NYC Ferry'!U63)</f>
        <v>921</v>
      </c>
    </row>
    <row r="71" spans="1:14" ht="13.5" customHeight="1" thickBot="1" x14ac:dyDescent="0.3">
      <c r="A71" s="507"/>
      <c r="B71" s="509"/>
      <c r="C71" s="82"/>
      <c r="D71" s="507"/>
      <c r="E71" s="509"/>
      <c r="F71" s="82"/>
      <c r="G71" s="507"/>
      <c r="H71" s="509"/>
      <c r="I71" s="82"/>
      <c r="J71" s="507"/>
      <c r="K71" s="509"/>
      <c r="L71" s="82"/>
      <c r="M71" s="507"/>
      <c r="N71" s="509"/>
    </row>
    <row r="72" spans="1:14" ht="13.5" customHeight="1" x14ac:dyDescent="0.25">
      <c r="A72" s="506" t="s">
        <v>61</v>
      </c>
      <c r="B72" s="508">
        <f>SUM('NYC Ferry'!W19,'NYC Ferry'!AI19)</f>
        <v>1329</v>
      </c>
      <c r="C72" s="82"/>
      <c r="D72" s="506" t="s">
        <v>61</v>
      </c>
      <c r="E72" s="508">
        <f>SUM(,'NYC Ferry'!W30, 'NYC Ferry'!AI30)</f>
        <v>1571</v>
      </c>
      <c r="F72" s="82"/>
      <c r="G72" s="506" t="s">
        <v>61</v>
      </c>
      <c r="H72" s="508">
        <f>SUM(,'NYC Ferry'!W41,'NYC Ferry'!AI41)</f>
        <v>2428</v>
      </c>
      <c r="I72" s="82"/>
      <c r="J72" s="506" t="s">
        <v>61</v>
      </c>
      <c r="K72" s="508">
        <f>SUM('NYC Ferry'!W52,'NYC Ferry'!AI52)</f>
        <v>2151</v>
      </c>
      <c r="L72" s="82"/>
      <c r="M72" s="506" t="s">
        <v>61</v>
      </c>
      <c r="N72" s="508">
        <f>SUM('NYC Ferry'!W63,'NYC Ferry'!AI63)</f>
        <v>2294</v>
      </c>
    </row>
    <row r="73" spans="1:14" ht="13.5" customHeight="1" thickBot="1" x14ac:dyDescent="0.3">
      <c r="A73" s="507"/>
      <c r="B73" s="509"/>
      <c r="C73" s="82"/>
      <c r="D73" s="507"/>
      <c r="E73" s="509"/>
      <c r="F73" s="82"/>
      <c r="G73" s="507"/>
      <c r="H73" s="509"/>
      <c r="I73" s="82"/>
      <c r="J73" s="507"/>
      <c r="K73" s="509"/>
      <c r="L73" s="82"/>
      <c r="M73" s="507"/>
      <c r="N73" s="509"/>
    </row>
    <row r="74" spans="1:14" ht="13.5" customHeight="1" x14ac:dyDescent="0.25">
      <c r="A74" s="563" t="s">
        <v>18</v>
      </c>
      <c r="B74" s="512">
        <f>SUM(B18:B73)</f>
        <v>38889</v>
      </c>
      <c r="C74" s="82"/>
      <c r="D74" s="563" t="s">
        <v>18</v>
      </c>
      <c r="E74" s="512">
        <f>SUM(E18:E73)</f>
        <v>52917</v>
      </c>
      <c r="F74" s="82"/>
      <c r="G74" s="563" t="s">
        <v>18</v>
      </c>
      <c r="H74" s="512">
        <f>SUM(H18:H73)</f>
        <v>73770</v>
      </c>
      <c r="I74" s="82"/>
      <c r="J74" s="510" t="s">
        <v>18</v>
      </c>
      <c r="K74" s="512">
        <f>SUM(K18:K73)</f>
        <v>73296</v>
      </c>
      <c r="L74" s="82"/>
      <c r="M74" s="510" t="s">
        <v>18</v>
      </c>
      <c r="N74" s="512">
        <f>SUM(N18:N73)</f>
        <v>83536</v>
      </c>
    </row>
    <row r="75" spans="1:14" ht="13.5" customHeight="1" thickBot="1" x14ac:dyDescent="0.3">
      <c r="A75" s="511"/>
      <c r="B75" s="513"/>
      <c r="C75" s="82"/>
      <c r="D75" s="511"/>
      <c r="E75" s="513"/>
      <c r="F75" s="82"/>
      <c r="G75" s="511"/>
      <c r="H75" s="513"/>
      <c r="I75" s="82"/>
      <c r="J75" s="511"/>
      <c r="K75" s="513"/>
      <c r="L75" s="82"/>
      <c r="M75" s="511"/>
      <c r="N75" s="513"/>
    </row>
    <row r="76" spans="1:14" x14ac:dyDescent="0.25">
      <c r="C76" s="82"/>
      <c r="F76" s="82"/>
      <c r="I76" s="82"/>
      <c r="L76" s="82"/>
    </row>
    <row r="77" spans="1:14" x14ac:dyDescent="0.25">
      <c r="C77" s="82"/>
      <c r="F77" s="82"/>
      <c r="I77" s="82"/>
      <c r="L77" s="82"/>
    </row>
  </sheetData>
  <mergeCells count="378">
    <mergeCell ref="H20:H21"/>
    <mergeCell ref="J20:J21"/>
    <mergeCell ref="K20:K21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20:A21"/>
    <mergeCell ref="D20:D21"/>
    <mergeCell ref="G20:G21"/>
    <mergeCell ref="B20:B21"/>
    <mergeCell ref="A22:A23"/>
    <mergeCell ref="B22:B23"/>
    <mergeCell ref="D22:D23"/>
    <mergeCell ref="E22:E23"/>
    <mergeCell ref="G22:G23"/>
    <mergeCell ref="E20:E21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24:A25"/>
    <mergeCell ref="B24:B25"/>
    <mergeCell ref="D24:D25"/>
    <mergeCell ref="E24:E25"/>
    <mergeCell ref="G24:G25"/>
    <mergeCell ref="H24:H25"/>
    <mergeCell ref="J24:J25"/>
    <mergeCell ref="K24:K25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30:A31"/>
    <mergeCell ref="B30:B31"/>
    <mergeCell ref="D30:D31"/>
    <mergeCell ref="E30:E31"/>
    <mergeCell ref="B64:B65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74:A75"/>
    <mergeCell ref="B74:B75"/>
    <mergeCell ref="D74:D75"/>
    <mergeCell ref="E74:E75"/>
    <mergeCell ref="G74:G75"/>
    <mergeCell ref="H74:H75"/>
    <mergeCell ref="J74:J75"/>
    <mergeCell ref="K74:K75"/>
    <mergeCell ref="K64:K65"/>
    <mergeCell ref="A64:A65"/>
    <mergeCell ref="A68:A69"/>
    <mergeCell ref="B68:B69"/>
    <mergeCell ref="D68:D69"/>
    <mergeCell ref="E68:E69"/>
    <mergeCell ref="G68:G69"/>
    <mergeCell ref="H68:H69"/>
    <mergeCell ref="J68:J69"/>
    <mergeCell ref="K68:K69"/>
    <mergeCell ref="A66:A67"/>
    <mergeCell ref="B66:B67"/>
    <mergeCell ref="D66:D67"/>
    <mergeCell ref="E66:E67"/>
    <mergeCell ref="G66:G67"/>
    <mergeCell ref="H66:H67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K72:K73"/>
    <mergeCell ref="H72:H73"/>
    <mergeCell ref="E72:E73"/>
    <mergeCell ref="B72:B73"/>
    <mergeCell ref="A52:A53"/>
    <mergeCell ref="G52:G53"/>
    <mergeCell ref="J52:J53"/>
    <mergeCell ref="D52:D53"/>
    <mergeCell ref="H52:H53"/>
    <mergeCell ref="A70:A71"/>
    <mergeCell ref="H64:H65"/>
    <mergeCell ref="J64:J65"/>
    <mergeCell ref="K52:K53"/>
    <mergeCell ref="K54:K55"/>
    <mergeCell ref="K56:K57"/>
    <mergeCell ref="E52:E53"/>
    <mergeCell ref="B52:B53"/>
    <mergeCell ref="A54:A55"/>
    <mergeCell ref="A56:A57"/>
    <mergeCell ref="B54:B55"/>
    <mergeCell ref="A62:A63"/>
    <mergeCell ref="B62:B63"/>
    <mergeCell ref="D62:D63"/>
    <mergeCell ref="E62:E63"/>
    <mergeCell ref="A72:A73"/>
    <mergeCell ref="D72:D73"/>
    <mergeCell ref="G72:G73"/>
    <mergeCell ref="J72:J73"/>
    <mergeCell ref="G62:G63"/>
    <mergeCell ref="H62:H63"/>
    <mergeCell ref="J62:J63"/>
    <mergeCell ref="D64:D65"/>
    <mergeCell ref="E64:E65"/>
    <mergeCell ref="G64:G65"/>
    <mergeCell ref="J66:J67"/>
    <mergeCell ref="D70:D71"/>
    <mergeCell ref="G70:G71"/>
    <mergeCell ref="J70:J71"/>
    <mergeCell ref="H22:H23"/>
    <mergeCell ref="J22:J23"/>
    <mergeCell ref="K22:K23"/>
    <mergeCell ref="H32:H33"/>
    <mergeCell ref="K32:K33"/>
    <mergeCell ref="B70:B71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K70:K71"/>
    <mergeCell ref="H70:H71"/>
    <mergeCell ref="E70:E71"/>
    <mergeCell ref="H60:H61"/>
    <mergeCell ref="J60:J61"/>
    <mergeCell ref="K60:K61"/>
    <mergeCell ref="G60:G61"/>
    <mergeCell ref="K62:K63"/>
    <mergeCell ref="K66:K67"/>
    <mergeCell ref="P13:P16"/>
    <mergeCell ref="Q13:Q16"/>
    <mergeCell ref="P18:P20"/>
    <mergeCell ref="Q18:Q20"/>
    <mergeCell ref="P22:P24"/>
    <mergeCell ref="Q22:Q24"/>
    <mergeCell ref="P28:P30"/>
    <mergeCell ref="Q28:Q30"/>
    <mergeCell ref="N22:N23"/>
    <mergeCell ref="N26:N27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M10:M11"/>
    <mergeCell ref="N10:N11"/>
    <mergeCell ref="M12:M13"/>
    <mergeCell ref="N12:N13"/>
    <mergeCell ref="M14:M15"/>
    <mergeCell ref="N14:N15"/>
    <mergeCell ref="M17:N17"/>
    <mergeCell ref="M18:M19"/>
    <mergeCell ref="N18:N19"/>
    <mergeCell ref="M20:M21"/>
    <mergeCell ref="N20:N21"/>
    <mergeCell ref="M22:M23"/>
    <mergeCell ref="M24:M25"/>
    <mergeCell ref="N24:N25"/>
    <mergeCell ref="M26:M27"/>
    <mergeCell ref="M28:M29"/>
    <mergeCell ref="N28:N29"/>
    <mergeCell ref="M30:M31"/>
    <mergeCell ref="N30:N3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52:M53"/>
    <mergeCell ref="N52:N53"/>
    <mergeCell ref="M54:M55"/>
    <mergeCell ref="N54:N55"/>
    <mergeCell ref="M56:M57"/>
    <mergeCell ref="N56:N57"/>
    <mergeCell ref="M58:M59"/>
    <mergeCell ref="N58:N59"/>
    <mergeCell ref="M70:M71"/>
    <mergeCell ref="N70:N71"/>
    <mergeCell ref="M72:M73"/>
    <mergeCell ref="N72:N73"/>
    <mergeCell ref="M74:M75"/>
    <mergeCell ref="N74:N75"/>
    <mergeCell ref="M60:M61"/>
    <mergeCell ref="N60:N61"/>
    <mergeCell ref="M62:M63"/>
    <mergeCell ref="N62:N63"/>
    <mergeCell ref="M64:M65"/>
    <mergeCell ref="N64:N65"/>
    <mergeCell ref="M66:M67"/>
    <mergeCell ref="N66:N67"/>
    <mergeCell ref="M68:M69"/>
    <mergeCell ref="N68:N6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5:A29 L24 A59 A58 A75:D75 A60 C18:D18 C24:D24 C34 E35:F35 E37:F37 F36 E39:F39 F38 E41:F41 F40 E43:F43 F42 A33 E33:F33 F34 H35:I35 H37:I37 I36 H39:I39 I38 H41:I41 I40 H43:I43 I42 H33:I33 I34 K35:L35 K37:L37 K39:L39 K41:L41 K43:L43 K33:L33 C38 C40 C58:D58 C60:D60 F18:G18 F24:G24 F58:G58 F60:G60 I18:J18 I24:J24 I58:J58 I60:J60 L58 L60 A61 I61:L61 A15 I15:L15 I75:J75 A23 A22 C22:D22 F22:G22 I22:J22 L22 C15:G15 A74 C74:D74 F74:G74 I74:J74 L74 C35 C37 C39 C41 C43 C19:L19 C25:L25 C59 C32:C33 C61:G61 C23:L23 C27:L27 C26:D26 F26:G26 C29:L29 C28:D28 F28:G28 I28:L28 F75:G75 L75 L26 I26:J26 E59:L59 F32 I32 L32 A31 C30:C31 E31:F31 H31:I31 K31:L31 F30 I30 L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0" bestFit="1" customWidth="1"/>
    <col min="2" max="2" width="10.140625" style="60" bestFit="1" customWidth="1"/>
    <col min="3" max="7" width="15.7109375" style="60" customWidth="1"/>
    <col min="8" max="8" width="16.28515625" style="60" bestFit="1" customWidth="1"/>
    <col min="9" max="16384" width="9.140625" style="60"/>
  </cols>
  <sheetData>
    <row r="1" spans="1:7" ht="15" customHeight="1" x14ac:dyDescent="0.25">
      <c r="B1" s="124"/>
      <c r="C1" s="652" t="s">
        <v>45</v>
      </c>
      <c r="D1" s="653"/>
      <c r="E1" s="652"/>
      <c r="F1" s="661"/>
      <c r="G1" s="667" t="s">
        <v>18</v>
      </c>
    </row>
    <row r="2" spans="1:7" ht="15" customHeight="1" thickBot="1" x14ac:dyDescent="0.3">
      <c r="B2" s="124"/>
      <c r="C2" s="690"/>
      <c r="D2" s="718"/>
      <c r="E2" s="690"/>
      <c r="F2" s="691"/>
      <c r="G2" s="668"/>
    </row>
    <row r="3" spans="1:7" x14ac:dyDescent="0.25">
      <c r="A3" s="676" t="s">
        <v>50</v>
      </c>
      <c r="B3" s="715" t="s">
        <v>51</v>
      </c>
      <c r="C3" s="714" t="s">
        <v>48</v>
      </c>
      <c r="D3" s="719" t="s">
        <v>49</v>
      </c>
      <c r="E3" s="714"/>
      <c r="F3" s="719"/>
      <c r="G3" s="668"/>
    </row>
    <row r="4" spans="1:7" ht="14.25" customHeight="1" thickBot="1" x14ac:dyDescent="0.3">
      <c r="A4" s="677"/>
      <c r="B4" s="716"/>
      <c r="C4" s="677"/>
      <c r="D4" s="679"/>
      <c r="E4" s="677"/>
      <c r="F4" s="679"/>
      <c r="G4" s="668"/>
    </row>
    <row r="5" spans="1:7" s="66" customFormat="1" ht="12.75" customHeight="1" thickBot="1" x14ac:dyDescent="0.3">
      <c r="A5" s="137"/>
      <c r="B5" s="121"/>
      <c r="C5" s="61"/>
      <c r="D5" s="62"/>
      <c r="E5" s="63"/>
      <c r="F5" s="64"/>
      <c r="G5" s="65"/>
    </row>
    <row r="6" spans="1:7" s="66" customFormat="1" ht="12.75" customHeight="1" thickBot="1" x14ac:dyDescent="0.3">
      <c r="A6" s="137"/>
      <c r="B6" s="114"/>
      <c r="C6" s="61"/>
      <c r="D6" s="62"/>
      <c r="E6" s="63"/>
      <c r="F6" s="64"/>
      <c r="G6" s="65"/>
    </row>
    <row r="7" spans="1:7" s="66" customFormat="1" ht="12.75" customHeight="1" thickBot="1" x14ac:dyDescent="0.3">
      <c r="A7" s="137"/>
      <c r="B7" s="114"/>
      <c r="C7" s="61"/>
      <c r="D7" s="62"/>
      <c r="E7" s="63"/>
      <c r="F7" s="64"/>
      <c r="G7" s="65"/>
    </row>
    <row r="8" spans="1:7" s="66" customFormat="1" ht="12.75" customHeight="1" thickBot="1" x14ac:dyDescent="0.3">
      <c r="A8" s="142"/>
      <c r="B8" s="114"/>
      <c r="C8" s="61"/>
      <c r="D8" s="62"/>
      <c r="E8" s="63"/>
      <c r="F8" s="64"/>
      <c r="G8" s="65"/>
    </row>
    <row r="9" spans="1:7" s="66" customFormat="1" ht="12.75" customHeight="1" thickBot="1" x14ac:dyDescent="0.3">
      <c r="A9" s="142"/>
      <c r="B9" s="114"/>
      <c r="C9" s="61"/>
      <c r="D9" s="62"/>
      <c r="E9" s="63"/>
      <c r="F9" s="64"/>
      <c r="G9" s="65"/>
    </row>
    <row r="10" spans="1:7" s="66" customFormat="1" ht="12.75" customHeight="1" outlineLevel="1" thickBot="1" x14ac:dyDescent="0.3">
      <c r="A10" s="142"/>
      <c r="B10" s="146"/>
      <c r="C10" s="63"/>
      <c r="D10" s="67"/>
      <c r="E10" s="63"/>
      <c r="F10" s="64"/>
      <c r="G10" s="65">
        <f>SUM(C10:F10)</f>
        <v>0</v>
      </c>
    </row>
    <row r="11" spans="1:7" s="66" customFormat="1" ht="14.25" outlineLevel="1" thickBot="1" x14ac:dyDescent="0.3">
      <c r="A11" s="142"/>
      <c r="B11" s="114"/>
      <c r="C11" s="68"/>
      <c r="D11" s="69"/>
      <c r="E11" s="68"/>
      <c r="F11" s="70"/>
      <c r="G11" s="65">
        <f>SUM(C11:F11)</f>
        <v>0</v>
      </c>
    </row>
    <row r="12" spans="1:7" s="72" customFormat="1" ht="14.25" customHeight="1" outlineLevel="1" thickBot="1" x14ac:dyDescent="0.3">
      <c r="A12" s="101" t="s">
        <v>20</v>
      </c>
      <c r="B12" s="709" t="s">
        <v>23</v>
      </c>
      <c r="C12" s="110">
        <f>SUM(C5:C11)</f>
        <v>0</v>
      </c>
      <c r="D12" s="110">
        <f>SUM(D5:D11)</f>
        <v>0</v>
      </c>
      <c r="E12" s="110">
        <f>SUM(E5:E11)</f>
        <v>0</v>
      </c>
      <c r="F12" s="110">
        <f>SUM(F5:F11)</f>
        <v>0</v>
      </c>
      <c r="G12" s="110">
        <f>SUM(G5:G11)</f>
        <v>0</v>
      </c>
    </row>
    <row r="13" spans="1:7" s="72" customFormat="1" ht="14.25" customHeight="1" outlineLevel="1" thickBot="1" x14ac:dyDescent="0.3">
      <c r="A13" s="102" t="s">
        <v>22</v>
      </c>
      <c r="B13" s="688"/>
      <c r="C13" s="111" t="e">
        <f>AVERAGE(C5:C11)</f>
        <v>#DIV/0!</v>
      </c>
      <c r="D13" s="111" t="e">
        <f>AVERAGE(D5:D11)</f>
        <v>#DIV/0!</v>
      </c>
      <c r="E13" s="111" t="e">
        <f>AVERAGE(E5:E11)</f>
        <v>#DIV/0!</v>
      </c>
      <c r="F13" s="111" t="e">
        <f>AVERAGE(F5:F11)</f>
        <v>#DIV/0!</v>
      </c>
      <c r="G13" s="111">
        <f>AVERAGE(G5:G11)</f>
        <v>0</v>
      </c>
    </row>
    <row r="14" spans="1:7" s="72" customFormat="1" ht="14.25" customHeight="1" thickBot="1" x14ac:dyDescent="0.3">
      <c r="A14" s="26" t="s">
        <v>19</v>
      </c>
      <c r="B14" s="688"/>
      <c r="C14" s="79">
        <f>SUM(C5:C9)</f>
        <v>0</v>
      </c>
      <c r="D14" s="79">
        <f>SUM(D5:D9)</f>
        <v>0</v>
      </c>
      <c r="E14" s="79">
        <f>SUM(E5:E9)</f>
        <v>0</v>
      </c>
      <c r="F14" s="79">
        <f>SUM(F5:F9)</f>
        <v>0</v>
      </c>
      <c r="G14" s="79">
        <f>SUM(G5:G9)</f>
        <v>0</v>
      </c>
    </row>
    <row r="15" spans="1:7" s="72" customFormat="1" ht="14.25" customHeight="1" thickBot="1" x14ac:dyDescent="0.3">
      <c r="A15" s="26" t="s">
        <v>21</v>
      </c>
      <c r="B15" s="689"/>
      <c r="C15" s="80" t="e">
        <f>AVERAGE(C5:C9)</f>
        <v>#DIV/0!</v>
      </c>
      <c r="D15" s="80" t="e">
        <f>AVERAGE(D5:D9)</f>
        <v>#DIV/0!</v>
      </c>
      <c r="E15" s="80" t="e">
        <f>AVERAGE(E5:E9)</f>
        <v>#DIV/0!</v>
      </c>
      <c r="F15" s="80" t="e">
        <f>AVERAGE(F5:F9)</f>
        <v>#DIV/0!</v>
      </c>
      <c r="G15" s="80" t="e">
        <f>AVERAGE(G5:G9)</f>
        <v>#DIV/0!</v>
      </c>
    </row>
    <row r="16" spans="1:7" s="72" customFormat="1" ht="13.5" customHeight="1" thickBot="1" x14ac:dyDescent="0.3">
      <c r="A16" s="25"/>
      <c r="B16" s="115"/>
      <c r="C16" s="61"/>
      <c r="D16" s="62"/>
      <c r="E16" s="61"/>
      <c r="F16" s="73"/>
      <c r="G16" s="144"/>
    </row>
    <row r="17" spans="1:7" s="72" customFormat="1" ht="13.5" customHeight="1" thickBot="1" x14ac:dyDescent="0.3">
      <c r="A17" s="25"/>
      <c r="B17" s="116"/>
      <c r="C17" s="61"/>
      <c r="D17" s="62"/>
      <c r="E17" s="63"/>
      <c r="F17" s="64"/>
      <c r="G17" s="144"/>
    </row>
    <row r="18" spans="1:7" s="72" customFormat="1" ht="15" customHeight="1" thickBot="1" x14ac:dyDescent="0.3">
      <c r="A18" s="25"/>
      <c r="B18" s="116"/>
      <c r="C18" s="61"/>
      <c r="D18" s="62"/>
      <c r="E18" s="63"/>
      <c r="F18" s="64"/>
      <c r="G18" s="144"/>
    </row>
    <row r="19" spans="1:7" s="72" customFormat="1" ht="14.25" customHeight="1" thickBot="1" x14ac:dyDescent="0.3">
      <c r="A19" s="25"/>
      <c r="B19" s="116"/>
      <c r="C19" s="61"/>
      <c r="D19" s="62"/>
      <c r="E19" s="63"/>
      <c r="F19" s="64"/>
      <c r="G19" s="144"/>
    </row>
    <row r="20" spans="1:7" s="72" customFormat="1" ht="14.25" customHeight="1" thickBot="1" x14ac:dyDescent="0.3">
      <c r="A20" s="25"/>
      <c r="B20" s="116"/>
      <c r="C20" s="61"/>
      <c r="D20" s="62"/>
      <c r="E20" s="63"/>
      <c r="F20" s="64"/>
      <c r="G20" s="144"/>
    </row>
    <row r="21" spans="1:7" s="72" customFormat="1" ht="14.25" customHeight="1" outlineLevel="1" thickBot="1" x14ac:dyDescent="0.3">
      <c r="A21" s="139"/>
      <c r="B21" s="116"/>
      <c r="C21" s="63"/>
      <c r="D21" s="67"/>
      <c r="E21" s="63"/>
      <c r="F21" s="64"/>
      <c r="G21" s="144">
        <f>SUM(C21:F21)</f>
        <v>0</v>
      </c>
    </row>
    <row r="22" spans="1:7" s="72" customFormat="1" ht="14.25" customHeight="1" outlineLevel="1" thickBot="1" x14ac:dyDescent="0.3">
      <c r="A22" s="139"/>
      <c r="B22" s="116"/>
      <c r="C22" s="68"/>
      <c r="D22" s="69"/>
      <c r="E22" s="68"/>
      <c r="F22" s="70"/>
      <c r="G22" s="144">
        <f>SUM(C22:F22)</f>
        <v>0</v>
      </c>
    </row>
    <row r="23" spans="1:7" s="72" customFormat="1" ht="14.25" customHeight="1" outlineLevel="1" thickBot="1" x14ac:dyDescent="0.3">
      <c r="A23" s="101" t="s">
        <v>20</v>
      </c>
      <c r="B23" s="709" t="s">
        <v>24</v>
      </c>
      <c r="C23" s="110">
        <f>SUM(C16:C22)</f>
        <v>0</v>
      </c>
      <c r="D23" s="110">
        <f>SUM(D16:D22)</f>
        <v>0</v>
      </c>
      <c r="E23" s="110">
        <f>SUM(E16:E22)</f>
        <v>0</v>
      </c>
      <c r="F23" s="110">
        <f>SUM(F16:F22)</f>
        <v>0</v>
      </c>
      <c r="G23" s="110">
        <f>SUM(G16:G22)</f>
        <v>0</v>
      </c>
    </row>
    <row r="24" spans="1:7" s="72" customFormat="1" ht="14.25" customHeight="1" outlineLevel="1" thickBot="1" x14ac:dyDescent="0.3">
      <c r="A24" s="102" t="s">
        <v>22</v>
      </c>
      <c r="B24" s="688"/>
      <c r="C24" s="111" t="e">
        <f>AVERAGE(C16:C22)</f>
        <v>#DIV/0!</v>
      </c>
      <c r="D24" s="111" t="e">
        <f>AVERAGE(D16:D22)</f>
        <v>#DIV/0!</v>
      </c>
      <c r="E24" s="111" t="e">
        <f>AVERAGE(E16:E22)</f>
        <v>#DIV/0!</v>
      </c>
      <c r="F24" s="111" t="e">
        <f>AVERAGE(F16:F22)</f>
        <v>#DIV/0!</v>
      </c>
      <c r="G24" s="111">
        <f>AVERAGE(G16:G22)</f>
        <v>0</v>
      </c>
    </row>
    <row r="25" spans="1:7" s="72" customFormat="1" ht="14.25" customHeight="1" thickBot="1" x14ac:dyDescent="0.3">
      <c r="A25" s="26" t="s">
        <v>19</v>
      </c>
      <c r="B25" s="688"/>
      <c r="C25" s="79">
        <f>SUM(C16:C20)</f>
        <v>0</v>
      </c>
      <c r="D25" s="79">
        <f>SUM(D16:D20)</f>
        <v>0</v>
      </c>
      <c r="E25" s="79">
        <f>SUM(E16:E20)</f>
        <v>0</v>
      </c>
      <c r="F25" s="79">
        <f>SUM(F16:F20)</f>
        <v>0</v>
      </c>
      <c r="G25" s="79">
        <f>SUM(G16:G20)</f>
        <v>0</v>
      </c>
    </row>
    <row r="26" spans="1:7" s="72" customFormat="1" ht="14.25" customHeight="1" thickBot="1" x14ac:dyDescent="0.3">
      <c r="A26" s="26" t="s">
        <v>21</v>
      </c>
      <c r="B26" s="689"/>
      <c r="C26" s="80" t="e">
        <f>AVERAGE(C16:C20)</f>
        <v>#DIV/0!</v>
      </c>
      <c r="D26" s="80" t="e">
        <f>AVERAGE(D16:D20)</f>
        <v>#DIV/0!</v>
      </c>
      <c r="E26" s="80" t="e">
        <f>AVERAGE(E16:E20)</f>
        <v>#DIV/0!</v>
      </c>
      <c r="F26" s="80" t="e">
        <f>AVERAGE(F16:F20)</f>
        <v>#DIV/0!</v>
      </c>
      <c r="G26" s="80" t="e">
        <f>AVERAGE(G16:G20)</f>
        <v>#DIV/0!</v>
      </c>
    </row>
    <row r="27" spans="1:7" s="72" customFormat="1" ht="14.25" customHeight="1" thickBot="1" x14ac:dyDescent="0.3">
      <c r="A27" s="25"/>
      <c r="B27" s="138"/>
      <c r="C27" s="61"/>
      <c r="D27" s="62"/>
      <c r="E27" s="61"/>
      <c r="F27" s="73"/>
      <c r="G27" s="144"/>
    </row>
    <row r="28" spans="1:7" s="72" customFormat="1" ht="15.75" customHeight="1" thickBot="1" x14ac:dyDescent="0.3">
      <c r="A28" s="25"/>
      <c r="B28" s="118"/>
      <c r="C28" s="61"/>
      <c r="D28" s="62"/>
      <c r="E28" s="63"/>
      <c r="F28" s="64"/>
      <c r="G28" s="144"/>
    </row>
    <row r="29" spans="1:7" s="72" customFormat="1" ht="13.5" customHeight="1" thickBot="1" x14ac:dyDescent="0.3">
      <c r="A29" s="25"/>
      <c r="B29" s="118"/>
      <c r="C29" s="61"/>
      <c r="D29" s="62"/>
      <c r="E29" s="63"/>
      <c r="F29" s="64"/>
      <c r="G29" s="144"/>
    </row>
    <row r="30" spans="1:7" s="72" customFormat="1" ht="12.75" customHeight="1" thickBot="1" x14ac:dyDescent="0.3">
      <c r="A30" s="25"/>
      <c r="B30" s="118"/>
      <c r="C30" s="61"/>
      <c r="D30" s="62"/>
      <c r="E30" s="63"/>
      <c r="F30" s="64"/>
      <c r="G30" s="144"/>
    </row>
    <row r="31" spans="1:7" s="72" customFormat="1" ht="14.25" thickBot="1" x14ac:dyDescent="0.3">
      <c r="A31" s="25"/>
      <c r="B31" s="118"/>
      <c r="C31" s="61"/>
      <c r="D31" s="62"/>
      <c r="E31" s="63"/>
      <c r="F31" s="64"/>
      <c r="G31" s="144"/>
    </row>
    <row r="32" spans="1:7" s="72" customFormat="1" ht="14.25" customHeight="1" outlineLevel="1" thickBot="1" x14ac:dyDescent="0.3">
      <c r="A32" s="139"/>
      <c r="B32" s="116"/>
      <c r="C32" s="63"/>
      <c r="D32" s="67"/>
      <c r="E32" s="63"/>
      <c r="F32" s="64"/>
      <c r="G32" s="144">
        <f>SUM(C32:F32)</f>
        <v>0</v>
      </c>
    </row>
    <row r="33" spans="1:8" s="72" customFormat="1" ht="14.25" customHeight="1" outlineLevel="1" thickBot="1" x14ac:dyDescent="0.3">
      <c r="A33" s="139"/>
      <c r="B33" s="116"/>
      <c r="C33" s="68"/>
      <c r="D33" s="69"/>
      <c r="E33" s="68"/>
      <c r="F33" s="70"/>
      <c r="G33" s="144">
        <f>SUM(C33:F33)</f>
        <v>0</v>
      </c>
    </row>
    <row r="34" spans="1:8" s="72" customFormat="1" ht="14.25" customHeight="1" outlineLevel="1" thickBot="1" x14ac:dyDescent="0.3">
      <c r="A34" s="101" t="s">
        <v>20</v>
      </c>
      <c r="B34" s="709" t="s">
        <v>25</v>
      </c>
      <c r="C34" s="110">
        <f>SUM(C27:C33)</f>
        <v>0</v>
      </c>
      <c r="D34" s="110">
        <f>SUM(D27:D33)</f>
        <v>0</v>
      </c>
      <c r="E34" s="110">
        <f>SUM(E27:E33)</f>
        <v>0</v>
      </c>
      <c r="F34" s="110">
        <f>SUM(F27:F33)</f>
        <v>0</v>
      </c>
      <c r="G34" s="110">
        <f>SUM(G27:G33)</f>
        <v>0</v>
      </c>
    </row>
    <row r="35" spans="1:8" s="72" customFormat="1" ht="14.25" customHeight="1" outlineLevel="1" thickBot="1" x14ac:dyDescent="0.3">
      <c r="A35" s="102" t="s">
        <v>22</v>
      </c>
      <c r="B35" s="688"/>
      <c r="C35" s="111" t="e">
        <f>AVERAGE(C27:C33)</f>
        <v>#DIV/0!</v>
      </c>
      <c r="D35" s="111" t="e">
        <f>AVERAGE(D27:D33)</f>
        <v>#DIV/0!</v>
      </c>
      <c r="E35" s="111" t="e">
        <f>AVERAGE(E27:E33)</f>
        <v>#DIV/0!</v>
      </c>
      <c r="F35" s="111" t="e">
        <f>AVERAGE(F27:F33)</f>
        <v>#DIV/0!</v>
      </c>
      <c r="G35" s="111">
        <f>AVERAGE(G27:G33)</f>
        <v>0</v>
      </c>
    </row>
    <row r="36" spans="1:8" s="72" customFormat="1" ht="14.25" customHeight="1" thickBot="1" x14ac:dyDescent="0.3">
      <c r="A36" s="26" t="s">
        <v>19</v>
      </c>
      <c r="B36" s="688"/>
      <c r="C36" s="79">
        <f>SUM(C27:C31)</f>
        <v>0</v>
      </c>
      <c r="D36" s="79">
        <f>SUM(D27:D31)</f>
        <v>0</v>
      </c>
      <c r="E36" s="79">
        <f>SUM(E27:E31)</f>
        <v>0</v>
      </c>
      <c r="F36" s="79">
        <f>SUM(F27:F31)</f>
        <v>0</v>
      </c>
      <c r="G36" s="79">
        <f>SUM(G27:G31)</f>
        <v>0</v>
      </c>
    </row>
    <row r="37" spans="1:8" s="72" customFormat="1" ht="15.75" customHeight="1" thickBot="1" x14ac:dyDescent="0.3">
      <c r="A37" s="26" t="s">
        <v>21</v>
      </c>
      <c r="B37" s="689"/>
      <c r="C37" s="80" t="e">
        <f>AVERAGE(C27:C31)</f>
        <v>#DIV/0!</v>
      </c>
      <c r="D37" s="80" t="e">
        <f>AVERAGE(D27:D31)</f>
        <v>#DIV/0!</v>
      </c>
      <c r="E37" s="80" t="e">
        <f>AVERAGE(E27:E31)</f>
        <v>#DIV/0!</v>
      </c>
      <c r="F37" s="80" t="e">
        <f>AVERAGE(F27:F31)</f>
        <v>#DIV/0!</v>
      </c>
      <c r="G37" s="80" t="e">
        <f>AVERAGE(G27:G31)</f>
        <v>#DIV/0!</v>
      </c>
    </row>
    <row r="38" spans="1:8" s="72" customFormat="1" ht="12.75" customHeight="1" thickBot="1" x14ac:dyDescent="0.3">
      <c r="A38" s="25"/>
      <c r="B38" s="138"/>
      <c r="C38" s="61"/>
      <c r="D38" s="62"/>
      <c r="E38" s="61"/>
      <c r="F38" s="73"/>
      <c r="G38" s="74"/>
    </row>
    <row r="39" spans="1:8" s="72" customFormat="1" ht="15.75" customHeight="1" thickBot="1" x14ac:dyDescent="0.3">
      <c r="A39" s="25"/>
      <c r="B39" s="118"/>
      <c r="C39" s="61"/>
      <c r="D39" s="62"/>
      <c r="E39" s="63"/>
      <c r="F39" s="64"/>
      <c r="G39" s="65"/>
    </row>
    <row r="40" spans="1:8" s="72" customFormat="1" ht="17.25" customHeight="1" thickBot="1" x14ac:dyDescent="0.3">
      <c r="A40" s="25"/>
      <c r="B40" s="118"/>
      <c r="C40" s="61"/>
      <c r="D40" s="62"/>
      <c r="E40" s="63"/>
      <c r="F40" s="64"/>
      <c r="G40" s="65"/>
    </row>
    <row r="41" spans="1:8" s="72" customFormat="1" ht="14.25" customHeight="1" thickBot="1" x14ac:dyDescent="0.3">
      <c r="A41" s="25"/>
      <c r="B41" s="118"/>
      <c r="C41" s="61"/>
      <c r="D41" s="62"/>
      <c r="E41" s="63"/>
      <c r="F41" s="64"/>
      <c r="G41" s="65"/>
    </row>
    <row r="42" spans="1:8" s="72" customFormat="1" ht="17.25" customHeight="1" thickBot="1" x14ac:dyDescent="0.3">
      <c r="A42" s="25"/>
      <c r="B42" s="118"/>
      <c r="C42" s="61"/>
      <c r="D42" s="62"/>
      <c r="E42" s="63"/>
      <c r="F42" s="64"/>
      <c r="G42" s="65"/>
    </row>
    <row r="43" spans="1:8" s="72" customFormat="1" ht="14.25" customHeight="1" outlineLevel="1" thickBot="1" x14ac:dyDescent="0.3">
      <c r="A43" s="139"/>
      <c r="B43" s="116"/>
      <c r="C43" s="63"/>
      <c r="D43" s="67"/>
      <c r="E43" s="63"/>
      <c r="F43" s="64"/>
      <c r="G43" s="65">
        <f>SUM(C43:F43)</f>
        <v>0</v>
      </c>
      <c r="H43" s="113"/>
    </row>
    <row r="44" spans="1:8" s="72" customFormat="1" ht="14.25" customHeight="1" outlineLevel="1" thickBot="1" x14ac:dyDescent="0.3">
      <c r="A44" s="139"/>
      <c r="B44" s="116"/>
      <c r="C44" s="68"/>
      <c r="D44" s="69"/>
      <c r="E44" s="68"/>
      <c r="F44" s="70"/>
      <c r="G44" s="71">
        <f>SUM(C44:F44)</f>
        <v>0</v>
      </c>
      <c r="H44" s="113"/>
    </row>
    <row r="45" spans="1:8" s="72" customFormat="1" ht="14.25" customHeight="1" outlineLevel="1" thickBot="1" x14ac:dyDescent="0.3">
      <c r="A45" s="101" t="s">
        <v>20</v>
      </c>
      <c r="B45" s="709" t="s">
        <v>26</v>
      </c>
      <c r="C45" s="110">
        <f>SUM(C38:C44)</f>
        <v>0</v>
      </c>
      <c r="D45" s="110">
        <f>SUM(D38:D44)</f>
        <v>0</v>
      </c>
      <c r="E45" s="110">
        <f>SUM(E38:E44)</f>
        <v>0</v>
      </c>
      <c r="F45" s="110">
        <f>SUM(F38:F44)</f>
        <v>0</v>
      </c>
      <c r="G45" s="110">
        <f>SUM(G38:G44)</f>
        <v>0</v>
      </c>
    </row>
    <row r="46" spans="1:8" s="72" customFormat="1" ht="14.25" customHeight="1" outlineLevel="1" thickBot="1" x14ac:dyDescent="0.3">
      <c r="A46" s="102" t="s">
        <v>22</v>
      </c>
      <c r="B46" s="688"/>
      <c r="C46" s="111" t="e">
        <f>AVERAGE(C38:C44)</f>
        <v>#DIV/0!</v>
      </c>
      <c r="D46" s="111" t="e">
        <f>AVERAGE(D38:D44)</f>
        <v>#DIV/0!</v>
      </c>
      <c r="E46" s="111" t="e">
        <f>AVERAGE(E38:E44)</f>
        <v>#DIV/0!</v>
      </c>
      <c r="F46" s="111" t="e">
        <f>AVERAGE(F38:F44)</f>
        <v>#DIV/0!</v>
      </c>
      <c r="G46" s="111">
        <f>AVERAGE(G38:G44)</f>
        <v>0</v>
      </c>
    </row>
    <row r="47" spans="1:8" s="72" customFormat="1" ht="14.25" customHeight="1" thickBot="1" x14ac:dyDescent="0.3">
      <c r="A47" s="26" t="s">
        <v>19</v>
      </c>
      <c r="B47" s="688"/>
      <c r="C47" s="79">
        <f>SUM(C38:C42)</f>
        <v>0</v>
      </c>
      <c r="D47" s="79">
        <f>SUM(D38:D42)</f>
        <v>0</v>
      </c>
      <c r="E47" s="79">
        <f>SUM(E38:E42)</f>
        <v>0</v>
      </c>
      <c r="F47" s="79">
        <f>SUM(F38:F42)</f>
        <v>0</v>
      </c>
      <c r="G47" s="79">
        <f>SUM(G38:G42)</f>
        <v>0</v>
      </c>
    </row>
    <row r="48" spans="1:8" s="72" customFormat="1" ht="13.5" customHeight="1" thickBot="1" x14ac:dyDescent="0.3">
      <c r="A48" s="26" t="s">
        <v>21</v>
      </c>
      <c r="B48" s="689"/>
      <c r="C48" s="80" t="e">
        <f>AVERAGE(C38:C42)</f>
        <v>#DIV/0!</v>
      </c>
      <c r="D48" s="80" t="e">
        <f>AVERAGE(D38:D42)</f>
        <v>#DIV/0!</v>
      </c>
      <c r="E48" s="80" t="e">
        <f>AVERAGE(E38:E42)</f>
        <v>#DIV/0!</v>
      </c>
      <c r="F48" s="80" t="e">
        <f>AVERAGE(F38:F42)</f>
        <v>#DIV/0!</v>
      </c>
      <c r="G48" s="80" t="e">
        <f>AVERAGE(G38:G42)</f>
        <v>#DIV/0!</v>
      </c>
    </row>
    <row r="49" spans="1:7" s="72" customFormat="1" ht="13.5" customHeight="1" thickBot="1" x14ac:dyDescent="0.3">
      <c r="A49" s="25"/>
      <c r="B49" s="117"/>
      <c r="C49" s="133"/>
      <c r="D49" s="134"/>
      <c r="E49" s="61"/>
      <c r="F49" s="73"/>
      <c r="G49" s="74"/>
    </row>
    <row r="50" spans="1:7" s="72" customFormat="1" ht="14.25" customHeight="1" thickBot="1" x14ac:dyDescent="0.3">
      <c r="A50" s="25"/>
      <c r="B50" s="132"/>
      <c r="C50" s="135"/>
      <c r="D50" s="136"/>
      <c r="E50" s="63"/>
      <c r="F50" s="64"/>
      <c r="G50" s="65"/>
    </row>
    <row r="51" spans="1:7" s="72" customFormat="1" ht="13.5" customHeight="1" thickBot="1" x14ac:dyDescent="0.3">
      <c r="A51" s="25"/>
      <c r="B51" s="132"/>
      <c r="C51" s="61"/>
      <c r="D51" s="73"/>
      <c r="E51" s="63"/>
      <c r="F51" s="64"/>
      <c r="G51" s="65"/>
    </row>
    <row r="52" spans="1:7" s="72" customFormat="1" ht="13.5" customHeight="1" thickBot="1" x14ac:dyDescent="0.3">
      <c r="A52" s="139"/>
      <c r="B52" s="132"/>
      <c r="C52" s="61"/>
      <c r="D52" s="73"/>
      <c r="E52" s="63"/>
      <c r="F52" s="64"/>
      <c r="G52" s="65"/>
    </row>
    <row r="53" spans="1:7" s="72" customFormat="1" ht="12" customHeight="1" x14ac:dyDescent="0.25">
      <c r="A53" s="139"/>
      <c r="B53" s="132"/>
      <c r="C53" s="133"/>
      <c r="D53" s="166"/>
      <c r="E53" s="68"/>
      <c r="F53" s="70"/>
      <c r="G53" s="71"/>
    </row>
    <row r="54" spans="1:7" s="72" customFormat="1" ht="14.25" customHeight="1" outlineLevel="1" thickBot="1" x14ac:dyDescent="0.3">
      <c r="A54" s="169"/>
      <c r="B54" s="175"/>
      <c r="C54" s="63"/>
      <c r="D54" s="64"/>
      <c r="E54" s="63"/>
      <c r="F54" s="64"/>
      <c r="G54" s="63">
        <f>SUM(C54:F54)</f>
        <v>0</v>
      </c>
    </row>
    <row r="55" spans="1:7" s="72" customFormat="1" ht="16.5" hidden="1" customHeight="1" outlineLevel="1" thickBot="1" x14ac:dyDescent="0.3">
      <c r="A55" s="139" t="s">
        <v>2</v>
      </c>
      <c r="B55" s="116">
        <f>B54+1</f>
        <v>1</v>
      </c>
      <c r="C55" s="167"/>
      <c r="D55" s="168"/>
      <c r="E55" s="133"/>
      <c r="F55" s="166"/>
      <c r="G55" s="63">
        <f>SUM(C55:F55)</f>
        <v>0</v>
      </c>
    </row>
    <row r="56" spans="1:7" s="72" customFormat="1" ht="16.5" customHeight="1" outlineLevel="1" thickBot="1" x14ac:dyDescent="0.3">
      <c r="A56" s="101" t="s">
        <v>20</v>
      </c>
      <c r="B56" s="709" t="s">
        <v>27</v>
      </c>
      <c r="C56" s="110">
        <f>SUM(C49:C55)</f>
        <v>0</v>
      </c>
      <c r="D56" s="110">
        <f>SUM(D49:D55)</f>
        <v>0</v>
      </c>
      <c r="E56" s="110">
        <f>SUM(E49:E55)</f>
        <v>0</v>
      </c>
      <c r="F56" s="110">
        <f>SUM(F49:F55)</f>
        <v>0</v>
      </c>
      <c r="G56" s="110">
        <f>SUM(G49:G55)</f>
        <v>0</v>
      </c>
    </row>
    <row r="57" spans="1:7" s="72" customFormat="1" ht="14.25" customHeight="1" outlineLevel="1" thickBot="1" x14ac:dyDescent="0.3">
      <c r="A57" s="102" t="s">
        <v>22</v>
      </c>
      <c r="B57" s="688"/>
      <c r="C57" s="111" t="e">
        <f>AVERAGE(C49:C55)</f>
        <v>#DIV/0!</v>
      </c>
      <c r="D57" s="111" t="e">
        <f>AVERAGE(D49:D55)</f>
        <v>#DIV/0!</v>
      </c>
      <c r="E57" s="111" t="e">
        <f>AVERAGE(E49:E55)</f>
        <v>#DIV/0!</v>
      </c>
      <c r="F57" s="111" t="e">
        <f>AVERAGE(F49:F55)</f>
        <v>#DIV/0!</v>
      </c>
      <c r="G57" s="111">
        <f>AVERAGE(G49:G55)</f>
        <v>0</v>
      </c>
    </row>
    <row r="58" spans="1:7" s="72" customFormat="1" ht="15.75" customHeight="1" thickBot="1" x14ac:dyDescent="0.3">
      <c r="A58" s="26" t="s">
        <v>19</v>
      </c>
      <c r="B58" s="688"/>
      <c r="C58" s="79">
        <f>SUM(C49:C53)</f>
        <v>0</v>
      </c>
      <c r="D58" s="79">
        <f>SUM(D49:D53)</f>
        <v>0</v>
      </c>
      <c r="E58" s="79">
        <f>SUM(E49:E53)</f>
        <v>0</v>
      </c>
      <c r="F58" s="79">
        <f>SUM(F49:F53)</f>
        <v>0</v>
      </c>
      <c r="G58" s="79">
        <f>SUM(G49:G53)</f>
        <v>0</v>
      </c>
    </row>
    <row r="59" spans="1:7" s="72" customFormat="1" ht="14.25" customHeight="1" thickBot="1" x14ac:dyDescent="0.3">
      <c r="A59" s="26" t="s">
        <v>21</v>
      </c>
      <c r="B59" s="689"/>
      <c r="C59" s="80" t="e">
        <f>AVERAGE(C49:C53)</f>
        <v>#DIV/0!</v>
      </c>
      <c r="D59" s="80" t="e">
        <f>AVERAGE(D49:D53)</f>
        <v>#DIV/0!</v>
      </c>
      <c r="E59" s="80" t="e">
        <f>AVERAGE(E49:E53)</f>
        <v>#DIV/0!</v>
      </c>
      <c r="F59" s="80" t="e">
        <f>AVERAGE(F49:F53)</f>
        <v>#DIV/0!</v>
      </c>
      <c r="G59" s="80" t="e">
        <f>AVERAGE(G49:G53)</f>
        <v>#DIV/0!</v>
      </c>
    </row>
    <row r="60" spans="1:7" s="72" customFormat="1" ht="1.5" hidden="1" customHeight="1" x14ac:dyDescent="0.25">
      <c r="A60" s="128"/>
      <c r="B60" s="120"/>
      <c r="C60" s="61"/>
      <c r="D60" s="62"/>
      <c r="E60" s="61"/>
      <c r="F60" s="73"/>
      <c r="G60" s="74"/>
    </row>
    <row r="61" spans="1:7" s="72" customFormat="1" ht="17.25" hidden="1" customHeight="1" x14ac:dyDescent="0.25">
      <c r="A61" s="129"/>
      <c r="B61" s="118"/>
      <c r="C61" s="61"/>
      <c r="D61" s="62"/>
      <c r="E61" s="63"/>
      <c r="F61" s="64"/>
      <c r="G61" s="65"/>
    </row>
    <row r="62" spans="1:7" s="72" customFormat="1" ht="18" hidden="1" customHeight="1" x14ac:dyDescent="0.25">
      <c r="A62" s="125"/>
      <c r="B62" s="118"/>
      <c r="C62" s="61"/>
      <c r="D62" s="62"/>
      <c r="E62" s="63"/>
      <c r="F62" s="64"/>
      <c r="G62" s="65"/>
    </row>
    <row r="63" spans="1:7" s="72" customFormat="1" ht="16.5" hidden="1" customHeight="1" x14ac:dyDescent="0.25">
      <c r="A63" s="125"/>
      <c r="B63" s="118"/>
      <c r="C63" s="61"/>
      <c r="D63" s="62"/>
      <c r="E63" s="63"/>
      <c r="F63" s="64"/>
      <c r="G63" s="65"/>
    </row>
    <row r="64" spans="1:7" s="72" customFormat="1" ht="15" hidden="1" customHeight="1" x14ac:dyDescent="0.25">
      <c r="A64" s="125"/>
      <c r="B64" s="118"/>
      <c r="C64" s="61"/>
      <c r="D64" s="62"/>
      <c r="E64" s="63"/>
      <c r="F64" s="64"/>
      <c r="G64" s="65"/>
    </row>
    <row r="65" spans="1:7" s="72" customFormat="1" ht="17.25" hidden="1" customHeight="1" outlineLevel="1" x14ac:dyDescent="0.25">
      <c r="A65" s="125"/>
      <c r="B65" s="118"/>
      <c r="C65" s="63"/>
      <c r="D65" s="67"/>
      <c r="E65" s="63"/>
      <c r="F65" s="64"/>
      <c r="G65" s="65"/>
    </row>
    <row r="66" spans="1:7" s="72" customFormat="1" ht="12" hidden="1" customHeight="1" outlineLevel="1" thickBot="1" x14ac:dyDescent="0.3">
      <c r="A66" s="125"/>
      <c r="B66" s="119"/>
      <c r="C66" s="68"/>
      <c r="D66" s="69"/>
      <c r="E66" s="68"/>
      <c r="F66" s="70"/>
      <c r="G66" s="71"/>
    </row>
    <row r="67" spans="1:7" s="72" customFormat="1" ht="15" hidden="1" customHeight="1" outlineLevel="1" thickBot="1" x14ac:dyDescent="0.3">
      <c r="A67" s="101" t="s">
        <v>20</v>
      </c>
      <c r="B67" s="709" t="s">
        <v>31</v>
      </c>
      <c r="C67" s="110">
        <f>SUM(C60:C66)</f>
        <v>0</v>
      </c>
      <c r="D67" s="110">
        <f>SUM(D60:D66)</f>
        <v>0</v>
      </c>
      <c r="E67" s="110">
        <f>SUM(E60:E66)</f>
        <v>0</v>
      </c>
      <c r="F67" s="110">
        <f>SUM(F60:F66)</f>
        <v>0</v>
      </c>
      <c r="G67" s="110">
        <f>SUM(G60:G66)</f>
        <v>0</v>
      </c>
    </row>
    <row r="68" spans="1:7" s="72" customFormat="1" ht="14.25" hidden="1" customHeight="1" outlineLevel="1" thickBot="1" x14ac:dyDescent="0.3">
      <c r="A68" s="102" t="s">
        <v>22</v>
      </c>
      <c r="B68" s="688"/>
      <c r="C68" s="111" t="e">
        <f>AVERAGE(C60:C66)</f>
        <v>#DIV/0!</v>
      </c>
      <c r="D68" s="111" t="e">
        <f>AVERAGE(D60:D66)</f>
        <v>#DIV/0!</v>
      </c>
      <c r="E68" s="111" t="e">
        <f>AVERAGE(E60:E66)</f>
        <v>#DIV/0!</v>
      </c>
      <c r="F68" s="111" t="e">
        <f>AVERAGE(F60:F66)</f>
        <v>#DIV/0!</v>
      </c>
      <c r="G68" s="111" t="e">
        <f>AVERAGE(G60:G66)</f>
        <v>#DIV/0!</v>
      </c>
    </row>
    <row r="69" spans="1:7" s="72" customFormat="1" ht="15.75" hidden="1" customHeight="1" thickBot="1" x14ac:dyDescent="0.3">
      <c r="A69" s="26" t="s">
        <v>19</v>
      </c>
      <c r="B69" s="688"/>
      <c r="C69" s="79">
        <f>SUM(C60:C64)</f>
        <v>0</v>
      </c>
      <c r="D69" s="79">
        <f>SUM(D60:D64)</f>
        <v>0</v>
      </c>
      <c r="E69" s="79">
        <f>SUM(E60:E64)</f>
        <v>0</v>
      </c>
      <c r="F69" s="79">
        <f>SUM(F60:F64)</f>
        <v>0</v>
      </c>
      <c r="G69" s="79">
        <f>SUM(G60:G64)</f>
        <v>0</v>
      </c>
    </row>
    <row r="70" spans="1:7" s="72" customFormat="1" ht="17.25" hidden="1" customHeight="1" thickBot="1" x14ac:dyDescent="0.3">
      <c r="A70" s="26" t="s">
        <v>21</v>
      </c>
      <c r="B70" s="689"/>
      <c r="C70" s="80" t="e">
        <f>AVERAGE(C60:C64)</f>
        <v>#DIV/0!</v>
      </c>
      <c r="D70" s="80" t="e">
        <f>AVERAGE(D60:D64)</f>
        <v>#DIV/0!</v>
      </c>
      <c r="E70" s="80" t="e">
        <f>AVERAGE(E60:E64)</f>
        <v>#DIV/0!</v>
      </c>
      <c r="F70" s="80" t="e">
        <f>AVERAGE(F60:F64)</f>
        <v>#DIV/0!</v>
      </c>
      <c r="G70" s="80" t="e">
        <f>AVERAGE(G60:G64)</f>
        <v>#DIV/0!</v>
      </c>
    </row>
    <row r="71" spans="1:7" s="72" customFormat="1" ht="14.25" customHeight="1" x14ac:dyDescent="0.25">
      <c r="A71" s="44"/>
      <c r="B71" s="45"/>
      <c r="C71" s="75"/>
      <c r="D71" s="75"/>
      <c r="E71" s="75"/>
      <c r="F71" s="75"/>
      <c r="G71" s="75"/>
    </row>
    <row r="72" spans="1:7" s="72" customFormat="1" ht="30" customHeight="1" x14ac:dyDescent="0.25">
      <c r="B72" s="76"/>
      <c r="C72" s="36" t="s">
        <v>48</v>
      </c>
      <c r="D72" s="36" t="s">
        <v>49</v>
      </c>
      <c r="E72" s="712" t="s">
        <v>57</v>
      </c>
      <c r="F72" s="720"/>
      <c r="G72" s="713"/>
    </row>
    <row r="73" spans="1:7" ht="30" customHeight="1" x14ac:dyDescent="0.25">
      <c r="B73" s="38" t="s">
        <v>28</v>
      </c>
      <c r="C73" s="77">
        <f>SUM(C56:D56, C45:D45, C34:D34, C23:D23, C12:D12, C67:D67)</f>
        <v>0</v>
      </c>
      <c r="D73" s="77">
        <f>SUM(E67:F67, E56:F56, E45:F45, E34:F34, E23:F23, E12:F12)</f>
        <v>0</v>
      </c>
      <c r="E73" s="717" t="s">
        <v>28</v>
      </c>
      <c r="F73" s="610"/>
      <c r="G73" s="99">
        <f>SUM(G12, G23, G34, G45, G56, G67)</f>
        <v>0</v>
      </c>
    </row>
    <row r="74" spans="1:7" ht="30" customHeight="1" x14ac:dyDescent="0.25">
      <c r="B74" s="38" t="s">
        <v>29</v>
      </c>
      <c r="C74" s="77">
        <f>SUM(C58:D58, C47:D47, C36:D36, C25:D25, C14:D14, C69:D69)</f>
        <v>0</v>
      </c>
      <c r="D74" s="77">
        <f>SUM(E69:F69, E58:F58, E47:F47, E36:F36, E25:F25, E14:F14)</f>
        <v>0</v>
      </c>
      <c r="E74" s="684" t="s">
        <v>29</v>
      </c>
      <c r="F74" s="684"/>
      <c r="G74" s="100">
        <f>SUM(G58, G47, G36, G25, G14, G69)</f>
        <v>0</v>
      </c>
    </row>
    <row r="75" spans="1:7" ht="30" customHeight="1" x14ac:dyDescent="0.25">
      <c r="E75" s="717" t="s">
        <v>58</v>
      </c>
      <c r="F75" s="610"/>
      <c r="G75" s="100">
        <f>AVERAGE(G12, G23, G34, G45, G56, G67)</f>
        <v>0</v>
      </c>
    </row>
    <row r="76" spans="1:7" ht="30" customHeight="1" x14ac:dyDescent="0.25">
      <c r="E76" s="684" t="s">
        <v>21</v>
      </c>
      <c r="F76" s="684"/>
      <c r="G76" s="99">
        <f>AVERAGE(G58, G47, G36, G25, G14, G69)</f>
        <v>0</v>
      </c>
    </row>
    <row r="86" spans="2:2" x14ac:dyDescent="0.25">
      <c r="B86" s="78"/>
    </row>
    <row r="87" spans="2:2" x14ac:dyDescent="0.25">
      <c r="B87" s="78"/>
    </row>
    <row r="88" spans="2:2" x14ac:dyDescent="0.25">
      <c r="B88" s="78"/>
    </row>
    <row r="89" spans="2:2" x14ac:dyDescent="0.25">
      <c r="B89" s="78"/>
    </row>
    <row r="90" spans="2:2" x14ac:dyDescent="0.25">
      <c r="B90" s="78"/>
    </row>
    <row r="91" spans="2:2" x14ac:dyDescent="0.25">
      <c r="B91" s="78"/>
    </row>
    <row r="92" spans="2:2" x14ac:dyDescent="0.25">
      <c r="B92" s="78"/>
    </row>
    <row r="97" spans="2:2" x14ac:dyDescent="0.25">
      <c r="B97" s="78"/>
    </row>
    <row r="98" spans="2:2" x14ac:dyDescent="0.25">
      <c r="B98" s="78"/>
    </row>
    <row r="99" spans="2:2" x14ac:dyDescent="0.25">
      <c r="B99" s="78"/>
    </row>
    <row r="100" spans="2:2" x14ac:dyDescent="0.25">
      <c r="B100" s="78"/>
    </row>
    <row r="101" spans="2:2" x14ac:dyDescent="0.25">
      <c r="B101" s="78"/>
    </row>
    <row r="102" spans="2:2" x14ac:dyDescent="0.25">
      <c r="B102" s="78"/>
    </row>
    <row r="103" spans="2:2" x14ac:dyDescent="0.25">
      <c r="B103" s="78"/>
    </row>
    <row r="104" spans="2:2" x14ac:dyDescent="0.25">
      <c r="B104" s="78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B24" sqref="B24:B2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83" t="s">
        <v>117</v>
      </c>
      <c r="B1" s="584"/>
    </row>
    <row r="2" spans="1:2" ht="15.75" thickBot="1" x14ac:dyDescent="0.3">
      <c r="A2" s="585"/>
      <c r="B2" s="586"/>
    </row>
    <row r="3" spans="1:2" ht="15.75" thickBot="1" x14ac:dyDescent="0.3">
      <c r="A3" s="537" t="s">
        <v>43</v>
      </c>
      <c r="B3" s="581"/>
    </row>
    <row r="4" spans="1:2" ht="12.75" customHeight="1" x14ac:dyDescent="0.25">
      <c r="A4" s="525" t="s">
        <v>44</v>
      </c>
      <c r="B4" s="523">
        <f>'NY Waterway-(Port Imperial FC)'!N68</f>
        <v>75255</v>
      </c>
    </row>
    <row r="5" spans="1:2" ht="13.5" customHeight="1" thickBot="1" x14ac:dyDescent="0.3">
      <c r="A5" s="539"/>
      <c r="B5" s="540"/>
    </row>
    <row r="6" spans="1:2" ht="12.75" customHeight="1" x14ac:dyDescent="0.25">
      <c r="A6" s="525" t="s">
        <v>45</v>
      </c>
      <c r="B6" s="523">
        <f>(SeaStreak!G68)</f>
        <v>21174</v>
      </c>
    </row>
    <row r="7" spans="1:2" ht="13.5" customHeight="1" thickBot="1" x14ac:dyDescent="0.3">
      <c r="A7" s="577"/>
      <c r="B7" s="540"/>
    </row>
    <row r="8" spans="1:2" ht="12.75" customHeight="1" x14ac:dyDescent="0.25">
      <c r="A8" s="520" t="s">
        <v>46</v>
      </c>
      <c r="B8" s="532">
        <f>'New York Water Taxi'!M79</f>
        <v>6926</v>
      </c>
    </row>
    <row r="9" spans="1:2" ht="13.5" customHeight="1" thickBot="1" x14ac:dyDescent="0.3">
      <c r="A9" s="578"/>
      <c r="B9" s="533"/>
    </row>
    <row r="10" spans="1:2" ht="12.75" customHeight="1" x14ac:dyDescent="0.25">
      <c r="A10" s="530" t="s">
        <v>32</v>
      </c>
      <c r="B10" s="532">
        <f>('Liberty Landing Ferry'!F79)</f>
        <v>1073</v>
      </c>
    </row>
    <row r="11" spans="1:2" ht="13.5" customHeight="1" thickBot="1" x14ac:dyDescent="0.3">
      <c r="A11" s="582"/>
      <c r="B11" s="533"/>
    </row>
    <row r="12" spans="1:2" ht="13.5" customHeight="1" x14ac:dyDescent="0.25">
      <c r="A12" s="530" t="s">
        <v>68</v>
      </c>
      <c r="B12" s="532">
        <f>'NYC Ferry'!E72</f>
        <v>402811</v>
      </c>
    </row>
    <row r="13" spans="1:2" ht="13.5" customHeight="1" thickBot="1" x14ac:dyDescent="0.3">
      <c r="A13" s="582"/>
      <c r="B13" s="533"/>
    </row>
    <row r="14" spans="1:2" ht="13.5" hidden="1" customHeight="1" x14ac:dyDescent="0.25">
      <c r="A14" s="530" t="s">
        <v>63</v>
      </c>
      <c r="B14" s="532">
        <f>'Water Tours'!F74</f>
        <v>0</v>
      </c>
    </row>
    <row r="15" spans="1:2" ht="13.5" hidden="1" customHeight="1" thickBot="1" x14ac:dyDescent="0.3">
      <c r="A15" s="582"/>
      <c r="B15" s="533"/>
    </row>
    <row r="16" spans="1:2" x14ac:dyDescent="0.25">
      <c r="A16" s="535" t="s">
        <v>18</v>
      </c>
      <c r="B16" s="512">
        <f>SUM(B4:B15)</f>
        <v>507239</v>
      </c>
    </row>
    <row r="17" spans="1:2" ht="15.75" thickBot="1" x14ac:dyDescent="0.3">
      <c r="A17" s="580"/>
      <c r="B17" s="574"/>
    </row>
    <row r="18" spans="1:2" ht="15.75" thickBot="1" x14ac:dyDescent="0.3">
      <c r="A18" s="39"/>
      <c r="B18" s="40"/>
    </row>
    <row r="19" spans="1:2" ht="15.75" thickBot="1" x14ac:dyDescent="0.3">
      <c r="A19" s="537" t="s">
        <v>47</v>
      </c>
      <c r="B19" s="581"/>
    </row>
    <row r="20" spans="1:2" x14ac:dyDescent="0.25">
      <c r="A20" s="525" t="s">
        <v>10</v>
      </c>
      <c r="B20" s="523">
        <f>SUM('NYC Ferry'!C67,'NY Waterway-(Port Imperial FC)'!D67,SeaStreak!B67,'New York Water Taxi'!J78,)</f>
        <v>117981</v>
      </c>
    </row>
    <row r="21" spans="1:2" ht="15.75" thickBot="1" x14ac:dyDescent="0.3">
      <c r="A21" s="539"/>
      <c r="B21" s="540"/>
    </row>
    <row r="22" spans="1:2" x14ac:dyDescent="0.25">
      <c r="A22" s="525" t="s">
        <v>64</v>
      </c>
      <c r="B22" s="523">
        <f>'NY Waterway-(Port Imperial FC)'!E67</f>
        <v>0</v>
      </c>
    </row>
    <row r="23" spans="1:2" ht="15.75" thickBot="1" x14ac:dyDescent="0.3">
      <c r="A23" s="539"/>
      <c r="B23" s="540"/>
    </row>
    <row r="24" spans="1:2" x14ac:dyDescent="0.25">
      <c r="A24" s="520" t="s">
        <v>8</v>
      </c>
      <c r="B24" s="532">
        <f>'NY Waterway-(Port Imperial FC)'!G67</f>
        <v>25002</v>
      </c>
    </row>
    <row r="25" spans="1:2" ht="15.75" thickBot="1" x14ac:dyDescent="0.3">
      <c r="A25" s="579"/>
      <c r="B25" s="533"/>
    </row>
    <row r="26" spans="1:2" x14ac:dyDescent="0.25">
      <c r="A26" s="525" t="s">
        <v>14</v>
      </c>
      <c r="B26" s="523">
        <f>SUM('NYC Ferry'!D67,SeaStreak!C67,'New York Water Taxi'!H78,)</f>
        <v>74202</v>
      </c>
    </row>
    <row r="27" spans="1:2" ht="15.75" thickBot="1" x14ac:dyDescent="0.3">
      <c r="A27" s="577"/>
      <c r="B27" s="540"/>
    </row>
    <row r="28" spans="1:2" ht="12.75" customHeight="1" x14ac:dyDescent="0.25">
      <c r="A28" s="525" t="s">
        <v>107</v>
      </c>
      <c r="B28" s="523">
        <f>SUM('NY Waterway-(Port Imperial FC)'!F67,'Liberty Landing Ferry'!B78)</f>
        <v>14977</v>
      </c>
    </row>
    <row r="29" spans="1:2" ht="15.75" thickBot="1" x14ac:dyDescent="0.3">
      <c r="A29" s="577"/>
      <c r="B29" s="540"/>
    </row>
    <row r="30" spans="1:2" x14ac:dyDescent="0.25">
      <c r="A30" s="520" t="s">
        <v>7</v>
      </c>
      <c r="B30" s="508">
        <f>SUM('New York Water Taxi'!D78)</f>
        <v>0</v>
      </c>
    </row>
    <row r="31" spans="1:2" ht="15.75" thickBot="1" x14ac:dyDescent="0.3">
      <c r="A31" s="578"/>
      <c r="B31" s="509"/>
    </row>
    <row r="32" spans="1:2" x14ac:dyDescent="0.25">
      <c r="A32" s="525" t="s">
        <v>92</v>
      </c>
      <c r="B32" s="508">
        <f>SUM('New York Water Taxi'!F78)</f>
        <v>0</v>
      </c>
    </row>
    <row r="33" spans="1:6" ht="15.75" thickBot="1" x14ac:dyDescent="0.3">
      <c r="A33" s="577"/>
      <c r="B33" s="509"/>
    </row>
    <row r="34" spans="1:6" ht="13.5" customHeight="1" x14ac:dyDescent="0.25">
      <c r="A34" s="506" t="s">
        <v>59</v>
      </c>
      <c r="B34" s="508">
        <f>SUM('NYC Ferry'!E67,'New York Water Taxi'!E78)</f>
        <v>26971</v>
      </c>
    </row>
    <row r="35" spans="1:6" ht="14.25" customHeight="1" thickBot="1" x14ac:dyDescent="0.3">
      <c r="A35" s="507"/>
      <c r="B35" s="509"/>
    </row>
    <row r="36" spans="1:6" ht="14.25" customHeight="1" x14ac:dyDescent="0.25">
      <c r="A36" s="506" t="s">
        <v>89</v>
      </c>
      <c r="B36" s="508">
        <f>SUM('New York Water Taxi'!G78)</f>
        <v>0</v>
      </c>
    </row>
    <row r="37" spans="1:6" ht="14.25" customHeight="1" thickBot="1" x14ac:dyDescent="0.3">
      <c r="A37" s="507"/>
      <c r="B37" s="509"/>
    </row>
    <row r="38" spans="1:6" ht="13.5" customHeight="1" x14ac:dyDescent="0.25">
      <c r="A38" s="506" t="s">
        <v>60</v>
      </c>
      <c r="B38" s="508">
        <f>SUM('NYC Ferry'!I67)</f>
        <v>8976</v>
      </c>
    </row>
    <row r="39" spans="1:6" ht="14.25" customHeight="1" thickBot="1" x14ac:dyDescent="0.3">
      <c r="A39" s="507"/>
      <c r="B39" s="509"/>
    </row>
    <row r="40" spans="1:6" ht="13.5" customHeight="1" x14ac:dyDescent="0.25">
      <c r="A40" s="506" t="s">
        <v>11</v>
      </c>
      <c r="B40" s="508">
        <f>SUM('NYC Ferry'!J67)</f>
        <v>19248</v>
      </c>
    </row>
    <row r="41" spans="1:6" ht="14.25" customHeight="1" thickBot="1" x14ac:dyDescent="0.3">
      <c r="A41" s="507"/>
      <c r="B41" s="509"/>
    </row>
    <row r="42" spans="1:6" ht="13.5" customHeight="1" x14ac:dyDescent="0.25">
      <c r="A42" s="506" t="s">
        <v>12</v>
      </c>
      <c r="B42" s="508">
        <f>SUM('NYC Ferry'!G67)</f>
        <v>10949</v>
      </c>
    </row>
    <row r="43" spans="1:6" ht="14.25" customHeight="1" thickBot="1" x14ac:dyDescent="0.3">
      <c r="A43" s="507"/>
      <c r="B43" s="509"/>
    </row>
    <row r="44" spans="1:6" ht="13.5" customHeight="1" x14ac:dyDescent="0.25">
      <c r="A44" s="506" t="s">
        <v>95</v>
      </c>
      <c r="B44" s="508">
        <f>SUM('NYC Ferry'!H67)</f>
        <v>14227</v>
      </c>
    </row>
    <row r="45" spans="1:6" ht="14.25" customHeight="1" thickBot="1" x14ac:dyDescent="0.3">
      <c r="A45" s="507"/>
      <c r="B45" s="509"/>
    </row>
    <row r="46" spans="1:6" ht="14.25" customHeight="1" x14ac:dyDescent="0.25">
      <c r="A46" s="506" t="s">
        <v>30</v>
      </c>
      <c r="B46" s="508">
        <f>SUM('NYC Ferry'!W67,'NY Waterway-(Port Imperial FC)'!H67)</f>
        <v>30268</v>
      </c>
      <c r="F46" s="6"/>
    </row>
    <row r="47" spans="1:6" ht="14.25" customHeight="1" thickBot="1" x14ac:dyDescent="0.3">
      <c r="A47" s="507"/>
      <c r="B47" s="509"/>
    </row>
    <row r="48" spans="1:6" ht="14.25" customHeight="1" x14ac:dyDescent="0.25">
      <c r="A48" s="506" t="s">
        <v>73</v>
      </c>
      <c r="B48" s="508">
        <f>SUM('NYC Ferry'!N67)</f>
        <v>3844</v>
      </c>
    </row>
    <row r="49" spans="1:2" ht="14.25" customHeight="1" thickBot="1" x14ac:dyDescent="0.3">
      <c r="A49" s="507"/>
      <c r="B49" s="509"/>
    </row>
    <row r="50" spans="1:2" ht="14.25" customHeight="1" x14ac:dyDescent="0.25">
      <c r="A50" s="506" t="s">
        <v>98</v>
      </c>
      <c r="B50" s="508">
        <f>SUM('New York Water Taxi'!K78)</f>
        <v>0</v>
      </c>
    </row>
    <row r="51" spans="1:2" ht="14.25" customHeight="1" thickBot="1" x14ac:dyDescent="0.3">
      <c r="A51" s="507"/>
      <c r="B51" s="509"/>
    </row>
    <row r="52" spans="1:2" ht="14.25" customHeight="1" x14ac:dyDescent="0.25">
      <c r="A52" s="518" t="s">
        <v>108</v>
      </c>
      <c r="B52" s="508">
        <f>SUM('NYC Ferry'!K67,'New York Water Taxi'!I78)</f>
        <v>16569</v>
      </c>
    </row>
    <row r="53" spans="1:2" ht="14.25" customHeight="1" thickBot="1" x14ac:dyDescent="0.3">
      <c r="A53" s="519"/>
      <c r="B53" s="509"/>
    </row>
    <row r="54" spans="1:2" ht="14.25" customHeight="1" x14ac:dyDescent="0.25">
      <c r="A54" s="506" t="s">
        <v>79</v>
      </c>
      <c r="B54" s="508">
        <f>SUM('NYC Ferry'!V67)</f>
        <v>4571</v>
      </c>
    </row>
    <row r="55" spans="1:2" ht="14.25" customHeight="1" thickBot="1" x14ac:dyDescent="0.3">
      <c r="A55" s="507"/>
      <c r="B55" s="509"/>
    </row>
    <row r="56" spans="1:2" ht="14.25" customHeight="1" x14ac:dyDescent="0.25">
      <c r="A56" s="506" t="s">
        <v>80</v>
      </c>
      <c r="B56" s="508">
        <f>SUM('NYC Ferry'!U67)</f>
        <v>3535</v>
      </c>
    </row>
    <row r="57" spans="1:2" ht="14.25" customHeight="1" thickBot="1" x14ac:dyDescent="0.3">
      <c r="A57" s="507"/>
      <c r="B57" s="509"/>
    </row>
    <row r="58" spans="1:2" ht="14.25" customHeight="1" x14ac:dyDescent="0.25">
      <c r="A58" s="506" t="s">
        <v>82</v>
      </c>
      <c r="B58" s="508">
        <f>SUM('NYC Ferry'!T67)</f>
        <v>15680</v>
      </c>
    </row>
    <row r="59" spans="1:2" ht="14.25" customHeight="1" thickBot="1" x14ac:dyDescent="0.3">
      <c r="A59" s="507"/>
      <c r="B59" s="509"/>
    </row>
    <row r="60" spans="1:2" ht="14.25" customHeight="1" x14ac:dyDescent="0.25">
      <c r="A60" s="506" t="s">
        <v>81</v>
      </c>
      <c r="B60" s="508">
        <f>SUM('NYC Ferry'!S67)</f>
        <v>16073</v>
      </c>
    </row>
    <row r="61" spans="1:2" ht="14.25" customHeight="1" thickBot="1" x14ac:dyDescent="0.3">
      <c r="A61" s="507"/>
      <c r="B61" s="509"/>
    </row>
    <row r="62" spans="1:2" ht="14.25" customHeight="1" x14ac:dyDescent="0.25">
      <c r="A62" s="575" t="s">
        <v>96</v>
      </c>
      <c r="B62" s="508">
        <f>SUM('NYC Ferry'!M67,'NY Waterway-(Port Imperial FC)'!I67)</f>
        <v>10335</v>
      </c>
    </row>
    <row r="63" spans="1:2" ht="14.25" customHeight="1" thickBot="1" x14ac:dyDescent="0.3">
      <c r="A63" s="576"/>
      <c r="B63" s="509"/>
    </row>
    <row r="64" spans="1:2" ht="14.25" customHeight="1" x14ac:dyDescent="0.25">
      <c r="A64" s="506" t="s">
        <v>110</v>
      </c>
      <c r="B64" s="508">
        <f>SUM('NYC Ferry'!O67)</f>
        <v>9036</v>
      </c>
    </row>
    <row r="65" spans="1:2" ht="14.25" customHeight="1" thickBot="1" x14ac:dyDescent="0.3">
      <c r="A65" s="507"/>
      <c r="B65" s="509"/>
    </row>
    <row r="66" spans="1:2" ht="14.25" customHeight="1" x14ac:dyDescent="0.25">
      <c r="A66" s="506" t="s">
        <v>67</v>
      </c>
      <c r="B66" s="508">
        <f>SUM('NYC Ferry'!L67)</f>
        <v>41132</v>
      </c>
    </row>
    <row r="67" spans="1:2" ht="14.25" customHeight="1" thickBot="1" x14ac:dyDescent="0.3">
      <c r="A67" s="507"/>
      <c r="B67" s="509"/>
    </row>
    <row r="68" spans="1:2" ht="14.25" customHeight="1" x14ac:dyDescent="0.25">
      <c r="A68" s="506" t="s">
        <v>74</v>
      </c>
      <c r="B68" s="508">
        <f>SUM('NYC Ferry'!R67)</f>
        <v>14876</v>
      </c>
    </row>
    <row r="69" spans="1:2" ht="14.25" customHeight="1" thickBot="1" x14ac:dyDescent="0.3">
      <c r="A69" s="507"/>
      <c r="B69" s="509"/>
    </row>
    <row r="70" spans="1:2" ht="14.25" customHeight="1" x14ac:dyDescent="0.25">
      <c r="A70" s="506" t="s">
        <v>75</v>
      </c>
      <c r="B70" s="508">
        <f>SUM('NYC Ferry'!Q67)</f>
        <v>8611</v>
      </c>
    </row>
    <row r="71" spans="1:2" ht="14.25" customHeight="1" thickBot="1" x14ac:dyDescent="0.3">
      <c r="A71" s="507"/>
      <c r="B71" s="509"/>
    </row>
    <row r="72" spans="1:2" ht="14.25" customHeight="1" x14ac:dyDescent="0.25">
      <c r="A72" s="506" t="s">
        <v>102</v>
      </c>
      <c r="B72" s="508">
        <f>SUM('NYC Ferry'!P67)</f>
        <v>4846</v>
      </c>
    </row>
    <row r="73" spans="1:2" ht="14.25" customHeight="1" thickBot="1" x14ac:dyDescent="0.3">
      <c r="A73" s="507"/>
      <c r="B73" s="509"/>
    </row>
    <row r="74" spans="1:2" ht="14.25" customHeight="1" x14ac:dyDescent="0.25">
      <c r="A74" s="506" t="s">
        <v>61</v>
      </c>
      <c r="B74" s="508">
        <f>SUM('NYC Ferry'!F67)</f>
        <v>15330</v>
      </c>
    </row>
    <row r="75" spans="1:2" ht="14.25" customHeight="1" thickBot="1" x14ac:dyDescent="0.3">
      <c r="A75" s="507"/>
      <c r="B75" s="509"/>
    </row>
    <row r="76" spans="1:2" x14ac:dyDescent="0.25">
      <c r="A76" s="563" t="s">
        <v>18</v>
      </c>
      <c r="B76" s="512">
        <f>SUM(B20:B75)</f>
        <v>507239</v>
      </c>
    </row>
    <row r="77" spans="1:2" ht="15.75" thickBot="1" x14ac:dyDescent="0.3">
      <c r="A77" s="573"/>
      <c r="B77" s="574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24:A25"/>
    <mergeCell ref="B24:B25"/>
    <mergeCell ref="A26:A27"/>
    <mergeCell ref="B26:B27"/>
    <mergeCell ref="A22:A23"/>
    <mergeCell ref="B22:B23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54:A55"/>
    <mergeCell ref="A56:A57"/>
    <mergeCell ref="B54:B55"/>
    <mergeCell ref="A60:A61"/>
    <mergeCell ref="B58:B59"/>
    <mergeCell ref="B60:B61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zoomScale="106" zoomScaleNormal="106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76" sqref="F76"/>
    </sheetView>
  </sheetViews>
  <sheetFormatPr defaultRowHeight="15" x14ac:dyDescent="0.25"/>
  <cols>
    <col min="1" max="1" width="18.7109375" style="1" bestFit="1" customWidth="1"/>
    <col min="2" max="2" width="10.7109375" style="123" bestFit="1" customWidth="1"/>
    <col min="3" max="3" width="17.5703125" style="123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11" customWidth="1"/>
    <col min="15" max="16" width="11.7109375" style="1" customWidth="1"/>
    <col min="17" max="26" width="11.7109375" style="211" customWidth="1"/>
    <col min="27" max="27" width="13.42578125" customWidth="1"/>
    <col min="28" max="28" width="11" customWidth="1"/>
    <col min="29" max="29" width="10.85546875" style="249" bestFit="1" customWidth="1"/>
    <col min="30" max="30" width="10.85546875" style="213" customWidth="1"/>
    <col min="31" max="31" width="11.7109375" style="211" customWidth="1"/>
    <col min="32" max="32" width="14.28515625" customWidth="1"/>
    <col min="33" max="33" width="12.42578125" customWidth="1"/>
    <col min="34" max="34" width="10.85546875" customWidth="1"/>
    <col min="35" max="35" width="10.5703125" customWidth="1"/>
    <col min="36" max="36" width="10.140625" style="213" bestFit="1" customWidth="1"/>
    <col min="37" max="37" width="10.5703125" style="213" customWidth="1"/>
    <col min="38" max="38" width="10.140625" bestFit="1" customWidth="1"/>
  </cols>
  <sheetData>
    <row r="1" spans="1:38" ht="15" customHeight="1" x14ac:dyDescent="0.25">
      <c r="A1" s="613" t="s">
        <v>50</v>
      </c>
      <c r="B1" s="616" t="s">
        <v>51</v>
      </c>
      <c r="C1" s="620" t="s">
        <v>66</v>
      </c>
      <c r="D1" s="621"/>
      <c r="E1" s="621"/>
      <c r="F1" s="621"/>
      <c r="G1" s="621"/>
      <c r="H1" s="621"/>
      <c r="I1" s="622"/>
      <c r="J1" s="634" t="s">
        <v>67</v>
      </c>
      <c r="K1" s="635"/>
      <c r="L1" s="636"/>
      <c r="M1" s="640" t="s">
        <v>71</v>
      </c>
      <c r="N1" s="589"/>
      <c r="O1" s="589"/>
      <c r="P1" s="589"/>
      <c r="Q1" s="589"/>
      <c r="R1" s="589"/>
      <c r="S1" s="590"/>
      <c r="T1" s="588" t="s">
        <v>74</v>
      </c>
      <c r="U1" s="589"/>
      <c r="V1" s="589"/>
      <c r="W1" s="589"/>
      <c r="X1" s="589"/>
      <c r="Y1" s="642"/>
      <c r="Z1" s="587" t="s">
        <v>82</v>
      </c>
      <c r="AA1" s="587"/>
      <c r="AB1" s="587"/>
      <c r="AC1" s="587"/>
      <c r="AD1" s="587"/>
      <c r="AE1" s="588" t="s">
        <v>78</v>
      </c>
      <c r="AF1" s="589"/>
      <c r="AG1" s="589"/>
      <c r="AH1" s="589"/>
      <c r="AI1" s="590"/>
      <c r="AJ1" s="598" t="s">
        <v>101</v>
      </c>
      <c r="AK1" s="599"/>
      <c r="AL1" s="595"/>
    </row>
    <row r="2" spans="1:38" ht="15.75" customHeight="1" x14ac:dyDescent="0.25">
      <c r="A2" s="614"/>
      <c r="B2" s="617"/>
      <c r="C2" s="623"/>
      <c r="D2" s="624"/>
      <c r="E2" s="624"/>
      <c r="F2" s="624"/>
      <c r="G2" s="624"/>
      <c r="H2" s="624"/>
      <c r="I2" s="625"/>
      <c r="J2" s="637"/>
      <c r="K2" s="638"/>
      <c r="L2" s="639"/>
      <c r="M2" s="641"/>
      <c r="N2" s="587"/>
      <c r="O2" s="587"/>
      <c r="P2" s="587"/>
      <c r="Q2" s="587"/>
      <c r="R2" s="587"/>
      <c r="S2" s="592"/>
      <c r="T2" s="591"/>
      <c r="U2" s="587"/>
      <c r="V2" s="587"/>
      <c r="W2" s="587"/>
      <c r="X2" s="587"/>
      <c r="Y2" s="643"/>
      <c r="Z2" s="587"/>
      <c r="AA2" s="587"/>
      <c r="AB2" s="587"/>
      <c r="AC2" s="587"/>
      <c r="AD2" s="587"/>
      <c r="AE2" s="591"/>
      <c r="AF2" s="587"/>
      <c r="AG2" s="587"/>
      <c r="AH2" s="587"/>
      <c r="AI2" s="592"/>
      <c r="AJ2" s="600"/>
      <c r="AK2" s="601"/>
      <c r="AL2" s="596"/>
    </row>
    <row r="3" spans="1:38" ht="15" customHeight="1" x14ac:dyDescent="0.25">
      <c r="A3" s="614"/>
      <c r="B3" s="617"/>
      <c r="C3" s="602" t="s">
        <v>10</v>
      </c>
      <c r="D3" s="593" t="s">
        <v>59</v>
      </c>
      <c r="E3" s="593" t="s">
        <v>60</v>
      </c>
      <c r="F3" s="593" t="s">
        <v>11</v>
      </c>
      <c r="G3" s="593" t="s">
        <v>12</v>
      </c>
      <c r="H3" s="593" t="s">
        <v>95</v>
      </c>
      <c r="I3" s="604" t="s">
        <v>14</v>
      </c>
      <c r="J3" s="602" t="s">
        <v>10</v>
      </c>
      <c r="K3" s="593" t="s">
        <v>104</v>
      </c>
      <c r="L3" s="604" t="s">
        <v>67</v>
      </c>
      <c r="M3" s="602" t="s">
        <v>10</v>
      </c>
      <c r="N3" s="593" t="s">
        <v>59</v>
      </c>
      <c r="O3" s="593" t="s">
        <v>111</v>
      </c>
      <c r="P3" s="593" t="s">
        <v>73</v>
      </c>
      <c r="Q3" s="593" t="s">
        <v>104</v>
      </c>
      <c r="R3" s="593" t="s">
        <v>72</v>
      </c>
      <c r="S3" s="604" t="s">
        <v>80</v>
      </c>
      <c r="T3" s="607" t="s">
        <v>10</v>
      </c>
      <c r="U3" s="593" t="s">
        <v>102</v>
      </c>
      <c r="V3" s="593" t="s">
        <v>14</v>
      </c>
      <c r="W3" s="593" t="s">
        <v>61</v>
      </c>
      <c r="X3" s="593" t="s">
        <v>75</v>
      </c>
      <c r="Y3" s="644" t="s">
        <v>74</v>
      </c>
      <c r="Z3" s="593" t="s">
        <v>10</v>
      </c>
      <c r="AA3" s="593" t="s">
        <v>14</v>
      </c>
      <c r="AB3" s="593" t="s">
        <v>81</v>
      </c>
      <c r="AC3" s="593" t="s">
        <v>82</v>
      </c>
      <c r="AD3" s="593" t="s">
        <v>79</v>
      </c>
      <c r="AE3" s="607" t="s">
        <v>10</v>
      </c>
      <c r="AF3" s="593" t="s">
        <v>80</v>
      </c>
      <c r="AG3" s="593" t="s">
        <v>79</v>
      </c>
      <c r="AH3" s="593" t="s">
        <v>14</v>
      </c>
      <c r="AI3" s="604" t="s">
        <v>61</v>
      </c>
      <c r="AJ3" s="602" t="s">
        <v>10</v>
      </c>
      <c r="AK3" s="604" t="s">
        <v>30</v>
      </c>
      <c r="AL3" s="596"/>
    </row>
    <row r="4" spans="1:38" ht="40.5" customHeight="1" thickBot="1" x14ac:dyDescent="0.3">
      <c r="A4" s="615"/>
      <c r="B4" s="618"/>
      <c r="C4" s="619"/>
      <c r="D4" s="597"/>
      <c r="E4" s="597"/>
      <c r="F4" s="597"/>
      <c r="G4" s="597"/>
      <c r="H4" s="597"/>
      <c r="I4" s="605"/>
      <c r="J4" s="631"/>
      <c r="K4" s="633"/>
      <c r="L4" s="632"/>
      <c r="M4" s="603"/>
      <c r="N4" s="594"/>
      <c r="O4" s="594"/>
      <c r="P4" s="594"/>
      <c r="Q4" s="594"/>
      <c r="R4" s="594"/>
      <c r="S4" s="605"/>
      <c r="T4" s="608"/>
      <c r="U4" s="597"/>
      <c r="V4" s="594"/>
      <c r="W4" s="594"/>
      <c r="X4" s="594"/>
      <c r="Y4" s="645"/>
      <c r="Z4" s="594"/>
      <c r="AA4" s="594"/>
      <c r="AB4" s="594"/>
      <c r="AC4" s="597"/>
      <c r="AD4" s="597"/>
      <c r="AE4" s="608"/>
      <c r="AF4" s="594"/>
      <c r="AG4" s="594"/>
      <c r="AH4" s="594"/>
      <c r="AI4" s="606"/>
      <c r="AJ4" s="603"/>
      <c r="AK4" s="605"/>
      <c r="AL4" s="596"/>
    </row>
    <row r="5" spans="1:38" s="363" customFormat="1" ht="17.25" thickBot="1" x14ac:dyDescent="0.35">
      <c r="A5" s="139"/>
      <c r="B5" s="357"/>
      <c r="C5" s="496"/>
      <c r="D5" s="497"/>
      <c r="E5" s="497"/>
      <c r="F5" s="497"/>
      <c r="G5" s="497"/>
      <c r="H5" s="497"/>
      <c r="I5" s="499"/>
      <c r="J5" s="501"/>
      <c r="K5" s="497"/>
      <c r="L5" s="502"/>
      <c r="M5" s="496"/>
      <c r="N5" s="497"/>
      <c r="O5" s="497"/>
      <c r="P5" s="497"/>
      <c r="Q5" s="497"/>
      <c r="R5" s="497"/>
      <c r="S5" s="502"/>
      <c r="T5" s="496"/>
      <c r="U5" s="497"/>
      <c r="V5" s="497"/>
      <c r="W5" s="497"/>
      <c r="X5" s="497"/>
      <c r="Y5" s="502"/>
      <c r="Z5" s="496"/>
      <c r="AA5" s="287"/>
      <c r="AB5" s="497"/>
      <c r="AC5" s="497"/>
      <c r="AD5" s="502"/>
      <c r="AE5" s="496"/>
      <c r="AF5" s="497"/>
      <c r="AG5" s="497"/>
      <c r="AH5" s="497"/>
      <c r="AI5" s="502"/>
      <c r="AJ5" s="496"/>
      <c r="AK5" s="502"/>
      <c r="AL5" s="504"/>
    </row>
    <row r="6" spans="1:38" ht="15.75" thickBot="1" x14ac:dyDescent="0.3">
      <c r="A6" s="147" t="s">
        <v>20</v>
      </c>
      <c r="B6" s="626" t="s">
        <v>118</v>
      </c>
      <c r="C6" s="208">
        <f t="shared" ref="C6:AL6" si="0">SUM(C5)</f>
        <v>0</v>
      </c>
      <c r="D6" s="201">
        <f t="shared" si="0"/>
        <v>0</v>
      </c>
      <c r="E6" s="201">
        <f t="shared" si="0"/>
        <v>0</v>
      </c>
      <c r="F6" s="201">
        <f t="shared" si="0"/>
        <v>0</v>
      </c>
      <c r="G6" s="201">
        <f t="shared" si="0"/>
        <v>0</v>
      </c>
      <c r="H6" s="201">
        <f t="shared" si="0"/>
        <v>0</v>
      </c>
      <c r="I6" s="427">
        <f t="shared" si="0"/>
        <v>0</v>
      </c>
      <c r="J6" s="208">
        <f t="shared" si="0"/>
        <v>0</v>
      </c>
      <c r="K6" s="201">
        <f t="shared" si="0"/>
        <v>0</v>
      </c>
      <c r="L6" s="427">
        <f t="shared" si="0"/>
        <v>0</v>
      </c>
      <c r="M6" s="208">
        <f t="shared" si="0"/>
        <v>0</v>
      </c>
      <c r="N6" s="201">
        <f t="shared" si="0"/>
        <v>0</v>
      </c>
      <c r="O6" s="201">
        <f t="shared" si="0"/>
        <v>0</v>
      </c>
      <c r="P6" s="201">
        <f t="shared" si="0"/>
        <v>0</v>
      </c>
      <c r="Q6" s="201">
        <f t="shared" si="0"/>
        <v>0</v>
      </c>
      <c r="R6" s="201">
        <f t="shared" si="0"/>
        <v>0</v>
      </c>
      <c r="S6" s="427"/>
      <c r="T6" s="208">
        <f t="shared" si="0"/>
        <v>0</v>
      </c>
      <c r="U6" s="201">
        <f t="shared" si="0"/>
        <v>0</v>
      </c>
      <c r="V6" s="201">
        <f t="shared" si="0"/>
        <v>0</v>
      </c>
      <c r="W6" s="201">
        <f t="shared" si="0"/>
        <v>0</v>
      </c>
      <c r="X6" s="201">
        <f t="shared" si="0"/>
        <v>0</v>
      </c>
      <c r="Y6" s="427">
        <f t="shared" si="0"/>
        <v>0</v>
      </c>
      <c r="Z6" s="208">
        <f t="shared" si="0"/>
        <v>0</v>
      </c>
      <c r="AA6" s="201">
        <f t="shared" si="0"/>
        <v>0</v>
      </c>
      <c r="AB6" s="201">
        <f t="shared" si="0"/>
        <v>0</v>
      </c>
      <c r="AC6" s="201">
        <f t="shared" si="0"/>
        <v>0</v>
      </c>
      <c r="AD6" s="427"/>
      <c r="AE6" s="208">
        <f t="shared" si="0"/>
        <v>0</v>
      </c>
      <c r="AF6" s="201">
        <f t="shared" si="0"/>
        <v>0</v>
      </c>
      <c r="AG6" s="201">
        <f t="shared" si="0"/>
        <v>0</v>
      </c>
      <c r="AH6" s="201">
        <f t="shared" si="0"/>
        <v>0</v>
      </c>
      <c r="AI6" s="427">
        <f t="shared" si="0"/>
        <v>0</v>
      </c>
      <c r="AJ6" s="208">
        <f t="shared" si="0"/>
        <v>0</v>
      </c>
      <c r="AK6" s="427">
        <f t="shared" si="0"/>
        <v>0</v>
      </c>
      <c r="AL6" s="436">
        <f t="shared" si="0"/>
        <v>0</v>
      </c>
    </row>
    <row r="7" spans="1:38" ht="15.75" thickBot="1" x14ac:dyDescent="0.3">
      <c r="A7" s="102" t="s">
        <v>22</v>
      </c>
      <c r="B7" s="626"/>
      <c r="C7" s="208" t="e">
        <f t="shared" ref="C7:AL7" si="1">AVERAGE(C5)</f>
        <v>#DIV/0!</v>
      </c>
      <c r="D7" s="201" t="e">
        <f t="shared" si="1"/>
        <v>#DIV/0!</v>
      </c>
      <c r="E7" s="201" t="e">
        <f t="shared" si="1"/>
        <v>#DIV/0!</v>
      </c>
      <c r="F7" s="201" t="e">
        <f t="shared" si="1"/>
        <v>#DIV/0!</v>
      </c>
      <c r="G7" s="201" t="e">
        <f t="shared" si="1"/>
        <v>#DIV/0!</v>
      </c>
      <c r="H7" s="201" t="e">
        <f t="shared" si="1"/>
        <v>#DIV/0!</v>
      </c>
      <c r="I7" s="427" t="e">
        <f t="shared" si="1"/>
        <v>#DIV/0!</v>
      </c>
      <c r="J7" s="208" t="e">
        <f t="shared" si="1"/>
        <v>#DIV/0!</v>
      </c>
      <c r="K7" s="201" t="e">
        <f t="shared" si="1"/>
        <v>#DIV/0!</v>
      </c>
      <c r="L7" s="427" t="e">
        <f t="shared" si="1"/>
        <v>#DIV/0!</v>
      </c>
      <c r="M7" s="208" t="e">
        <f t="shared" si="1"/>
        <v>#DIV/0!</v>
      </c>
      <c r="N7" s="201" t="e">
        <f t="shared" si="1"/>
        <v>#DIV/0!</v>
      </c>
      <c r="O7" s="201" t="e">
        <f t="shared" si="1"/>
        <v>#DIV/0!</v>
      </c>
      <c r="P7" s="201" t="e">
        <f t="shared" si="1"/>
        <v>#DIV/0!</v>
      </c>
      <c r="Q7" s="201" t="e">
        <f t="shared" si="1"/>
        <v>#DIV/0!</v>
      </c>
      <c r="R7" s="201" t="e">
        <f t="shared" si="1"/>
        <v>#DIV/0!</v>
      </c>
      <c r="S7" s="427"/>
      <c r="T7" s="208" t="e">
        <f t="shared" si="1"/>
        <v>#DIV/0!</v>
      </c>
      <c r="U7" s="201" t="e">
        <f t="shared" si="1"/>
        <v>#DIV/0!</v>
      </c>
      <c r="V7" s="201" t="e">
        <f t="shared" si="1"/>
        <v>#DIV/0!</v>
      </c>
      <c r="W7" s="201" t="e">
        <f t="shared" si="1"/>
        <v>#DIV/0!</v>
      </c>
      <c r="X7" s="201" t="e">
        <f t="shared" si="1"/>
        <v>#DIV/0!</v>
      </c>
      <c r="Y7" s="427" t="e">
        <f t="shared" si="1"/>
        <v>#DIV/0!</v>
      </c>
      <c r="Z7" s="208" t="e">
        <f t="shared" si="1"/>
        <v>#DIV/0!</v>
      </c>
      <c r="AA7" s="201" t="e">
        <f t="shared" si="1"/>
        <v>#DIV/0!</v>
      </c>
      <c r="AB7" s="201" t="e">
        <f t="shared" si="1"/>
        <v>#DIV/0!</v>
      </c>
      <c r="AC7" s="201" t="e">
        <f t="shared" si="1"/>
        <v>#DIV/0!</v>
      </c>
      <c r="AD7" s="427"/>
      <c r="AE7" s="208" t="e">
        <f t="shared" si="1"/>
        <v>#DIV/0!</v>
      </c>
      <c r="AF7" s="201" t="e">
        <f t="shared" si="1"/>
        <v>#DIV/0!</v>
      </c>
      <c r="AG7" s="201" t="e">
        <f t="shared" si="1"/>
        <v>#DIV/0!</v>
      </c>
      <c r="AH7" s="201" t="e">
        <f t="shared" si="1"/>
        <v>#DIV/0!</v>
      </c>
      <c r="AI7" s="427" t="e">
        <f t="shared" si="1"/>
        <v>#DIV/0!</v>
      </c>
      <c r="AJ7" s="208" t="e">
        <f t="shared" si="1"/>
        <v>#DIV/0!</v>
      </c>
      <c r="AK7" s="427" t="e">
        <f t="shared" si="1"/>
        <v>#DIV/0!</v>
      </c>
      <c r="AL7" s="436" t="e">
        <f t="shared" si="1"/>
        <v>#DIV/0!</v>
      </c>
    </row>
    <row r="8" spans="1:38" ht="15.75" thickBot="1" x14ac:dyDescent="0.3">
      <c r="A8" s="26" t="s">
        <v>19</v>
      </c>
      <c r="B8" s="626"/>
      <c r="C8" s="209" t="e">
        <f>SUM(#REF!)</f>
        <v>#REF!</v>
      </c>
      <c r="D8" s="202" t="e">
        <f>SUM(#REF!)</f>
        <v>#REF!</v>
      </c>
      <c r="E8" s="202" t="e">
        <f>SUM(#REF!)</f>
        <v>#REF!</v>
      </c>
      <c r="F8" s="202" t="e">
        <f>SUM(#REF!)</f>
        <v>#REF!</v>
      </c>
      <c r="G8" s="202" t="e">
        <f>SUM(#REF!)</f>
        <v>#REF!</v>
      </c>
      <c r="H8" s="202" t="e">
        <f>SUM(#REF!)</f>
        <v>#REF!</v>
      </c>
      <c r="I8" s="429" t="e">
        <f>SUM(#REF!)</f>
        <v>#REF!</v>
      </c>
      <c r="J8" s="209" t="e">
        <f>SUM(#REF!)</f>
        <v>#REF!</v>
      </c>
      <c r="K8" s="202" t="e">
        <f>SUM(#REF!)</f>
        <v>#REF!</v>
      </c>
      <c r="L8" s="429" t="e">
        <f>SUM(#REF!)</f>
        <v>#REF!</v>
      </c>
      <c r="M8" s="209" t="e">
        <f>SUM(#REF!)</f>
        <v>#REF!</v>
      </c>
      <c r="N8" s="202" t="e">
        <f>SUM(#REF!)</f>
        <v>#REF!</v>
      </c>
      <c r="O8" s="202" t="e">
        <f>SUM(#REF!)</f>
        <v>#REF!</v>
      </c>
      <c r="P8" s="202" t="e">
        <f>SUM(#REF!)</f>
        <v>#REF!</v>
      </c>
      <c r="Q8" s="202" t="e">
        <f>SUM(#REF!)</f>
        <v>#REF!</v>
      </c>
      <c r="R8" s="202" t="e">
        <f>SUM(#REF!)</f>
        <v>#REF!</v>
      </c>
      <c r="S8" s="429"/>
      <c r="T8" s="209" t="e">
        <f>SUM(#REF!)</f>
        <v>#REF!</v>
      </c>
      <c r="U8" s="202" t="e">
        <f>SUM(#REF!)</f>
        <v>#REF!</v>
      </c>
      <c r="V8" s="202" t="e">
        <f>SUM(#REF!)</f>
        <v>#REF!</v>
      </c>
      <c r="W8" s="202" t="e">
        <f>SUM(#REF!)</f>
        <v>#REF!</v>
      </c>
      <c r="X8" s="202" t="e">
        <f>SUM(#REF!)</f>
        <v>#REF!</v>
      </c>
      <c r="Y8" s="429" t="e">
        <f>SUM(#REF!)</f>
        <v>#REF!</v>
      </c>
      <c r="Z8" s="209" t="e">
        <f>SUM(#REF!)</f>
        <v>#REF!</v>
      </c>
      <c r="AA8" s="202" t="e">
        <f>SUM(#REF!)</f>
        <v>#REF!</v>
      </c>
      <c r="AB8" s="202" t="e">
        <f>SUM(#REF!)</f>
        <v>#REF!</v>
      </c>
      <c r="AC8" s="202" t="e">
        <f>SUM(#REF!)</f>
        <v>#REF!</v>
      </c>
      <c r="AD8" s="429"/>
      <c r="AE8" s="209" t="e">
        <f>SUM(#REF!)</f>
        <v>#REF!</v>
      </c>
      <c r="AF8" s="202" t="e">
        <f>SUM(#REF!)</f>
        <v>#REF!</v>
      </c>
      <c r="AG8" s="202" t="e">
        <f>SUM(#REF!)</f>
        <v>#REF!</v>
      </c>
      <c r="AH8" s="202" t="e">
        <f>SUM(#REF!)</f>
        <v>#REF!</v>
      </c>
      <c r="AI8" s="429" t="e">
        <f>SUM(#REF!)</f>
        <v>#REF!</v>
      </c>
      <c r="AJ8" s="209" t="e">
        <f>SUM(#REF!)</f>
        <v>#REF!</v>
      </c>
      <c r="AK8" s="429" t="e">
        <f>SUM(#REF!)</f>
        <v>#REF!</v>
      </c>
      <c r="AL8" s="443" t="e">
        <f>SUM(#REF!)</f>
        <v>#REF!</v>
      </c>
    </row>
    <row r="9" spans="1:38" ht="15.75" thickBot="1" x14ac:dyDescent="0.3">
      <c r="A9" s="26" t="s">
        <v>21</v>
      </c>
      <c r="B9" s="626"/>
      <c r="C9" s="209" t="e">
        <f>AVERAGE(#REF!)</f>
        <v>#REF!</v>
      </c>
      <c r="D9" s="202" t="e">
        <f>AVERAGE(#REF!)</f>
        <v>#REF!</v>
      </c>
      <c r="E9" s="202" t="e">
        <f>AVERAGE(#REF!)</f>
        <v>#REF!</v>
      </c>
      <c r="F9" s="202" t="e">
        <f>AVERAGE(#REF!)</f>
        <v>#REF!</v>
      </c>
      <c r="G9" s="202" t="e">
        <f>AVERAGE(#REF!)</f>
        <v>#REF!</v>
      </c>
      <c r="H9" s="202" t="e">
        <f>AVERAGE(#REF!)</f>
        <v>#REF!</v>
      </c>
      <c r="I9" s="429" t="e">
        <f>AVERAGE(#REF!)</f>
        <v>#REF!</v>
      </c>
      <c r="J9" s="209" t="e">
        <f>AVERAGE(#REF!)</f>
        <v>#REF!</v>
      </c>
      <c r="K9" s="202" t="e">
        <f>AVERAGE(#REF!)</f>
        <v>#REF!</v>
      </c>
      <c r="L9" s="429" t="e">
        <f>AVERAGE(#REF!)</f>
        <v>#REF!</v>
      </c>
      <c r="M9" s="209" t="e">
        <f>AVERAGE(#REF!)</f>
        <v>#REF!</v>
      </c>
      <c r="N9" s="202" t="e">
        <f>AVERAGE(#REF!)</f>
        <v>#REF!</v>
      </c>
      <c r="O9" s="202" t="e">
        <f>AVERAGE(#REF!)</f>
        <v>#REF!</v>
      </c>
      <c r="P9" s="202" t="e">
        <f>AVERAGE(#REF!)</f>
        <v>#REF!</v>
      </c>
      <c r="Q9" s="202" t="e">
        <f>AVERAGE(#REF!)</f>
        <v>#REF!</v>
      </c>
      <c r="R9" s="202" t="e">
        <f>AVERAGE(#REF!)</f>
        <v>#REF!</v>
      </c>
      <c r="S9" s="429"/>
      <c r="T9" s="209" t="e">
        <f>AVERAGE(#REF!)</f>
        <v>#REF!</v>
      </c>
      <c r="U9" s="202" t="e">
        <f>AVERAGE(#REF!)</f>
        <v>#REF!</v>
      </c>
      <c r="V9" s="202" t="e">
        <f>AVERAGE(#REF!)</f>
        <v>#REF!</v>
      </c>
      <c r="W9" s="202" t="e">
        <f>AVERAGE(#REF!)</f>
        <v>#REF!</v>
      </c>
      <c r="X9" s="202" t="e">
        <f>AVERAGE(#REF!)</f>
        <v>#REF!</v>
      </c>
      <c r="Y9" s="429" t="e">
        <f>AVERAGE(#REF!)</f>
        <v>#REF!</v>
      </c>
      <c r="Z9" s="209" t="e">
        <f>AVERAGE(#REF!)</f>
        <v>#REF!</v>
      </c>
      <c r="AA9" s="202" t="e">
        <f>AVERAGE(#REF!)</f>
        <v>#REF!</v>
      </c>
      <c r="AB9" s="202" t="e">
        <f>AVERAGE(#REF!)</f>
        <v>#REF!</v>
      </c>
      <c r="AC9" s="202" t="e">
        <f>AVERAGE(#REF!)</f>
        <v>#REF!</v>
      </c>
      <c r="AD9" s="429"/>
      <c r="AE9" s="209" t="e">
        <f>AVERAGE(#REF!)</f>
        <v>#REF!</v>
      </c>
      <c r="AF9" s="202" t="e">
        <f>AVERAGE(#REF!)</f>
        <v>#REF!</v>
      </c>
      <c r="AG9" s="202" t="e">
        <f>AVERAGE(#REF!)</f>
        <v>#REF!</v>
      </c>
      <c r="AH9" s="202" t="e">
        <f>AVERAGE(#REF!)</f>
        <v>#REF!</v>
      </c>
      <c r="AI9" s="429" t="e">
        <f>AVERAGE(#REF!)</f>
        <v>#REF!</v>
      </c>
      <c r="AJ9" s="209" t="e">
        <f>AVERAGE(#REF!)</f>
        <v>#REF!</v>
      </c>
      <c r="AK9" s="429" t="e">
        <f>AVERAGE(#REF!)</f>
        <v>#REF!</v>
      </c>
      <c r="AL9" s="443" t="e">
        <f>AVERAGE(#REF!)</f>
        <v>#REF!</v>
      </c>
    </row>
    <row r="10" spans="1:38" ht="15.75" customHeight="1" x14ac:dyDescent="0.25">
      <c r="A10" s="139" t="s">
        <v>3</v>
      </c>
      <c r="B10" s="358">
        <v>44011</v>
      </c>
      <c r="C10" s="207"/>
      <c r="D10" s="195"/>
      <c r="E10" s="195"/>
      <c r="F10" s="195"/>
      <c r="G10" s="195"/>
      <c r="H10" s="195"/>
      <c r="I10" s="203"/>
      <c r="J10" s="207"/>
      <c r="K10" s="195"/>
      <c r="L10" s="203"/>
      <c r="M10" s="207"/>
      <c r="N10" s="195"/>
      <c r="O10" s="195"/>
      <c r="P10" s="195"/>
      <c r="Q10" s="195"/>
      <c r="R10" s="195"/>
      <c r="S10" s="203"/>
      <c r="T10" s="207"/>
      <c r="U10" s="195"/>
      <c r="V10" s="195"/>
      <c r="W10" s="195"/>
      <c r="X10" s="503"/>
      <c r="Y10" s="203"/>
      <c r="Z10" s="207"/>
      <c r="AA10" s="498"/>
      <c r="AB10" s="195"/>
      <c r="AC10" s="195"/>
      <c r="AD10" s="203"/>
      <c r="AE10" s="207"/>
      <c r="AF10" s="498"/>
      <c r="AG10" s="195"/>
      <c r="AH10" s="195"/>
      <c r="AI10" s="203"/>
      <c r="AJ10" s="207"/>
      <c r="AK10" s="203"/>
      <c r="AL10" s="505">
        <f t="shared" ref="AL10:AL16" si="2">SUM(C10:AK10)</f>
        <v>0</v>
      </c>
    </row>
    <row r="11" spans="1:38" ht="17.25" customHeight="1" x14ac:dyDescent="0.25">
      <c r="A11" s="139" t="s">
        <v>4</v>
      </c>
      <c r="B11" s="359">
        <v>44012</v>
      </c>
      <c r="C11" s="243"/>
      <c r="D11" s="244"/>
      <c r="E11" s="244"/>
      <c r="F11" s="244"/>
      <c r="G11" s="244"/>
      <c r="H11" s="244"/>
      <c r="I11" s="500"/>
      <c r="J11" s="243"/>
      <c r="K11" s="244"/>
      <c r="L11" s="203"/>
      <c r="M11" s="207"/>
      <c r="N11" s="195"/>
      <c r="O11" s="195"/>
      <c r="P11" s="195"/>
      <c r="Q11" s="195"/>
      <c r="R11" s="195"/>
      <c r="S11" s="203"/>
      <c r="T11" s="207"/>
      <c r="U11" s="195"/>
      <c r="V11" s="195"/>
      <c r="W11" s="195"/>
      <c r="X11" s="195"/>
      <c r="Y11" s="203"/>
      <c r="Z11" s="207"/>
      <c r="AA11" s="244"/>
      <c r="AB11" s="195"/>
      <c r="AC11" s="195"/>
      <c r="AD11" s="203"/>
      <c r="AE11" s="207"/>
      <c r="AF11" s="361"/>
      <c r="AG11" s="195"/>
      <c r="AH11" s="195"/>
      <c r="AI11" s="203"/>
      <c r="AJ11" s="207"/>
      <c r="AK11" s="203"/>
      <c r="AL11" s="505">
        <f t="shared" si="2"/>
        <v>0</v>
      </c>
    </row>
    <row r="12" spans="1:38" ht="15.75" customHeight="1" x14ac:dyDescent="0.25">
      <c r="A12" s="139" t="s">
        <v>5</v>
      </c>
      <c r="B12" s="359">
        <v>44013</v>
      </c>
      <c r="C12" s="243">
        <v>344</v>
      </c>
      <c r="D12" s="244">
        <v>277</v>
      </c>
      <c r="E12" s="244">
        <v>205</v>
      </c>
      <c r="F12" s="244">
        <v>377</v>
      </c>
      <c r="G12" s="244">
        <v>262</v>
      </c>
      <c r="H12" s="244">
        <v>306</v>
      </c>
      <c r="I12" s="500">
        <v>709</v>
      </c>
      <c r="J12" s="243">
        <v>320</v>
      </c>
      <c r="K12" s="244">
        <v>118</v>
      </c>
      <c r="L12" s="203">
        <v>306</v>
      </c>
      <c r="M12" s="207">
        <v>178</v>
      </c>
      <c r="N12" s="195">
        <v>74</v>
      </c>
      <c r="O12" s="195">
        <v>95</v>
      </c>
      <c r="P12" s="195">
        <v>64</v>
      </c>
      <c r="Q12" s="195">
        <v>52</v>
      </c>
      <c r="R12" s="195">
        <v>132</v>
      </c>
      <c r="S12" s="203">
        <v>53</v>
      </c>
      <c r="T12" s="207">
        <v>252</v>
      </c>
      <c r="U12" s="195">
        <v>116</v>
      </c>
      <c r="V12" s="195">
        <v>528</v>
      </c>
      <c r="W12" s="195">
        <v>288</v>
      </c>
      <c r="X12" s="195">
        <v>164</v>
      </c>
      <c r="Y12" s="203">
        <v>345</v>
      </c>
      <c r="Z12" s="207">
        <v>300</v>
      </c>
      <c r="AA12" s="244">
        <v>247</v>
      </c>
      <c r="AB12" s="195">
        <v>316</v>
      </c>
      <c r="AC12" s="195">
        <v>354</v>
      </c>
      <c r="AD12" s="203">
        <v>76</v>
      </c>
      <c r="AE12" s="207"/>
      <c r="AF12" s="195"/>
      <c r="AG12" s="195"/>
      <c r="AH12" s="195"/>
      <c r="AI12" s="203"/>
      <c r="AJ12" s="207"/>
      <c r="AK12" s="203"/>
      <c r="AL12" s="505">
        <f t="shared" si="2"/>
        <v>6858</v>
      </c>
    </row>
    <row r="13" spans="1:38" ht="15.75" customHeight="1" x14ac:dyDescent="0.25">
      <c r="A13" s="139" t="s">
        <v>6</v>
      </c>
      <c r="B13" s="359">
        <v>44014</v>
      </c>
      <c r="C13" s="243">
        <v>659</v>
      </c>
      <c r="D13" s="244">
        <v>637</v>
      </c>
      <c r="E13" s="244">
        <v>281</v>
      </c>
      <c r="F13" s="244">
        <v>595</v>
      </c>
      <c r="G13" s="244">
        <v>321</v>
      </c>
      <c r="H13" s="244">
        <v>454</v>
      </c>
      <c r="I13" s="500">
        <v>1105</v>
      </c>
      <c r="J13" s="243">
        <v>1574</v>
      </c>
      <c r="K13" s="244">
        <v>349</v>
      </c>
      <c r="L13" s="203">
        <v>1643</v>
      </c>
      <c r="M13" s="207">
        <v>375</v>
      </c>
      <c r="N13" s="195">
        <v>196</v>
      </c>
      <c r="O13" s="195">
        <v>206</v>
      </c>
      <c r="P13" s="195">
        <v>126</v>
      </c>
      <c r="Q13" s="195">
        <v>99</v>
      </c>
      <c r="R13" s="195">
        <v>316</v>
      </c>
      <c r="S13" s="203">
        <v>137</v>
      </c>
      <c r="T13" s="207">
        <v>541</v>
      </c>
      <c r="U13" s="195">
        <v>143</v>
      </c>
      <c r="V13" s="195">
        <v>634</v>
      </c>
      <c r="W13" s="195">
        <v>609</v>
      </c>
      <c r="X13" s="195">
        <v>280</v>
      </c>
      <c r="Y13" s="203">
        <v>562</v>
      </c>
      <c r="Z13" s="207">
        <v>599</v>
      </c>
      <c r="AA13" s="244">
        <v>374</v>
      </c>
      <c r="AB13" s="195">
        <v>552</v>
      </c>
      <c r="AC13" s="195">
        <v>549</v>
      </c>
      <c r="AD13" s="203">
        <v>180</v>
      </c>
      <c r="AE13" s="207"/>
      <c r="AF13" s="195"/>
      <c r="AG13" s="195"/>
      <c r="AH13" s="195"/>
      <c r="AI13" s="203"/>
      <c r="AJ13" s="207"/>
      <c r="AK13" s="203"/>
      <c r="AL13" s="505">
        <f t="shared" si="2"/>
        <v>14096</v>
      </c>
    </row>
    <row r="14" spans="1:38" x14ac:dyDescent="0.25">
      <c r="A14" s="139" t="s">
        <v>0</v>
      </c>
      <c r="B14" s="359">
        <v>44015</v>
      </c>
      <c r="C14" s="243">
        <v>503</v>
      </c>
      <c r="D14" s="244">
        <v>650</v>
      </c>
      <c r="E14" s="244">
        <v>323</v>
      </c>
      <c r="F14" s="244">
        <v>512</v>
      </c>
      <c r="G14" s="244">
        <v>306</v>
      </c>
      <c r="H14" s="244">
        <v>378</v>
      </c>
      <c r="I14" s="500">
        <v>709</v>
      </c>
      <c r="J14" s="243">
        <v>1152</v>
      </c>
      <c r="K14" s="244">
        <v>238</v>
      </c>
      <c r="L14" s="203">
        <v>1200</v>
      </c>
      <c r="M14" s="207">
        <v>359</v>
      </c>
      <c r="N14" s="195">
        <v>183</v>
      </c>
      <c r="O14" s="195">
        <v>192</v>
      </c>
      <c r="P14" s="195">
        <v>148</v>
      </c>
      <c r="Q14" s="195">
        <v>153</v>
      </c>
      <c r="R14" s="195">
        <v>176</v>
      </c>
      <c r="S14" s="203">
        <v>80</v>
      </c>
      <c r="T14" s="207">
        <v>388</v>
      </c>
      <c r="U14" s="195">
        <v>111</v>
      </c>
      <c r="V14" s="195">
        <v>507</v>
      </c>
      <c r="W14" s="195">
        <v>432</v>
      </c>
      <c r="X14" s="195">
        <v>234</v>
      </c>
      <c r="Y14" s="203">
        <v>406</v>
      </c>
      <c r="Z14" s="207">
        <v>519</v>
      </c>
      <c r="AA14" s="244">
        <v>221</v>
      </c>
      <c r="AB14" s="195">
        <v>466</v>
      </c>
      <c r="AC14" s="195">
        <v>343</v>
      </c>
      <c r="AD14" s="203">
        <v>101</v>
      </c>
      <c r="AE14" s="207"/>
      <c r="AF14" s="195"/>
      <c r="AG14" s="195"/>
      <c r="AH14" s="195"/>
      <c r="AI14" s="203"/>
      <c r="AJ14" s="207"/>
      <c r="AK14" s="203"/>
      <c r="AL14" s="505">
        <f t="shared" si="2"/>
        <v>10990</v>
      </c>
    </row>
    <row r="15" spans="1:38" x14ac:dyDescent="0.25">
      <c r="A15" s="139" t="s">
        <v>1</v>
      </c>
      <c r="B15" s="359">
        <v>44016</v>
      </c>
      <c r="C15" s="243">
        <v>963</v>
      </c>
      <c r="D15" s="244">
        <v>1317</v>
      </c>
      <c r="E15" s="244">
        <v>308</v>
      </c>
      <c r="F15" s="244">
        <v>798</v>
      </c>
      <c r="G15" s="244">
        <v>349</v>
      </c>
      <c r="H15" s="244">
        <v>726</v>
      </c>
      <c r="I15" s="500">
        <v>1390</v>
      </c>
      <c r="J15" s="243">
        <v>2215</v>
      </c>
      <c r="K15" s="244">
        <v>377</v>
      </c>
      <c r="L15" s="203">
        <v>2406</v>
      </c>
      <c r="M15" s="207">
        <v>593</v>
      </c>
      <c r="N15" s="195">
        <v>374</v>
      </c>
      <c r="O15" s="195">
        <v>364</v>
      </c>
      <c r="P15" s="195">
        <v>283</v>
      </c>
      <c r="Q15" s="195">
        <v>126</v>
      </c>
      <c r="R15" s="195">
        <v>517</v>
      </c>
      <c r="S15" s="203">
        <v>220</v>
      </c>
      <c r="T15" s="207">
        <v>767</v>
      </c>
      <c r="U15" s="195">
        <v>157</v>
      </c>
      <c r="V15" s="195">
        <v>680</v>
      </c>
      <c r="W15" s="195">
        <v>757</v>
      </c>
      <c r="X15" s="195">
        <v>538</v>
      </c>
      <c r="Y15" s="203">
        <v>699</v>
      </c>
      <c r="Z15" s="207">
        <v>743</v>
      </c>
      <c r="AA15" s="244">
        <v>434</v>
      </c>
      <c r="AB15" s="195">
        <v>982</v>
      </c>
      <c r="AC15" s="195">
        <v>583</v>
      </c>
      <c r="AD15" s="203">
        <v>213</v>
      </c>
      <c r="AE15" s="207"/>
      <c r="AF15" s="195"/>
      <c r="AG15" s="195"/>
      <c r="AH15" s="195"/>
      <c r="AI15" s="203"/>
      <c r="AJ15" s="207"/>
      <c r="AK15" s="203"/>
      <c r="AL15" s="505">
        <f t="shared" si="2"/>
        <v>19879</v>
      </c>
    </row>
    <row r="16" spans="1:38" ht="15.75" thickBot="1" x14ac:dyDescent="0.3">
      <c r="A16" s="139" t="s">
        <v>2</v>
      </c>
      <c r="B16" s="359">
        <v>44017</v>
      </c>
      <c r="C16" s="243">
        <v>848</v>
      </c>
      <c r="D16" s="244">
        <v>1023</v>
      </c>
      <c r="E16" s="244">
        <v>406</v>
      </c>
      <c r="F16" s="244">
        <v>838</v>
      </c>
      <c r="G16" s="244">
        <v>324</v>
      </c>
      <c r="H16" s="244">
        <v>662</v>
      </c>
      <c r="I16" s="500">
        <v>1020</v>
      </c>
      <c r="J16" s="243">
        <v>2472</v>
      </c>
      <c r="K16" s="244">
        <v>485</v>
      </c>
      <c r="L16" s="203">
        <v>2636</v>
      </c>
      <c r="M16" s="207">
        <v>594</v>
      </c>
      <c r="N16" s="195">
        <v>423</v>
      </c>
      <c r="O16" s="195">
        <v>337</v>
      </c>
      <c r="P16" s="195">
        <v>195</v>
      </c>
      <c r="Q16" s="195">
        <v>212</v>
      </c>
      <c r="R16" s="195">
        <v>577</v>
      </c>
      <c r="S16" s="203">
        <v>263</v>
      </c>
      <c r="T16" s="207">
        <v>678</v>
      </c>
      <c r="U16" s="195">
        <v>94</v>
      </c>
      <c r="V16" s="195">
        <v>560</v>
      </c>
      <c r="W16" s="195">
        <v>624</v>
      </c>
      <c r="X16" s="195">
        <v>421</v>
      </c>
      <c r="Y16" s="203">
        <v>524</v>
      </c>
      <c r="Z16" s="207">
        <v>751</v>
      </c>
      <c r="AA16" s="244">
        <v>370</v>
      </c>
      <c r="AB16" s="195">
        <v>736</v>
      </c>
      <c r="AC16" s="195">
        <v>498</v>
      </c>
      <c r="AD16" s="203">
        <v>175</v>
      </c>
      <c r="AE16" s="207"/>
      <c r="AF16" s="195"/>
      <c r="AG16" s="195"/>
      <c r="AH16" s="195"/>
      <c r="AI16" s="203"/>
      <c r="AJ16" s="207"/>
      <c r="AK16" s="203"/>
      <c r="AL16" s="505">
        <f t="shared" si="2"/>
        <v>18746</v>
      </c>
    </row>
    <row r="17" spans="1:38" ht="15.75" thickBot="1" x14ac:dyDescent="0.3">
      <c r="A17" s="147" t="s">
        <v>20</v>
      </c>
      <c r="B17" s="626" t="s">
        <v>23</v>
      </c>
      <c r="C17" s="208">
        <f>SUM(C10:C16)</f>
        <v>3317</v>
      </c>
      <c r="D17" s="201">
        <f t="shared" ref="D17:AL17" si="3">SUM(D10:D16)</f>
        <v>3904</v>
      </c>
      <c r="E17" s="201">
        <f t="shared" si="3"/>
        <v>1523</v>
      </c>
      <c r="F17" s="201">
        <f t="shared" si="3"/>
        <v>3120</v>
      </c>
      <c r="G17" s="201">
        <f t="shared" si="3"/>
        <v>1562</v>
      </c>
      <c r="H17" s="201">
        <f t="shared" si="3"/>
        <v>2526</v>
      </c>
      <c r="I17" s="427">
        <f t="shared" si="3"/>
        <v>4933</v>
      </c>
      <c r="J17" s="208">
        <f t="shared" si="3"/>
        <v>7733</v>
      </c>
      <c r="K17" s="201">
        <f t="shared" si="3"/>
        <v>1567</v>
      </c>
      <c r="L17" s="427">
        <f t="shared" si="3"/>
        <v>8191</v>
      </c>
      <c r="M17" s="208">
        <f t="shared" si="3"/>
        <v>2099</v>
      </c>
      <c r="N17" s="201">
        <f t="shared" si="3"/>
        <v>1250</v>
      </c>
      <c r="O17" s="201">
        <f t="shared" si="3"/>
        <v>1194</v>
      </c>
      <c r="P17" s="201">
        <f t="shared" si="3"/>
        <v>816</v>
      </c>
      <c r="Q17" s="201">
        <f t="shared" si="3"/>
        <v>642</v>
      </c>
      <c r="R17" s="201">
        <f t="shared" si="3"/>
        <v>1718</v>
      </c>
      <c r="S17" s="427">
        <f t="shared" si="3"/>
        <v>753</v>
      </c>
      <c r="T17" s="208">
        <f t="shared" si="3"/>
        <v>2626</v>
      </c>
      <c r="U17" s="201">
        <f t="shared" si="3"/>
        <v>621</v>
      </c>
      <c r="V17" s="201">
        <f t="shared" si="3"/>
        <v>2909</v>
      </c>
      <c r="W17" s="201">
        <f t="shared" si="3"/>
        <v>2710</v>
      </c>
      <c r="X17" s="201">
        <f t="shared" si="3"/>
        <v>1637</v>
      </c>
      <c r="Y17" s="427">
        <f t="shared" si="3"/>
        <v>2536</v>
      </c>
      <c r="Z17" s="208">
        <f t="shared" si="3"/>
        <v>2912</v>
      </c>
      <c r="AA17" s="201">
        <f t="shared" si="3"/>
        <v>1646</v>
      </c>
      <c r="AB17" s="201">
        <f t="shared" si="3"/>
        <v>3052</v>
      </c>
      <c r="AC17" s="201">
        <f t="shared" si="3"/>
        <v>2327</v>
      </c>
      <c r="AD17" s="427">
        <f t="shared" si="3"/>
        <v>745</v>
      </c>
      <c r="AE17" s="208">
        <f t="shared" si="3"/>
        <v>0</v>
      </c>
      <c r="AF17" s="201">
        <f t="shared" si="3"/>
        <v>0</v>
      </c>
      <c r="AG17" s="201">
        <f t="shared" si="3"/>
        <v>0</v>
      </c>
      <c r="AH17" s="201">
        <f t="shared" si="3"/>
        <v>0</v>
      </c>
      <c r="AI17" s="427">
        <f t="shared" si="3"/>
        <v>0</v>
      </c>
      <c r="AJ17" s="208">
        <f t="shared" si="3"/>
        <v>0</v>
      </c>
      <c r="AK17" s="427">
        <f t="shared" si="3"/>
        <v>0</v>
      </c>
      <c r="AL17" s="436">
        <f t="shared" si="3"/>
        <v>70569</v>
      </c>
    </row>
    <row r="18" spans="1:38" ht="15.75" thickBot="1" x14ac:dyDescent="0.3">
      <c r="A18" s="102" t="s">
        <v>22</v>
      </c>
      <c r="B18" s="626"/>
      <c r="C18" s="208">
        <f t="shared" ref="C18" si="4">AVERAGE(C10:C16)</f>
        <v>663.4</v>
      </c>
      <c r="D18" s="201">
        <f t="shared" ref="D18:AL18" si="5">AVERAGE(D10:D16)</f>
        <v>780.8</v>
      </c>
      <c r="E18" s="201">
        <f t="shared" si="5"/>
        <v>304.60000000000002</v>
      </c>
      <c r="F18" s="201">
        <f t="shared" si="5"/>
        <v>624</v>
      </c>
      <c r="G18" s="201">
        <f t="shared" si="5"/>
        <v>312.39999999999998</v>
      </c>
      <c r="H18" s="201">
        <f t="shared" si="5"/>
        <v>505.2</v>
      </c>
      <c r="I18" s="427">
        <f t="shared" si="5"/>
        <v>986.6</v>
      </c>
      <c r="J18" s="208">
        <f t="shared" si="5"/>
        <v>1546.6</v>
      </c>
      <c r="K18" s="201">
        <f t="shared" si="5"/>
        <v>313.39999999999998</v>
      </c>
      <c r="L18" s="427">
        <f t="shared" si="5"/>
        <v>1638.2</v>
      </c>
      <c r="M18" s="208">
        <f t="shared" si="5"/>
        <v>419.8</v>
      </c>
      <c r="N18" s="201">
        <f t="shared" si="5"/>
        <v>250</v>
      </c>
      <c r="O18" s="201">
        <f t="shared" si="5"/>
        <v>238.8</v>
      </c>
      <c r="P18" s="201">
        <f t="shared" si="5"/>
        <v>163.19999999999999</v>
      </c>
      <c r="Q18" s="201">
        <f t="shared" si="5"/>
        <v>128.4</v>
      </c>
      <c r="R18" s="201">
        <f t="shared" si="5"/>
        <v>343.6</v>
      </c>
      <c r="S18" s="427">
        <f t="shared" si="5"/>
        <v>150.6</v>
      </c>
      <c r="T18" s="208">
        <f t="shared" si="5"/>
        <v>525.20000000000005</v>
      </c>
      <c r="U18" s="201">
        <f t="shared" si="5"/>
        <v>124.2</v>
      </c>
      <c r="V18" s="201">
        <f t="shared" si="5"/>
        <v>581.79999999999995</v>
      </c>
      <c r="W18" s="201">
        <f t="shared" si="5"/>
        <v>542</v>
      </c>
      <c r="X18" s="201">
        <f t="shared" si="5"/>
        <v>327.39999999999998</v>
      </c>
      <c r="Y18" s="427">
        <f t="shared" si="5"/>
        <v>507.2</v>
      </c>
      <c r="Z18" s="208">
        <f t="shared" si="5"/>
        <v>582.4</v>
      </c>
      <c r="AA18" s="201">
        <f t="shared" si="5"/>
        <v>329.2</v>
      </c>
      <c r="AB18" s="201">
        <f t="shared" si="5"/>
        <v>610.4</v>
      </c>
      <c r="AC18" s="201">
        <f t="shared" si="5"/>
        <v>465.4</v>
      </c>
      <c r="AD18" s="427">
        <f t="shared" si="5"/>
        <v>149</v>
      </c>
      <c r="AE18" s="208" t="e">
        <f t="shared" si="5"/>
        <v>#DIV/0!</v>
      </c>
      <c r="AF18" s="201" t="e">
        <f t="shared" si="5"/>
        <v>#DIV/0!</v>
      </c>
      <c r="AG18" s="201" t="e">
        <f t="shared" si="5"/>
        <v>#DIV/0!</v>
      </c>
      <c r="AH18" s="201" t="e">
        <f t="shared" si="5"/>
        <v>#DIV/0!</v>
      </c>
      <c r="AI18" s="427" t="e">
        <f t="shared" si="5"/>
        <v>#DIV/0!</v>
      </c>
      <c r="AJ18" s="208" t="e">
        <f t="shared" si="5"/>
        <v>#DIV/0!</v>
      </c>
      <c r="AK18" s="427" t="e">
        <f t="shared" si="5"/>
        <v>#DIV/0!</v>
      </c>
      <c r="AL18" s="436">
        <f t="shared" si="5"/>
        <v>10081.285714285714</v>
      </c>
    </row>
    <row r="19" spans="1:38" ht="15.75" thickBot="1" x14ac:dyDescent="0.3">
      <c r="A19" s="26" t="s">
        <v>19</v>
      </c>
      <c r="B19" s="626"/>
      <c r="C19" s="209">
        <f>SUM(C10:C14)</f>
        <v>1506</v>
      </c>
      <c r="D19" s="202">
        <f t="shared" ref="D19:AL19" si="6">SUM(D10:D14)</f>
        <v>1564</v>
      </c>
      <c r="E19" s="202">
        <f t="shared" si="6"/>
        <v>809</v>
      </c>
      <c r="F19" s="202">
        <f t="shared" si="6"/>
        <v>1484</v>
      </c>
      <c r="G19" s="202">
        <f t="shared" si="6"/>
        <v>889</v>
      </c>
      <c r="H19" s="202">
        <f t="shared" si="6"/>
        <v>1138</v>
      </c>
      <c r="I19" s="429">
        <f t="shared" si="6"/>
        <v>2523</v>
      </c>
      <c r="J19" s="209">
        <f t="shared" si="6"/>
        <v>3046</v>
      </c>
      <c r="K19" s="202">
        <f t="shared" si="6"/>
        <v>705</v>
      </c>
      <c r="L19" s="429">
        <f t="shared" si="6"/>
        <v>3149</v>
      </c>
      <c r="M19" s="209">
        <f t="shared" si="6"/>
        <v>912</v>
      </c>
      <c r="N19" s="202">
        <f t="shared" si="6"/>
        <v>453</v>
      </c>
      <c r="O19" s="202">
        <f t="shared" si="6"/>
        <v>493</v>
      </c>
      <c r="P19" s="202">
        <f t="shared" si="6"/>
        <v>338</v>
      </c>
      <c r="Q19" s="202">
        <f t="shared" si="6"/>
        <v>304</v>
      </c>
      <c r="R19" s="202">
        <f t="shared" si="6"/>
        <v>624</v>
      </c>
      <c r="S19" s="429">
        <f t="shared" si="6"/>
        <v>270</v>
      </c>
      <c r="T19" s="209">
        <f t="shared" si="6"/>
        <v>1181</v>
      </c>
      <c r="U19" s="202">
        <f t="shared" si="6"/>
        <v>370</v>
      </c>
      <c r="V19" s="202">
        <f t="shared" si="6"/>
        <v>1669</v>
      </c>
      <c r="W19" s="202">
        <f t="shared" si="6"/>
        <v>1329</v>
      </c>
      <c r="X19" s="202">
        <f t="shared" si="6"/>
        <v>678</v>
      </c>
      <c r="Y19" s="429">
        <f t="shared" si="6"/>
        <v>1313</v>
      </c>
      <c r="Z19" s="209">
        <f t="shared" si="6"/>
        <v>1418</v>
      </c>
      <c r="AA19" s="202">
        <f t="shared" si="6"/>
        <v>842</v>
      </c>
      <c r="AB19" s="202">
        <f t="shared" si="6"/>
        <v>1334</v>
      </c>
      <c r="AC19" s="202">
        <f t="shared" si="6"/>
        <v>1246</v>
      </c>
      <c r="AD19" s="429">
        <f t="shared" si="6"/>
        <v>357</v>
      </c>
      <c r="AE19" s="209">
        <f t="shared" si="6"/>
        <v>0</v>
      </c>
      <c r="AF19" s="202">
        <f t="shared" si="6"/>
        <v>0</v>
      </c>
      <c r="AG19" s="202">
        <f t="shared" si="6"/>
        <v>0</v>
      </c>
      <c r="AH19" s="202">
        <f t="shared" si="6"/>
        <v>0</v>
      </c>
      <c r="AI19" s="429">
        <f t="shared" si="6"/>
        <v>0</v>
      </c>
      <c r="AJ19" s="209">
        <f t="shared" si="6"/>
        <v>0</v>
      </c>
      <c r="AK19" s="429">
        <f t="shared" si="6"/>
        <v>0</v>
      </c>
      <c r="AL19" s="443">
        <f t="shared" si="6"/>
        <v>31944</v>
      </c>
    </row>
    <row r="20" spans="1:38" ht="15.75" thickBot="1" x14ac:dyDescent="0.3">
      <c r="A20" s="26" t="s">
        <v>21</v>
      </c>
      <c r="B20" s="626"/>
      <c r="C20" s="209">
        <f t="shared" ref="C20" si="7">AVERAGE(C10:C14)</f>
        <v>502</v>
      </c>
      <c r="D20" s="202">
        <f t="shared" ref="D20:AL20" si="8">AVERAGE(D10:D14)</f>
        <v>521.33333333333337</v>
      </c>
      <c r="E20" s="202">
        <f t="shared" si="8"/>
        <v>269.66666666666669</v>
      </c>
      <c r="F20" s="202">
        <f t="shared" si="8"/>
        <v>494.66666666666669</v>
      </c>
      <c r="G20" s="202">
        <f t="shared" si="8"/>
        <v>296.33333333333331</v>
      </c>
      <c r="H20" s="202">
        <f t="shared" si="8"/>
        <v>379.33333333333331</v>
      </c>
      <c r="I20" s="429">
        <f t="shared" si="8"/>
        <v>841</v>
      </c>
      <c r="J20" s="209">
        <f t="shared" si="8"/>
        <v>1015.3333333333334</v>
      </c>
      <c r="K20" s="202">
        <f t="shared" si="8"/>
        <v>235</v>
      </c>
      <c r="L20" s="429">
        <f t="shared" si="8"/>
        <v>1049.6666666666667</v>
      </c>
      <c r="M20" s="209">
        <f t="shared" si="8"/>
        <v>304</v>
      </c>
      <c r="N20" s="202">
        <f t="shared" si="8"/>
        <v>151</v>
      </c>
      <c r="O20" s="202">
        <f t="shared" si="8"/>
        <v>164.33333333333334</v>
      </c>
      <c r="P20" s="202">
        <f t="shared" si="8"/>
        <v>112.66666666666667</v>
      </c>
      <c r="Q20" s="202">
        <f t="shared" si="8"/>
        <v>101.33333333333333</v>
      </c>
      <c r="R20" s="202">
        <f t="shared" si="8"/>
        <v>208</v>
      </c>
      <c r="S20" s="429">
        <f t="shared" si="8"/>
        <v>90</v>
      </c>
      <c r="T20" s="209">
        <f t="shared" si="8"/>
        <v>393.66666666666669</v>
      </c>
      <c r="U20" s="202">
        <f t="shared" si="8"/>
        <v>123.33333333333333</v>
      </c>
      <c r="V20" s="202">
        <f t="shared" si="8"/>
        <v>556.33333333333337</v>
      </c>
      <c r="W20" s="202">
        <f t="shared" si="8"/>
        <v>443</v>
      </c>
      <c r="X20" s="202">
        <f t="shared" si="8"/>
        <v>226</v>
      </c>
      <c r="Y20" s="429">
        <f t="shared" si="8"/>
        <v>437.66666666666669</v>
      </c>
      <c r="Z20" s="209">
        <f t="shared" si="8"/>
        <v>472.66666666666669</v>
      </c>
      <c r="AA20" s="202">
        <f t="shared" si="8"/>
        <v>280.66666666666669</v>
      </c>
      <c r="AB20" s="202">
        <f t="shared" si="8"/>
        <v>444.66666666666669</v>
      </c>
      <c r="AC20" s="202">
        <f t="shared" si="8"/>
        <v>415.33333333333331</v>
      </c>
      <c r="AD20" s="429">
        <f t="shared" si="8"/>
        <v>119</v>
      </c>
      <c r="AE20" s="209" t="e">
        <f t="shared" si="8"/>
        <v>#DIV/0!</v>
      </c>
      <c r="AF20" s="202" t="e">
        <f t="shared" si="8"/>
        <v>#DIV/0!</v>
      </c>
      <c r="AG20" s="202" t="e">
        <f t="shared" si="8"/>
        <v>#DIV/0!</v>
      </c>
      <c r="AH20" s="202" t="e">
        <f t="shared" si="8"/>
        <v>#DIV/0!</v>
      </c>
      <c r="AI20" s="429" t="e">
        <f t="shared" si="8"/>
        <v>#DIV/0!</v>
      </c>
      <c r="AJ20" s="209" t="e">
        <f t="shared" si="8"/>
        <v>#DIV/0!</v>
      </c>
      <c r="AK20" s="429" t="e">
        <f t="shared" si="8"/>
        <v>#DIV/0!</v>
      </c>
      <c r="AL20" s="443">
        <f t="shared" si="8"/>
        <v>6388.8</v>
      </c>
    </row>
    <row r="21" spans="1:38" x14ac:dyDescent="0.25">
      <c r="A21" s="139" t="s">
        <v>3</v>
      </c>
      <c r="B21" s="359">
        <f>B16+1</f>
        <v>44018</v>
      </c>
      <c r="C21" s="243">
        <v>322</v>
      </c>
      <c r="D21" s="195">
        <v>336</v>
      </c>
      <c r="E21" s="195">
        <v>175</v>
      </c>
      <c r="F21" s="195">
        <v>318</v>
      </c>
      <c r="G21" s="195">
        <v>226</v>
      </c>
      <c r="H21" s="195">
        <v>261</v>
      </c>
      <c r="I21" s="203">
        <v>638</v>
      </c>
      <c r="J21" s="207">
        <v>760</v>
      </c>
      <c r="K21" s="195">
        <v>261</v>
      </c>
      <c r="L21" s="203">
        <v>827</v>
      </c>
      <c r="M21" s="207">
        <v>216</v>
      </c>
      <c r="N21" s="195">
        <v>43</v>
      </c>
      <c r="O21" s="195">
        <v>133</v>
      </c>
      <c r="P21" s="195">
        <v>71</v>
      </c>
      <c r="Q21" s="195">
        <v>46</v>
      </c>
      <c r="R21" s="195">
        <v>136</v>
      </c>
      <c r="S21" s="203">
        <v>47</v>
      </c>
      <c r="T21" s="207">
        <v>253</v>
      </c>
      <c r="U21" s="195">
        <v>140</v>
      </c>
      <c r="V21" s="195">
        <v>399</v>
      </c>
      <c r="W21" s="195">
        <v>285</v>
      </c>
      <c r="X21" s="195">
        <v>148</v>
      </c>
      <c r="Y21" s="203">
        <v>324</v>
      </c>
      <c r="Z21" s="207">
        <v>320</v>
      </c>
      <c r="AA21" s="172">
        <v>244</v>
      </c>
      <c r="AB21" s="195">
        <v>302</v>
      </c>
      <c r="AC21" s="195">
        <v>344</v>
      </c>
      <c r="AD21" s="203">
        <v>90</v>
      </c>
      <c r="AE21" s="207"/>
      <c r="AF21" s="195"/>
      <c r="AG21" s="195"/>
      <c r="AH21" s="195"/>
      <c r="AI21" s="203"/>
      <c r="AJ21" s="207"/>
      <c r="AK21" s="203"/>
      <c r="AL21" s="505">
        <f t="shared" ref="AL21:AL27" si="9">SUM(C21:AK21)</f>
        <v>7665</v>
      </c>
    </row>
    <row r="22" spans="1:38" x14ac:dyDescent="0.25">
      <c r="A22" s="139" t="s">
        <v>4</v>
      </c>
      <c r="B22" s="359">
        <f t="shared" ref="B22:B27" si="10">B21+1</f>
        <v>44019</v>
      </c>
      <c r="C22" s="243">
        <v>421</v>
      </c>
      <c r="D22" s="195">
        <v>434</v>
      </c>
      <c r="E22" s="195">
        <v>251</v>
      </c>
      <c r="F22" s="195">
        <v>465</v>
      </c>
      <c r="G22" s="195">
        <v>281</v>
      </c>
      <c r="H22" s="195">
        <v>335</v>
      </c>
      <c r="I22" s="203">
        <v>930</v>
      </c>
      <c r="J22" s="207">
        <v>493</v>
      </c>
      <c r="K22" s="195">
        <v>230</v>
      </c>
      <c r="L22" s="203">
        <v>510</v>
      </c>
      <c r="M22" s="207">
        <v>294</v>
      </c>
      <c r="N22" s="195">
        <v>135</v>
      </c>
      <c r="O22" s="195">
        <v>191</v>
      </c>
      <c r="P22" s="195">
        <v>88</v>
      </c>
      <c r="Q22" s="195">
        <v>76</v>
      </c>
      <c r="R22" s="195">
        <v>222</v>
      </c>
      <c r="S22" s="203">
        <v>72</v>
      </c>
      <c r="T22" s="207">
        <v>273</v>
      </c>
      <c r="U22" s="172">
        <v>147</v>
      </c>
      <c r="V22" s="195">
        <v>518</v>
      </c>
      <c r="W22" s="195">
        <v>322</v>
      </c>
      <c r="X22" s="195">
        <v>177</v>
      </c>
      <c r="Y22" s="203">
        <v>354</v>
      </c>
      <c r="Z22" s="207">
        <v>392</v>
      </c>
      <c r="AA22" s="172">
        <v>269</v>
      </c>
      <c r="AB22" s="195">
        <v>306</v>
      </c>
      <c r="AC22" s="195">
        <v>406</v>
      </c>
      <c r="AD22" s="203">
        <v>106</v>
      </c>
      <c r="AE22" s="207"/>
      <c r="AF22" s="172"/>
      <c r="AG22" s="195"/>
      <c r="AH22" s="195"/>
      <c r="AI22" s="203"/>
      <c r="AJ22" s="207"/>
      <c r="AK22" s="203"/>
      <c r="AL22" s="505">
        <f t="shared" si="9"/>
        <v>8698</v>
      </c>
    </row>
    <row r="23" spans="1:38" x14ac:dyDescent="0.25">
      <c r="A23" s="139" t="s">
        <v>5</v>
      </c>
      <c r="B23" s="359">
        <f t="shared" si="10"/>
        <v>44020</v>
      </c>
      <c r="C23" s="243">
        <v>377</v>
      </c>
      <c r="D23" s="195">
        <v>391</v>
      </c>
      <c r="E23" s="195">
        <v>200</v>
      </c>
      <c r="F23" s="195">
        <v>393</v>
      </c>
      <c r="G23" s="195">
        <v>283</v>
      </c>
      <c r="H23" s="195">
        <v>363</v>
      </c>
      <c r="I23" s="203">
        <v>826</v>
      </c>
      <c r="J23" s="207">
        <v>475</v>
      </c>
      <c r="K23" s="195">
        <v>264</v>
      </c>
      <c r="L23" s="203">
        <v>485</v>
      </c>
      <c r="M23" s="207">
        <v>242</v>
      </c>
      <c r="N23" s="195">
        <v>145</v>
      </c>
      <c r="O23" s="195">
        <v>127</v>
      </c>
      <c r="P23" s="195">
        <v>57</v>
      </c>
      <c r="Q23" s="195">
        <v>48</v>
      </c>
      <c r="R23" s="195">
        <v>214</v>
      </c>
      <c r="S23" s="203">
        <v>77</v>
      </c>
      <c r="T23" s="207">
        <v>305</v>
      </c>
      <c r="U23" s="195">
        <v>142</v>
      </c>
      <c r="V23" s="195">
        <v>508</v>
      </c>
      <c r="W23" s="195">
        <v>352</v>
      </c>
      <c r="X23" s="195">
        <v>209</v>
      </c>
      <c r="Y23" s="203">
        <v>333</v>
      </c>
      <c r="Z23" s="207">
        <v>412</v>
      </c>
      <c r="AA23" s="172">
        <v>232</v>
      </c>
      <c r="AB23" s="195">
        <v>312</v>
      </c>
      <c r="AC23" s="195">
        <v>411</v>
      </c>
      <c r="AD23" s="203">
        <v>91</v>
      </c>
      <c r="AE23" s="207"/>
      <c r="AF23" s="195"/>
      <c r="AG23" s="195"/>
      <c r="AH23" s="195"/>
      <c r="AI23" s="203"/>
      <c r="AJ23" s="207"/>
      <c r="AK23" s="203"/>
      <c r="AL23" s="505">
        <f t="shared" si="9"/>
        <v>8274</v>
      </c>
    </row>
    <row r="24" spans="1:38" x14ac:dyDescent="0.25">
      <c r="A24" s="139" t="s">
        <v>6</v>
      </c>
      <c r="B24" s="359">
        <f t="shared" si="10"/>
        <v>44021</v>
      </c>
      <c r="C24" s="243">
        <v>698</v>
      </c>
      <c r="D24" s="195">
        <v>642</v>
      </c>
      <c r="E24" s="195">
        <v>240</v>
      </c>
      <c r="F24" s="195">
        <v>635</v>
      </c>
      <c r="G24" s="195">
        <v>409</v>
      </c>
      <c r="H24" s="195">
        <v>468</v>
      </c>
      <c r="I24" s="203">
        <v>1085</v>
      </c>
      <c r="J24" s="207">
        <v>1414</v>
      </c>
      <c r="K24" s="195">
        <v>260</v>
      </c>
      <c r="L24" s="203">
        <v>1315</v>
      </c>
      <c r="M24" s="207">
        <v>403</v>
      </c>
      <c r="N24" s="195">
        <v>175</v>
      </c>
      <c r="O24" s="195">
        <v>264</v>
      </c>
      <c r="P24" s="195">
        <v>108</v>
      </c>
      <c r="Q24" s="195">
        <v>141</v>
      </c>
      <c r="R24" s="195">
        <v>309</v>
      </c>
      <c r="S24" s="203">
        <v>93</v>
      </c>
      <c r="T24" s="207">
        <v>453</v>
      </c>
      <c r="U24" s="195">
        <v>173</v>
      </c>
      <c r="V24" s="195">
        <v>642</v>
      </c>
      <c r="W24" s="195">
        <v>448</v>
      </c>
      <c r="X24" s="195">
        <v>295</v>
      </c>
      <c r="Y24" s="203">
        <v>525</v>
      </c>
      <c r="Z24" s="207">
        <v>645</v>
      </c>
      <c r="AA24" s="172">
        <v>311</v>
      </c>
      <c r="AB24" s="195">
        <v>537</v>
      </c>
      <c r="AC24" s="195">
        <v>628</v>
      </c>
      <c r="AD24" s="203">
        <v>184</v>
      </c>
      <c r="AE24" s="207"/>
      <c r="AF24" s="195"/>
      <c r="AG24" s="195"/>
      <c r="AH24" s="195"/>
      <c r="AI24" s="203"/>
      <c r="AJ24" s="207"/>
      <c r="AK24" s="203"/>
      <c r="AL24" s="505">
        <f t="shared" si="9"/>
        <v>13500</v>
      </c>
    </row>
    <row r="25" spans="1:38" x14ac:dyDescent="0.25">
      <c r="A25" s="139" t="s">
        <v>0</v>
      </c>
      <c r="B25" s="359">
        <f t="shared" si="10"/>
        <v>44022</v>
      </c>
      <c r="C25" s="243">
        <v>82</v>
      </c>
      <c r="D25" s="195">
        <v>62</v>
      </c>
      <c r="E25" s="195">
        <v>65</v>
      </c>
      <c r="F25" s="195">
        <v>141</v>
      </c>
      <c r="G25" s="195">
        <v>130</v>
      </c>
      <c r="H25" s="195">
        <v>90</v>
      </c>
      <c r="I25" s="203">
        <v>338</v>
      </c>
      <c r="J25" s="207">
        <v>139</v>
      </c>
      <c r="K25" s="195">
        <v>54</v>
      </c>
      <c r="L25" s="203">
        <v>150</v>
      </c>
      <c r="M25" s="207">
        <v>73</v>
      </c>
      <c r="N25" s="195">
        <v>27</v>
      </c>
      <c r="O25" s="195">
        <v>44</v>
      </c>
      <c r="P25" s="195">
        <v>20</v>
      </c>
      <c r="Q25" s="195">
        <v>11</v>
      </c>
      <c r="R25" s="195">
        <v>29</v>
      </c>
      <c r="S25" s="203">
        <v>16</v>
      </c>
      <c r="T25" s="207">
        <v>76</v>
      </c>
      <c r="U25" s="195">
        <v>72</v>
      </c>
      <c r="V25" s="195">
        <v>263</v>
      </c>
      <c r="W25" s="195">
        <v>164</v>
      </c>
      <c r="X25" s="195">
        <v>57</v>
      </c>
      <c r="Y25" s="203">
        <v>142</v>
      </c>
      <c r="Z25" s="207">
        <v>135</v>
      </c>
      <c r="AA25" s="172">
        <v>147</v>
      </c>
      <c r="AB25" s="195">
        <v>137</v>
      </c>
      <c r="AC25" s="195">
        <v>201</v>
      </c>
      <c r="AD25" s="203">
        <v>37</v>
      </c>
      <c r="AE25" s="207"/>
      <c r="AF25" s="195"/>
      <c r="AG25" s="195"/>
      <c r="AH25" s="195"/>
      <c r="AI25" s="203"/>
      <c r="AJ25" s="207"/>
      <c r="AK25" s="203"/>
      <c r="AL25" s="505">
        <f t="shared" si="9"/>
        <v>2902</v>
      </c>
    </row>
    <row r="26" spans="1:38" x14ac:dyDescent="0.25">
      <c r="A26" s="139" t="s">
        <v>1</v>
      </c>
      <c r="B26" s="359">
        <f t="shared" si="10"/>
        <v>44023</v>
      </c>
      <c r="C26" s="243">
        <v>502</v>
      </c>
      <c r="D26" s="195">
        <v>606</v>
      </c>
      <c r="E26" s="195">
        <v>199</v>
      </c>
      <c r="F26" s="195">
        <v>505</v>
      </c>
      <c r="G26" s="195">
        <v>246</v>
      </c>
      <c r="H26" s="195">
        <v>396</v>
      </c>
      <c r="I26" s="203">
        <v>776</v>
      </c>
      <c r="J26" s="207">
        <v>377</v>
      </c>
      <c r="K26" s="195">
        <v>177</v>
      </c>
      <c r="L26" s="203">
        <v>388</v>
      </c>
      <c r="M26" s="207">
        <v>261</v>
      </c>
      <c r="N26" s="195">
        <v>213</v>
      </c>
      <c r="O26" s="195">
        <v>123</v>
      </c>
      <c r="P26" s="195">
        <v>133</v>
      </c>
      <c r="Q26" s="195">
        <v>54</v>
      </c>
      <c r="R26" s="195">
        <v>264</v>
      </c>
      <c r="S26" s="203">
        <v>107</v>
      </c>
      <c r="T26" s="207">
        <v>356</v>
      </c>
      <c r="U26" s="195">
        <v>76</v>
      </c>
      <c r="V26" s="195">
        <v>376</v>
      </c>
      <c r="W26" s="195">
        <v>469</v>
      </c>
      <c r="X26" s="195">
        <v>252</v>
      </c>
      <c r="Y26" s="203">
        <v>392</v>
      </c>
      <c r="Z26" s="207">
        <v>283</v>
      </c>
      <c r="AA26" s="172">
        <v>227</v>
      </c>
      <c r="AB26" s="195">
        <v>394</v>
      </c>
      <c r="AC26" s="195">
        <v>303</v>
      </c>
      <c r="AD26" s="203">
        <v>123</v>
      </c>
      <c r="AE26" s="207"/>
      <c r="AF26" s="195"/>
      <c r="AG26" s="195"/>
      <c r="AH26" s="195"/>
      <c r="AI26" s="203"/>
      <c r="AJ26" s="207"/>
      <c r="AK26" s="203"/>
      <c r="AL26" s="505">
        <f t="shared" si="9"/>
        <v>8578</v>
      </c>
    </row>
    <row r="27" spans="1:38" ht="15.75" thickBot="1" x14ac:dyDescent="0.3">
      <c r="A27" s="139" t="s">
        <v>2</v>
      </c>
      <c r="B27" s="359">
        <f t="shared" si="10"/>
        <v>44024</v>
      </c>
      <c r="C27" s="243">
        <v>1071</v>
      </c>
      <c r="D27" s="195">
        <v>1367</v>
      </c>
      <c r="E27" s="195">
        <v>726</v>
      </c>
      <c r="F27" s="195">
        <v>1201</v>
      </c>
      <c r="G27" s="195">
        <v>488</v>
      </c>
      <c r="H27" s="195">
        <v>918</v>
      </c>
      <c r="I27" s="203">
        <v>1479</v>
      </c>
      <c r="J27" s="207">
        <v>2877</v>
      </c>
      <c r="K27" s="195">
        <v>811</v>
      </c>
      <c r="L27" s="203">
        <v>2754</v>
      </c>
      <c r="M27" s="207">
        <v>771</v>
      </c>
      <c r="N27" s="195">
        <v>472</v>
      </c>
      <c r="O27" s="195">
        <v>462</v>
      </c>
      <c r="P27" s="195">
        <v>207</v>
      </c>
      <c r="Q27" s="195">
        <v>323</v>
      </c>
      <c r="R27" s="195">
        <v>603</v>
      </c>
      <c r="S27" s="203">
        <v>267</v>
      </c>
      <c r="T27" s="207">
        <v>930</v>
      </c>
      <c r="U27" s="195">
        <v>201</v>
      </c>
      <c r="V27" s="195">
        <v>764</v>
      </c>
      <c r="W27" s="195">
        <v>860</v>
      </c>
      <c r="X27" s="195">
        <v>587</v>
      </c>
      <c r="Y27" s="203">
        <v>936</v>
      </c>
      <c r="Z27" s="207">
        <v>994</v>
      </c>
      <c r="AA27" s="172">
        <v>505</v>
      </c>
      <c r="AB27" s="195">
        <v>1021</v>
      </c>
      <c r="AC27" s="195">
        <v>642</v>
      </c>
      <c r="AD27" s="203">
        <v>246</v>
      </c>
      <c r="AE27" s="207"/>
      <c r="AF27" s="195"/>
      <c r="AG27" s="195"/>
      <c r="AH27" s="195"/>
      <c r="AI27" s="203"/>
      <c r="AJ27" s="207"/>
      <c r="AK27" s="203"/>
      <c r="AL27" s="505">
        <f t="shared" si="9"/>
        <v>24483</v>
      </c>
    </row>
    <row r="28" spans="1:38" ht="15.75" thickBot="1" x14ac:dyDescent="0.3">
      <c r="A28" s="147" t="s">
        <v>20</v>
      </c>
      <c r="B28" s="626" t="s">
        <v>24</v>
      </c>
      <c r="C28" s="208">
        <f>SUM(C21:C27)</f>
        <v>3473</v>
      </c>
      <c r="D28" s="201">
        <f t="shared" ref="D28:AL28" si="11">SUM(D21:D27)</f>
        <v>3838</v>
      </c>
      <c r="E28" s="201">
        <f t="shared" si="11"/>
        <v>1856</v>
      </c>
      <c r="F28" s="201">
        <f t="shared" si="11"/>
        <v>3658</v>
      </c>
      <c r="G28" s="201">
        <f t="shared" si="11"/>
        <v>2063</v>
      </c>
      <c r="H28" s="201">
        <f t="shared" si="11"/>
        <v>2831</v>
      </c>
      <c r="I28" s="427">
        <f t="shared" si="11"/>
        <v>6072</v>
      </c>
      <c r="J28" s="208">
        <f t="shared" si="11"/>
        <v>6535</v>
      </c>
      <c r="K28" s="201">
        <f t="shared" si="11"/>
        <v>2057</v>
      </c>
      <c r="L28" s="427">
        <f t="shared" si="11"/>
        <v>6429</v>
      </c>
      <c r="M28" s="208">
        <f t="shared" si="11"/>
        <v>2260</v>
      </c>
      <c r="N28" s="201">
        <f t="shared" si="11"/>
        <v>1210</v>
      </c>
      <c r="O28" s="201">
        <f t="shared" si="11"/>
        <v>1344</v>
      </c>
      <c r="P28" s="201">
        <f t="shared" si="11"/>
        <v>684</v>
      </c>
      <c r="Q28" s="201">
        <f t="shared" si="11"/>
        <v>699</v>
      </c>
      <c r="R28" s="201">
        <f t="shared" si="11"/>
        <v>1777</v>
      </c>
      <c r="S28" s="427">
        <f t="shared" si="11"/>
        <v>679</v>
      </c>
      <c r="T28" s="208">
        <f t="shared" si="11"/>
        <v>2646</v>
      </c>
      <c r="U28" s="201">
        <f t="shared" si="11"/>
        <v>951</v>
      </c>
      <c r="V28" s="201">
        <f t="shared" si="11"/>
        <v>3470</v>
      </c>
      <c r="W28" s="201">
        <f t="shared" si="11"/>
        <v>2900</v>
      </c>
      <c r="X28" s="201">
        <f t="shared" si="11"/>
        <v>1725</v>
      </c>
      <c r="Y28" s="427">
        <f t="shared" si="11"/>
        <v>3006</v>
      </c>
      <c r="Z28" s="208">
        <f t="shared" si="11"/>
        <v>3181</v>
      </c>
      <c r="AA28" s="201">
        <f t="shared" si="11"/>
        <v>1935</v>
      </c>
      <c r="AB28" s="201">
        <f t="shared" si="11"/>
        <v>3009</v>
      </c>
      <c r="AC28" s="201">
        <f t="shared" si="11"/>
        <v>2935</v>
      </c>
      <c r="AD28" s="427">
        <f t="shared" si="11"/>
        <v>877</v>
      </c>
      <c r="AE28" s="208">
        <f t="shared" si="11"/>
        <v>0</v>
      </c>
      <c r="AF28" s="201">
        <f t="shared" si="11"/>
        <v>0</v>
      </c>
      <c r="AG28" s="201">
        <f t="shared" si="11"/>
        <v>0</v>
      </c>
      <c r="AH28" s="201">
        <f t="shared" si="11"/>
        <v>0</v>
      </c>
      <c r="AI28" s="427">
        <f t="shared" si="11"/>
        <v>0</v>
      </c>
      <c r="AJ28" s="208">
        <f t="shared" si="11"/>
        <v>0</v>
      </c>
      <c r="AK28" s="427">
        <f t="shared" si="11"/>
        <v>0</v>
      </c>
      <c r="AL28" s="436">
        <f t="shared" si="11"/>
        <v>74100</v>
      </c>
    </row>
    <row r="29" spans="1:38" ht="15.75" thickBot="1" x14ac:dyDescent="0.3">
      <c r="A29" s="102" t="s">
        <v>22</v>
      </c>
      <c r="B29" s="626"/>
      <c r="C29" s="208">
        <f t="shared" ref="C29" si="12">AVERAGE(C21:C27)</f>
        <v>496.14285714285717</v>
      </c>
      <c r="D29" s="201">
        <f t="shared" ref="D29:AL29" si="13">AVERAGE(D21:D27)</f>
        <v>548.28571428571433</v>
      </c>
      <c r="E29" s="201">
        <f t="shared" si="13"/>
        <v>265.14285714285717</v>
      </c>
      <c r="F29" s="201">
        <f t="shared" si="13"/>
        <v>522.57142857142856</v>
      </c>
      <c r="G29" s="201">
        <f t="shared" si="13"/>
        <v>294.71428571428572</v>
      </c>
      <c r="H29" s="201">
        <f t="shared" si="13"/>
        <v>404.42857142857144</v>
      </c>
      <c r="I29" s="427">
        <f t="shared" si="13"/>
        <v>867.42857142857144</v>
      </c>
      <c r="J29" s="208">
        <f t="shared" si="13"/>
        <v>933.57142857142856</v>
      </c>
      <c r="K29" s="201">
        <f t="shared" si="13"/>
        <v>293.85714285714283</v>
      </c>
      <c r="L29" s="427">
        <f t="shared" si="13"/>
        <v>918.42857142857144</v>
      </c>
      <c r="M29" s="208">
        <f t="shared" si="13"/>
        <v>322.85714285714283</v>
      </c>
      <c r="N29" s="201">
        <f t="shared" si="13"/>
        <v>172.85714285714286</v>
      </c>
      <c r="O29" s="201">
        <f t="shared" si="13"/>
        <v>192</v>
      </c>
      <c r="P29" s="201">
        <f t="shared" si="13"/>
        <v>97.714285714285708</v>
      </c>
      <c r="Q29" s="201">
        <f t="shared" si="13"/>
        <v>99.857142857142861</v>
      </c>
      <c r="R29" s="201">
        <f t="shared" si="13"/>
        <v>253.85714285714286</v>
      </c>
      <c r="S29" s="427">
        <f t="shared" si="13"/>
        <v>97</v>
      </c>
      <c r="T29" s="208">
        <f t="shared" si="13"/>
        <v>378</v>
      </c>
      <c r="U29" s="201">
        <f t="shared" si="13"/>
        <v>135.85714285714286</v>
      </c>
      <c r="V29" s="201">
        <f t="shared" si="13"/>
        <v>495.71428571428572</v>
      </c>
      <c r="W29" s="201">
        <f t="shared" si="13"/>
        <v>414.28571428571428</v>
      </c>
      <c r="X29" s="201">
        <f t="shared" si="13"/>
        <v>246.42857142857142</v>
      </c>
      <c r="Y29" s="427">
        <f t="shared" si="13"/>
        <v>429.42857142857144</v>
      </c>
      <c r="Z29" s="208">
        <f t="shared" si="13"/>
        <v>454.42857142857144</v>
      </c>
      <c r="AA29" s="201">
        <f t="shared" si="13"/>
        <v>276.42857142857144</v>
      </c>
      <c r="AB29" s="201">
        <f t="shared" si="13"/>
        <v>429.85714285714283</v>
      </c>
      <c r="AC29" s="201">
        <f t="shared" si="13"/>
        <v>419.28571428571428</v>
      </c>
      <c r="AD29" s="427">
        <f t="shared" si="13"/>
        <v>125.28571428571429</v>
      </c>
      <c r="AE29" s="208" t="e">
        <f t="shared" si="13"/>
        <v>#DIV/0!</v>
      </c>
      <c r="AF29" s="201" t="e">
        <f t="shared" si="13"/>
        <v>#DIV/0!</v>
      </c>
      <c r="AG29" s="201" t="e">
        <f t="shared" si="13"/>
        <v>#DIV/0!</v>
      </c>
      <c r="AH29" s="201" t="e">
        <f t="shared" si="13"/>
        <v>#DIV/0!</v>
      </c>
      <c r="AI29" s="427" t="e">
        <f t="shared" si="13"/>
        <v>#DIV/0!</v>
      </c>
      <c r="AJ29" s="208" t="e">
        <f t="shared" si="13"/>
        <v>#DIV/0!</v>
      </c>
      <c r="AK29" s="427" t="e">
        <f t="shared" si="13"/>
        <v>#DIV/0!</v>
      </c>
      <c r="AL29" s="436">
        <f t="shared" si="13"/>
        <v>10585.714285714286</v>
      </c>
    </row>
    <row r="30" spans="1:38" ht="15.75" thickBot="1" x14ac:dyDescent="0.3">
      <c r="A30" s="26" t="s">
        <v>19</v>
      </c>
      <c r="B30" s="626"/>
      <c r="C30" s="209">
        <f>SUM(C21:C25)</f>
        <v>1900</v>
      </c>
      <c r="D30" s="202">
        <f t="shared" ref="D30:AL30" si="14">SUM(D21:D25)</f>
        <v>1865</v>
      </c>
      <c r="E30" s="202">
        <f t="shared" si="14"/>
        <v>931</v>
      </c>
      <c r="F30" s="202">
        <f t="shared" si="14"/>
        <v>1952</v>
      </c>
      <c r="G30" s="202">
        <f t="shared" si="14"/>
        <v>1329</v>
      </c>
      <c r="H30" s="202">
        <f t="shared" si="14"/>
        <v>1517</v>
      </c>
      <c r="I30" s="429">
        <f t="shared" si="14"/>
        <v>3817</v>
      </c>
      <c r="J30" s="209">
        <f t="shared" si="14"/>
        <v>3281</v>
      </c>
      <c r="K30" s="202">
        <f t="shared" si="14"/>
        <v>1069</v>
      </c>
      <c r="L30" s="429">
        <f t="shared" si="14"/>
        <v>3287</v>
      </c>
      <c r="M30" s="209">
        <f t="shared" si="14"/>
        <v>1228</v>
      </c>
      <c r="N30" s="202">
        <f t="shared" si="14"/>
        <v>525</v>
      </c>
      <c r="O30" s="202">
        <f t="shared" si="14"/>
        <v>759</v>
      </c>
      <c r="P30" s="202">
        <f t="shared" si="14"/>
        <v>344</v>
      </c>
      <c r="Q30" s="202">
        <f t="shared" si="14"/>
        <v>322</v>
      </c>
      <c r="R30" s="202">
        <f t="shared" si="14"/>
        <v>910</v>
      </c>
      <c r="S30" s="429">
        <f t="shared" si="14"/>
        <v>305</v>
      </c>
      <c r="T30" s="209">
        <f t="shared" si="14"/>
        <v>1360</v>
      </c>
      <c r="U30" s="202">
        <f t="shared" si="14"/>
        <v>674</v>
      </c>
      <c r="V30" s="202">
        <f t="shared" si="14"/>
        <v>2330</v>
      </c>
      <c r="W30" s="202">
        <f t="shared" si="14"/>
        <v>1571</v>
      </c>
      <c r="X30" s="202">
        <f t="shared" si="14"/>
        <v>886</v>
      </c>
      <c r="Y30" s="429">
        <f t="shared" si="14"/>
        <v>1678</v>
      </c>
      <c r="Z30" s="209">
        <f t="shared" si="14"/>
        <v>1904</v>
      </c>
      <c r="AA30" s="202">
        <f t="shared" si="14"/>
        <v>1203</v>
      </c>
      <c r="AB30" s="202">
        <f t="shared" si="14"/>
        <v>1594</v>
      </c>
      <c r="AC30" s="202">
        <f t="shared" si="14"/>
        <v>1990</v>
      </c>
      <c r="AD30" s="429">
        <f t="shared" si="14"/>
        <v>508</v>
      </c>
      <c r="AE30" s="209">
        <f t="shared" si="14"/>
        <v>0</v>
      </c>
      <c r="AF30" s="202">
        <f t="shared" si="14"/>
        <v>0</v>
      </c>
      <c r="AG30" s="202">
        <f t="shared" si="14"/>
        <v>0</v>
      </c>
      <c r="AH30" s="202">
        <f t="shared" si="14"/>
        <v>0</v>
      </c>
      <c r="AI30" s="429">
        <f t="shared" si="14"/>
        <v>0</v>
      </c>
      <c r="AJ30" s="209">
        <f t="shared" si="14"/>
        <v>0</v>
      </c>
      <c r="AK30" s="429">
        <f t="shared" si="14"/>
        <v>0</v>
      </c>
      <c r="AL30" s="443">
        <f t="shared" si="14"/>
        <v>41039</v>
      </c>
    </row>
    <row r="31" spans="1:38" ht="15.75" thickBot="1" x14ac:dyDescent="0.3">
      <c r="A31" s="26" t="s">
        <v>21</v>
      </c>
      <c r="B31" s="626"/>
      <c r="C31" s="209">
        <f t="shared" ref="C31" si="15">AVERAGE(C21:C25)</f>
        <v>380</v>
      </c>
      <c r="D31" s="202">
        <f t="shared" ref="D31:AL31" si="16">AVERAGE(D21:D25)</f>
        <v>373</v>
      </c>
      <c r="E31" s="202">
        <f t="shared" si="16"/>
        <v>186.2</v>
      </c>
      <c r="F31" s="202">
        <f t="shared" si="16"/>
        <v>390.4</v>
      </c>
      <c r="G31" s="202">
        <f t="shared" si="16"/>
        <v>265.8</v>
      </c>
      <c r="H31" s="202">
        <f t="shared" si="16"/>
        <v>303.39999999999998</v>
      </c>
      <c r="I31" s="429">
        <f t="shared" si="16"/>
        <v>763.4</v>
      </c>
      <c r="J31" s="209">
        <f t="shared" si="16"/>
        <v>656.2</v>
      </c>
      <c r="K31" s="202">
        <f t="shared" si="16"/>
        <v>213.8</v>
      </c>
      <c r="L31" s="429">
        <f t="shared" si="16"/>
        <v>657.4</v>
      </c>
      <c r="M31" s="209">
        <f t="shared" si="16"/>
        <v>245.6</v>
      </c>
      <c r="N31" s="202">
        <f t="shared" si="16"/>
        <v>105</v>
      </c>
      <c r="O31" s="202">
        <f t="shared" si="16"/>
        <v>151.80000000000001</v>
      </c>
      <c r="P31" s="202">
        <f t="shared" si="16"/>
        <v>68.8</v>
      </c>
      <c r="Q31" s="202">
        <f t="shared" si="16"/>
        <v>64.400000000000006</v>
      </c>
      <c r="R31" s="202">
        <f t="shared" si="16"/>
        <v>182</v>
      </c>
      <c r="S31" s="429">
        <f t="shared" si="16"/>
        <v>61</v>
      </c>
      <c r="T31" s="209">
        <f t="shared" si="16"/>
        <v>272</v>
      </c>
      <c r="U31" s="202">
        <f t="shared" si="16"/>
        <v>134.80000000000001</v>
      </c>
      <c r="V31" s="202">
        <f t="shared" si="16"/>
        <v>466</v>
      </c>
      <c r="W31" s="202">
        <f t="shared" si="16"/>
        <v>314.2</v>
      </c>
      <c r="X31" s="202">
        <f t="shared" si="16"/>
        <v>177.2</v>
      </c>
      <c r="Y31" s="429">
        <f t="shared" si="16"/>
        <v>335.6</v>
      </c>
      <c r="Z31" s="209">
        <f t="shared" si="16"/>
        <v>380.8</v>
      </c>
      <c r="AA31" s="202">
        <f t="shared" si="16"/>
        <v>240.6</v>
      </c>
      <c r="AB31" s="202">
        <f t="shared" si="16"/>
        <v>318.8</v>
      </c>
      <c r="AC31" s="202">
        <f t="shared" si="16"/>
        <v>398</v>
      </c>
      <c r="AD31" s="429">
        <f t="shared" si="16"/>
        <v>101.6</v>
      </c>
      <c r="AE31" s="209" t="e">
        <f t="shared" si="16"/>
        <v>#DIV/0!</v>
      </c>
      <c r="AF31" s="202" t="e">
        <f t="shared" si="16"/>
        <v>#DIV/0!</v>
      </c>
      <c r="AG31" s="202" t="e">
        <f t="shared" si="16"/>
        <v>#DIV/0!</v>
      </c>
      <c r="AH31" s="202" t="e">
        <f t="shared" si="16"/>
        <v>#DIV/0!</v>
      </c>
      <c r="AI31" s="429" t="e">
        <f t="shared" si="16"/>
        <v>#DIV/0!</v>
      </c>
      <c r="AJ31" s="209" t="e">
        <f t="shared" si="16"/>
        <v>#DIV/0!</v>
      </c>
      <c r="AK31" s="429" t="e">
        <f t="shared" si="16"/>
        <v>#DIV/0!</v>
      </c>
      <c r="AL31" s="443">
        <f t="shared" si="16"/>
        <v>8207.7999999999993</v>
      </c>
    </row>
    <row r="32" spans="1:38" x14ac:dyDescent="0.25">
      <c r="A32" s="139" t="s">
        <v>3</v>
      </c>
      <c r="B32" s="214">
        <f>B27+1</f>
        <v>44025</v>
      </c>
      <c r="C32" s="243">
        <v>501</v>
      </c>
      <c r="D32" s="244">
        <v>506</v>
      </c>
      <c r="E32" s="172">
        <v>252</v>
      </c>
      <c r="F32" s="172">
        <v>466</v>
      </c>
      <c r="G32" s="172">
        <v>311</v>
      </c>
      <c r="H32" s="172">
        <v>396</v>
      </c>
      <c r="I32" s="174">
        <v>862</v>
      </c>
      <c r="J32" s="210">
        <v>633</v>
      </c>
      <c r="K32" s="172">
        <v>244</v>
      </c>
      <c r="L32" s="174">
        <v>673</v>
      </c>
      <c r="M32" s="210">
        <v>261</v>
      </c>
      <c r="N32" s="172">
        <v>163</v>
      </c>
      <c r="O32" s="172">
        <v>172</v>
      </c>
      <c r="P32" s="172">
        <v>65</v>
      </c>
      <c r="Q32" s="172">
        <v>68</v>
      </c>
      <c r="R32" s="172">
        <v>242</v>
      </c>
      <c r="S32" s="174">
        <v>110</v>
      </c>
      <c r="T32" s="210">
        <v>363</v>
      </c>
      <c r="U32" s="172">
        <v>154</v>
      </c>
      <c r="V32" s="172">
        <v>603</v>
      </c>
      <c r="W32" s="172">
        <v>418</v>
      </c>
      <c r="X32" s="172">
        <v>191</v>
      </c>
      <c r="Y32" s="174">
        <v>378</v>
      </c>
      <c r="Z32" s="210">
        <v>410</v>
      </c>
      <c r="AA32" s="172">
        <v>255</v>
      </c>
      <c r="AB32" s="172">
        <v>351</v>
      </c>
      <c r="AC32" s="172">
        <v>486</v>
      </c>
      <c r="AD32" s="174">
        <v>105</v>
      </c>
      <c r="AE32" s="210"/>
      <c r="AF32" s="172"/>
      <c r="AG32" s="172"/>
      <c r="AH32" s="172"/>
      <c r="AI32" s="174"/>
      <c r="AJ32" s="207"/>
      <c r="AK32" s="203"/>
      <c r="AL32" s="505">
        <f t="shared" ref="AL32:AL38" si="17">SUM(C32:AK32)</f>
        <v>9639</v>
      </c>
    </row>
    <row r="33" spans="1:38" x14ac:dyDescent="0.25">
      <c r="A33" s="139" t="s">
        <v>4</v>
      </c>
      <c r="B33" s="214">
        <f t="shared" ref="B33:B38" si="18">B32+1</f>
        <v>44026</v>
      </c>
      <c r="C33" s="243">
        <v>664</v>
      </c>
      <c r="D33" s="244">
        <v>669</v>
      </c>
      <c r="E33" s="172">
        <v>389</v>
      </c>
      <c r="F33" s="172">
        <v>623</v>
      </c>
      <c r="G33" s="172">
        <v>400</v>
      </c>
      <c r="H33" s="172">
        <v>414</v>
      </c>
      <c r="I33" s="174">
        <v>1133</v>
      </c>
      <c r="J33" s="210">
        <v>1260</v>
      </c>
      <c r="K33" s="172">
        <v>319</v>
      </c>
      <c r="L33" s="174">
        <v>1360</v>
      </c>
      <c r="M33" s="210">
        <v>368</v>
      </c>
      <c r="N33" s="172">
        <v>179</v>
      </c>
      <c r="O33" s="172">
        <v>215</v>
      </c>
      <c r="P33" s="172">
        <v>98</v>
      </c>
      <c r="Q33" s="172">
        <v>142</v>
      </c>
      <c r="R33" s="172">
        <v>307</v>
      </c>
      <c r="S33" s="174">
        <v>102</v>
      </c>
      <c r="T33" s="210">
        <v>480</v>
      </c>
      <c r="U33" s="172">
        <v>201</v>
      </c>
      <c r="V33" s="172">
        <v>670</v>
      </c>
      <c r="W33" s="172">
        <v>498</v>
      </c>
      <c r="X33" s="172">
        <v>286</v>
      </c>
      <c r="Y33" s="174">
        <v>515</v>
      </c>
      <c r="Z33" s="210">
        <v>533</v>
      </c>
      <c r="AA33" s="172">
        <v>329</v>
      </c>
      <c r="AB33" s="172">
        <v>486</v>
      </c>
      <c r="AC33" s="172">
        <v>538</v>
      </c>
      <c r="AD33" s="174">
        <v>167</v>
      </c>
      <c r="AE33" s="210"/>
      <c r="AF33" s="172"/>
      <c r="AG33" s="172"/>
      <c r="AH33" s="172"/>
      <c r="AI33" s="174"/>
      <c r="AJ33" s="207"/>
      <c r="AK33" s="203"/>
      <c r="AL33" s="505">
        <f t="shared" si="17"/>
        <v>13345</v>
      </c>
    </row>
    <row r="34" spans="1:38" x14ac:dyDescent="0.25">
      <c r="A34" s="139" t="s">
        <v>5</v>
      </c>
      <c r="B34" s="214">
        <f t="shared" si="18"/>
        <v>44027</v>
      </c>
      <c r="C34" s="243">
        <v>607</v>
      </c>
      <c r="D34" s="244">
        <v>688</v>
      </c>
      <c r="E34" s="172">
        <v>323</v>
      </c>
      <c r="F34" s="172">
        <v>594</v>
      </c>
      <c r="G34" s="172">
        <v>430</v>
      </c>
      <c r="H34" s="172">
        <v>481</v>
      </c>
      <c r="I34" s="174">
        <v>1098</v>
      </c>
      <c r="J34" s="210">
        <v>1136</v>
      </c>
      <c r="K34" s="172">
        <v>295</v>
      </c>
      <c r="L34" s="174">
        <v>1214</v>
      </c>
      <c r="M34" s="210">
        <v>393</v>
      </c>
      <c r="N34" s="172">
        <v>147</v>
      </c>
      <c r="O34" s="172">
        <v>218</v>
      </c>
      <c r="P34" s="172">
        <v>104</v>
      </c>
      <c r="Q34" s="172">
        <v>83</v>
      </c>
      <c r="R34" s="172">
        <v>287</v>
      </c>
      <c r="S34" s="174">
        <v>108</v>
      </c>
      <c r="T34" s="210">
        <v>477</v>
      </c>
      <c r="U34" s="172">
        <v>170</v>
      </c>
      <c r="V34" s="172">
        <v>615</v>
      </c>
      <c r="W34" s="172">
        <v>487</v>
      </c>
      <c r="X34" s="172">
        <v>250</v>
      </c>
      <c r="Y34" s="174">
        <v>454</v>
      </c>
      <c r="Z34" s="210">
        <v>587</v>
      </c>
      <c r="AA34" s="172">
        <v>370</v>
      </c>
      <c r="AB34" s="172">
        <v>489</v>
      </c>
      <c r="AC34" s="172">
        <v>596</v>
      </c>
      <c r="AD34" s="174">
        <v>156</v>
      </c>
      <c r="AE34" s="210"/>
      <c r="AF34" s="172"/>
      <c r="AG34" s="172"/>
      <c r="AH34" s="172"/>
      <c r="AI34" s="174"/>
      <c r="AJ34" s="207"/>
      <c r="AK34" s="203"/>
      <c r="AL34" s="505">
        <f t="shared" si="17"/>
        <v>12857</v>
      </c>
    </row>
    <row r="35" spans="1:38" x14ac:dyDescent="0.25">
      <c r="A35" s="139" t="s">
        <v>6</v>
      </c>
      <c r="B35" s="214">
        <f t="shared" si="18"/>
        <v>44028</v>
      </c>
      <c r="C35" s="243">
        <v>694</v>
      </c>
      <c r="D35" s="244">
        <v>693</v>
      </c>
      <c r="E35" s="172">
        <v>313</v>
      </c>
      <c r="F35" s="172">
        <v>670</v>
      </c>
      <c r="G35" s="172">
        <v>410</v>
      </c>
      <c r="H35" s="172">
        <v>522</v>
      </c>
      <c r="I35" s="174">
        <v>1128</v>
      </c>
      <c r="J35" s="210">
        <v>1040</v>
      </c>
      <c r="K35" s="172">
        <v>273</v>
      </c>
      <c r="L35" s="174">
        <v>995</v>
      </c>
      <c r="M35" s="210">
        <v>400</v>
      </c>
      <c r="N35" s="172">
        <v>220</v>
      </c>
      <c r="O35" s="172">
        <v>228</v>
      </c>
      <c r="P35" s="172">
        <v>95</v>
      </c>
      <c r="Q35" s="172">
        <v>218</v>
      </c>
      <c r="R35" s="172">
        <v>359</v>
      </c>
      <c r="S35" s="174">
        <v>106</v>
      </c>
      <c r="T35" s="210">
        <v>475</v>
      </c>
      <c r="U35" s="172">
        <v>199</v>
      </c>
      <c r="V35" s="172">
        <v>656</v>
      </c>
      <c r="W35" s="172">
        <v>526</v>
      </c>
      <c r="X35" s="172">
        <v>300</v>
      </c>
      <c r="Y35" s="174">
        <v>484</v>
      </c>
      <c r="Z35" s="210">
        <v>545</v>
      </c>
      <c r="AA35" s="172">
        <v>386</v>
      </c>
      <c r="AB35" s="172">
        <v>503</v>
      </c>
      <c r="AC35" s="172">
        <v>567</v>
      </c>
      <c r="AD35" s="174">
        <v>172</v>
      </c>
      <c r="AE35" s="210"/>
      <c r="AF35" s="172"/>
      <c r="AG35" s="172"/>
      <c r="AH35" s="172"/>
      <c r="AI35" s="174"/>
      <c r="AJ35" s="207"/>
      <c r="AK35" s="203"/>
      <c r="AL35" s="505">
        <f t="shared" si="17"/>
        <v>13177</v>
      </c>
    </row>
    <row r="36" spans="1:38" x14ac:dyDescent="0.25">
      <c r="A36" s="139" t="s">
        <v>0</v>
      </c>
      <c r="B36" s="214">
        <f t="shared" si="18"/>
        <v>44029</v>
      </c>
      <c r="C36" s="243">
        <v>503</v>
      </c>
      <c r="D36" s="244">
        <v>552</v>
      </c>
      <c r="E36" s="172">
        <v>307</v>
      </c>
      <c r="F36" s="172">
        <v>595</v>
      </c>
      <c r="G36" s="172">
        <v>443</v>
      </c>
      <c r="H36" s="172">
        <v>509</v>
      </c>
      <c r="I36" s="174">
        <v>980</v>
      </c>
      <c r="J36" s="210">
        <v>406</v>
      </c>
      <c r="K36" s="172">
        <v>196</v>
      </c>
      <c r="L36" s="174">
        <v>374</v>
      </c>
      <c r="M36" s="210">
        <v>312</v>
      </c>
      <c r="N36" s="172">
        <v>100</v>
      </c>
      <c r="O36" s="172">
        <v>168</v>
      </c>
      <c r="P36" s="172">
        <v>110</v>
      </c>
      <c r="Q36" s="172">
        <v>75</v>
      </c>
      <c r="R36" s="172">
        <v>218</v>
      </c>
      <c r="S36" s="174">
        <v>92</v>
      </c>
      <c r="T36" s="210">
        <v>339</v>
      </c>
      <c r="U36" s="195">
        <v>129</v>
      </c>
      <c r="V36" s="195">
        <v>598</v>
      </c>
      <c r="W36" s="195">
        <v>499</v>
      </c>
      <c r="X36" s="195">
        <v>242</v>
      </c>
      <c r="Y36" s="203">
        <v>404</v>
      </c>
      <c r="Z36" s="207">
        <v>395</v>
      </c>
      <c r="AA36" s="172">
        <v>294</v>
      </c>
      <c r="AB36" s="172">
        <v>421</v>
      </c>
      <c r="AC36" s="172">
        <v>400</v>
      </c>
      <c r="AD36" s="174">
        <v>111</v>
      </c>
      <c r="AE36" s="207"/>
      <c r="AF36" s="195"/>
      <c r="AG36" s="195"/>
      <c r="AH36" s="195"/>
      <c r="AI36" s="203"/>
      <c r="AJ36" s="207"/>
      <c r="AK36" s="203"/>
      <c r="AL36" s="505">
        <f t="shared" si="17"/>
        <v>9772</v>
      </c>
    </row>
    <row r="37" spans="1:38" x14ac:dyDescent="0.25">
      <c r="A37" s="139" t="s">
        <v>1</v>
      </c>
      <c r="B37" s="214">
        <f t="shared" si="18"/>
        <v>44030</v>
      </c>
      <c r="C37" s="243">
        <v>1137</v>
      </c>
      <c r="D37" s="244">
        <v>1429</v>
      </c>
      <c r="E37" s="172">
        <v>374</v>
      </c>
      <c r="F37" s="172">
        <v>1157</v>
      </c>
      <c r="G37" s="172">
        <v>490</v>
      </c>
      <c r="H37" s="172">
        <v>812</v>
      </c>
      <c r="I37" s="174">
        <v>1463</v>
      </c>
      <c r="J37" s="210">
        <v>2949</v>
      </c>
      <c r="K37" s="172">
        <v>728</v>
      </c>
      <c r="L37" s="174">
        <v>2993</v>
      </c>
      <c r="M37" s="210">
        <v>741</v>
      </c>
      <c r="N37" s="172">
        <v>395</v>
      </c>
      <c r="O37" s="172">
        <v>321</v>
      </c>
      <c r="P37" s="172">
        <v>300</v>
      </c>
      <c r="Q37" s="172">
        <v>183</v>
      </c>
      <c r="R37" s="172">
        <v>468</v>
      </c>
      <c r="S37" s="174">
        <v>175</v>
      </c>
      <c r="T37" s="210">
        <v>877</v>
      </c>
      <c r="U37" s="195">
        <v>206</v>
      </c>
      <c r="V37" s="195">
        <v>760</v>
      </c>
      <c r="W37" s="195">
        <v>837</v>
      </c>
      <c r="X37" s="195">
        <v>493</v>
      </c>
      <c r="Y37" s="203">
        <v>762</v>
      </c>
      <c r="Z37" s="207">
        <v>996</v>
      </c>
      <c r="AA37" s="172">
        <v>485</v>
      </c>
      <c r="AB37" s="195">
        <v>1023</v>
      </c>
      <c r="AC37" s="195">
        <v>826</v>
      </c>
      <c r="AD37" s="203">
        <v>265</v>
      </c>
      <c r="AE37" s="207"/>
      <c r="AF37" s="195"/>
      <c r="AG37" s="195"/>
      <c r="AH37" s="195"/>
      <c r="AI37" s="203"/>
      <c r="AJ37" s="207">
        <v>401</v>
      </c>
      <c r="AK37" s="203">
        <v>344</v>
      </c>
      <c r="AL37" s="505">
        <f t="shared" si="17"/>
        <v>24390</v>
      </c>
    </row>
    <row r="38" spans="1:38" ht="15.75" thickBot="1" x14ac:dyDescent="0.3">
      <c r="A38" s="139" t="s">
        <v>2</v>
      </c>
      <c r="B38" s="214">
        <f t="shared" si="18"/>
        <v>44031</v>
      </c>
      <c r="C38" s="243">
        <v>878</v>
      </c>
      <c r="D38" s="244">
        <v>1060</v>
      </c>
      <c r="E38" s="172">
        <v>471</v>
      </c>
      <c r="F38" s="172">
        <v>826</v>
      </c>
      <c r="G38" s="172">
        <v>353</v>
      </c>
      <c r="H38" s="172">
        <v>512</v>
      </c>
      <c r="I38" s="174">
        <v>1093</v>
      </c>
      <c r="J38" s="210">
        <v>2858</v>
      </c>
      <c r="K38" s="172">
        <v>610</v>
      </c>
      <c r="L38" s="174">
        <v>3230</v>
      </c>
      <c r="M38" s="210">
        <v>574</v>
      </c>
      <c r="N38" s="172">
        <v>297</v>
      </c>
      <c r="O38" s="172">
        <v>618</v>
      </c>
      <c r="P38" s="172">
        <v>249</v>
      </c>
      <c r="Q38" s="172">
        <v>178</v>
      </c>
      <c r="R38" s="172">
        <v>435</v>
      </c>
      <c r="S38" s="174">
        <v>214</v>
      </c>
      <c r="T38" s="210">
        <v>749</v>
      </c>
      <c r="U38" s="172">
        <v>142</v>
      </c>
      <c r="V38" s="172">
        <v>534</v>
      </c>
      <c r="W38" s="172">
        <v>492</v>
      </c>
      <c r="X38" s="172">
        <v>410</v>
      </c>
      <c r="Y38" s="174">
        <v>606</v>
      </c>
      <c r="Z38" s="210">
        <v>876</v>
      </c>
      <c r="AA38" s="172">
        <v>366</v>
      </c>
      <c r="AB38" s="172">
        <v>760</v>
      </c>
      <c r="AC38" s="172">
        <v>590</v>
      </c>
      <c r="AD38" s="174">
        <v>195</v>
      </c>
      <c r="AE38" s="210"/>
      <c r="AF38" s="172"/>
      <c r="AG38" s="172"/>
      <c r="AH38" s="172"/>
      <c r="AI38" s="174"/>
      <c r="AJ38" s="210">
        <v>363</v>
      </c>
      <c r="AK38" s="174">
        <v>273</v>
      </c>
      <c r="AL38" s="505">
        <f t="shared" si="17"/>
        <v>20812</v>
      </c>
    </row>
    <row r="39" spans="1:38" ht="15.75" thickBot="1" x14ac:dyDescent="0.3">
      <c r="A39" s="147" t="s">
        <v>20</v>
      </c>
      <c r="B39" s="626" t="s">
        <v>25</v>
      </c>
      <c r="C39" s="208">
        <f>SUM(C32:C38)</f>
        <v>4984</v>
      </c>
      <c r="D39" s="201">
        <f t="shared" ref="D39:AL39" si="19">SUM(D32:D38)</f>
        <v>5597</v>
      </c>
      <c r="E39" s="201">
        <f t="shared" si="19"/>
        <v>2429</v>
      </c>
      <c r="F39" s="201">
        <f t="shared" si="19"/>
        <v>4931</v>
      </c>
      <c r="G39" s="201">
        <f t="shared" si="19"/>
        <v>2837</v>
      </c>
      <c r="H39" s="201">
        <f t="shared" si="19"/>
        <v>3646</v>
      </c>
      <c r="I39" s="427">
        <f t="shared" si="19"/>
        <v>7757</v>
      </c>
      <c r="J39" s="208">
        <f t="shared" si="19"/>
        <v>10282</v>
      </c>
      <c r="K39" s="201">
        <f t="shared" si="19"/>
        <v>2665</v>
      </c>
      <c r="L39" s="427">
        <f t="shared" si="19"/>
        <v>10839</v>
      </c>
      <c r="M39" s="208">
        <f t="shared" si="19"/>
        <v>3049</v>
      </c>
      <c r="N39" s="201">
        <f t="shared" si="19"/>
        <v>1501</v>
      </c>
      <c r="O39" s="201">
        <f t="shared" si="19"/>
        <v>1940</v>
      </c>
      <c r="P39" s="201">
        <f t="shared" si="19"/>
        <v>1021</v>
      </c>
      <c r="Q39" s="201">
        <f t="shared" si="19"/>
        <v>947</v>
      </c>
      <c r="R39" s="201">
        <f t="shared" si="19"/>
        <v>2316</v>
      </c>
      <c r="S39" s="427">
        <f t="shared" si="19"/>
        <v>907</v>
      </c>
      <c r="T39" s="208">
        <f t="shared" si="19"/>
        <v>3760</v>
      </c>
      <c r="U39" s="201">
        <f t="shared" si="19"/>
        <v>1201</v>
      </c>
      <c r="V39" s="201">
        <f t="shared" si="19"/>
        <v>4436</v>
      </c>
      <c r="W39" s="201">
        <f t="shared" si="19"/>
        <v>3757</v>
      </c>
      <c r="X39" s="201">
        <f t="shared" si="19"/>
        <v>2172</v>
      </c>
      <c r="Y39" s="427">
        <f t="shared" si="19"/>
        <v>3603</v>
      </c>
      <c r="Z39" s="208">
        <f t="shared" si="19"/>
        <v>4342</v>
      </c>
      <c r="AA39" s="201">
        <f t="shared" si="19"/>
        <v>2485</v>
      </c>
      <c r="AB39" s="201">
        <f t="shared" si="19"/>
        <v>4033</v>
      </c>
      <c r="AC39" s="201">
        <f t="shared" si="19"/>
        <v>4003</v>
      </c>
      <c r="AD39" s="427">
        <f t="shared" si="19"/>
        <v>1171</v>
      </c>
      <c r="AE39" s="208">
        <f t="shared" si="19"/>
        <v>0</v>
      </c>
      <c r="AF39" s="201">
        <f t="shared" si="19"/>
        <v>0</v>
      </c>
      <c r="AG39" s="201">
        <f t="shared" si="19"/>
        <v>0</v>
      </c>
      <c r="AH39" s="201">
        <f t="shared" si="19"/>
        <v>0</v>
      </c>
      <c r="AI39" s="427">
        <f t="shared" si="19"/>
        <v>0</v>
      </c>
      <c r="AJ39" s="208">
        <f t="shared" si="19"/>
        <v>764</v>
      </c>
      <c r="AK39" s="427">
        <f t="shared" si="19"/>
        <v>617</v>
      </c>
      <c r="AL39" s="436">
        <f t="shared" si="19"/>
        <v>103992</v>
      </c>
    </row>
    <row r="40" spans="1:38" ht="15.75" thickBot="1" x14ac:dyDescent="0.3">
      <c r="A40" s="102" t="s">
        <v>22</v>
      </c>
      <c r="B40" s="626"/>
      <c r="C40" s="208">
        <f>AVERAGE(C32:C38)</f>
        <v>712</v>
      </c>
      <c r="D40" s="201">
        <f t="shared" ref="D40:AL40" si="20">AVERAGE(D32:D38)</f>
        <v>799.57142857142856</v>
      </c>
      <c r="E40" s="201">
        <f t="shared" si="20"/>
        <v>347</v>
      </c>
      <c r="F40" s="201">
        <f t="shared" si="20"/>
        <v>704.42857142857144</v>
      </c>
      <c r="G40" s="201">
        <f t="shared" si="20"/>
        <v>405.28571428571428</v>
      </c>
      <c r="H40" s="201">
        <f t="shared" si="20"/>
        <v>520.85714285714289</v>
      </c>
      <c r="I40" s="427">
        <f t="shared" si="20"/>
        <v>1108.1428571428571</v>
      </c>
      <c r="J40" s="208">
        <f t="shared" si="20"/>
        <v>1468.8571428571429</v>
      </c>
      <c r="K40" s="201">
        <f t="shared" si="20"/>
        <v>380.71428571428572</v>
      </c>
      <c r="L40" s="427">
        <f t="shared" si="20"/>
        <v>1548.4285714285713</v>
      </c>
      <c r="M40" s="208">
        <f t="shared" si="20"/>
        <v>435.57142857142856</v>
      </c>
      <c r="N40" s="201">
        <f t="shared" si="20"/>
        <v>214.42857142857142</v>
      </c>
      <c r="O40" s="201">
        <f t="shared" si="20"/>
        <v>277.14285714285717</v>
      </c>
      <c r="P40" s="201">
        <f t="shared" si="20"/>
        <v>145.85714285714286</v>
      </c>
      <c r="Q40" s="201">
        <f t="shared" si="20"/>
        <v>135.28571428571428</v>
      </c>
      <c r="R40" s="201">
        <f t="shared" si="20"/>
        <v>330.85714285714283</v>
      </c>
      <c r="S40" s="427">
        <f t="shared" si="20"/>
        <v>129.57142857142858</v>
      </c>
      <c r="T40" s="208">
        <f t="shared" si="20"/>
        <v>537.14285714285711</v>
      </c>
      <c r="U40" s="201">
        <f t="shared" si="20"/>
        <v>171.57142857142858</v>
      </c>
      <c r="V40" s="201">
        <f t="shared" si="20"/>
        <v>633.71428571428567</v>
      </c>
      <c r="W40" s="201">
        <f t="shared" si="20"/>
        <v>536.71428571428567</v>
      </c>
      <c r="X40" s="201">
        <f t="shared" si="20"/>
        <v>310.28571428571428</v>
      </c>
      <c r="Y40" s="427">
        <f t="shared" si="20"/>
        <v>514.71428571428567</v>
      </c>
      <c r="Z40" s="208">
        <f t="shared" si="20"/>
        <v>620.28571428571433</v>
      </c>
      <c r="AA40" s="201">
        <f t="shared" si="20"/>
        <v>355</v>
      </c>
      <c r="AB40" s="201">
        <f t="shared" si="20"/>
        <v>576.14285714285711</v>
      </c>
      <c r="AC40" s="201">
        <f t="shared" si="20"/>
        <v>571.85714285714289</v>
      </c>
      <c r="AD40" s="427">
        <f t="shared" si="20"/>
        <v>167.28571428571428</v>
      </c>
      <c r="AE40" s="208" t="e">
        <f t="shared" si="20"/>
        <v>#DIV/0!</v>
      </c>
      <c r="AF40" s="201" t="e">
        <f t="shared" si="20"/>
        <v>#DIV/0!</v>
      </c>
      <c r="AG40" s="201" t="e">
        <f t="shared" si="20"/>
        <v>#DIV/0!</v>
      </c>
      <c r="AH40" s="201" t="e">
        <f t="shared" si="20"/>
        <v>#DIV/0!</v>
      </c>
      <c r="AI40" s="427" t="e">
        <f t="shared" si="20"/>
        <v>#DIV/0!</v>
      </c>
      <c r="AJ40" s="208">
        <f t="shared" si="20"/>
        <v>382</v>
      </c>
      <c r="AK40" s="427">
        <f t="shared" si="20"/>
        <v>308.5</v>
      </c>
      <c r="AL40" s="436">
        <f t="shared" si="20"/>
        <v>14856</v>
      </c>
    </row>
    <row r="41" spans="1:38" ht="15.75" thickBot="1" x14ac:dyDescent="0.3">
      <c r="A41" s="26" t="s">
        <v>19</v>
      </c>
      <c r="B41" s="626"/>
      <c r="C41" s="209">
        <f t="shared" ref="C41" si="21">SUM(C32:C36)</f>
        <v>2969</v>
      </c>
      <c r="D41" s="202">
        <f t="shared" ref="D41:AL41" si="22">SUM(D32:D36)</f>
        <v>3108</v>
      </c>
      <c r="E41" s="202">
        <f t="shared" si="22"/>
        <v>1584</v>
      </c>
      <c r="F41" s="202">
        <f t="shared" si="22"/>
        <v>2948</v>
      </c>
      <c r="G41" s="202">
        <f t="shared" si="22"/>
        <v>1994</v>
      </c>
      <c r="H41" s="202">
        <f t="shared" si="22"/>
        <v>2322</v>
      </c>
      <c r="I41" s="429">
        <f t="shared" si="22"/>
        <v>5201</v>
      </c>
      <c r="J41" s="209">
        <f t="shared" si="22"/>
        <v>4475</v>
      </c>
      <c r="K41" s="202">
        <f t="shared" si="22"/>
        <v>1327</v>
      </c>
      <c r="L41" s="429">
        <f t="shared" si="22"/>
        <v>4616</v>
      </c>
      <c r="M41" s="209">
        <f t="shared" si="22"/>
        <v>1734</v>
      </c>
      <c r="N41" s="202">
        <f t="shared" si="22"/>
        <v>809</v>
      </c>
      <c r="O41" s="202">
        <f t="shared" si="22"/>
        <v>1001</v>
      </c>
      <c r="P41" s="202">
        <f t="shared" si="22"/>
        <v>472</v>
      </c>
      <c r="Q41" s="202">
        <f t="shared" si="22"/>
        <v>586</v>
      </c>
      <c r="R41" s="202">
        <f t="shared" si="22"/>
        <v>1413</v>
      </c>
      <c r="S41" s="429">
        <f t="shared" si="22"/>
        <v>518</v>
      </c>
      <c r="T41" s="209">
        <f t="shared" si="22"/>
        <v>2134</v>
      </c>
      <c r="U41" s="202">
        <f t="shared" si="22"/>
        <v>853</v>
      </c>
      <c r="V41" s="202">
        <f t="shared" si="22"/>
        <v>3142</v>
      </c>
      <c r="W41" s="202">
        <f t="shared" si="22"/>
        <v>2428</v>
      </c>
      <c r="X41" s="202">
        <f t="shared" si="22"/>
        <v>1269</v>
      </c>
      <c r="Y41" s="429">
        <f t="shared" si="22"/>
        <v>2235</v>
      </c>
      <c r="Z41" s="209">
        <f t="shared" si="22"/>
        <v>2470</v>
      </c>
      <c r="AA41" s="202">
        <f t="shared" si="22"/>
        <v>1634</v>
      </c>
      <c r="AB41" s="202">
        <f t="shared" si="22"/>
        <v>2250</v>
      </c>
      <c r="AC41" s="202">
        <f t="shared" si="22"/>
        <v>2587</v>
      </c>
      <c r="AD41" s="429">
        <f t="shared" si="22"/>
        <v>711</v>
      </c>
      <c r="AE41" s="209">
        <f t="shared" si="22"/>
        <v>0</v>
      </c>
      <c r="AF41" s="202">
        <f t="shared" si="22"/>
        <v>0</v>
      </c>
      <c r="AG41" s="202">
        <f t="shared" si="22"/>
        <v>0</v>
      </c>
      <c r="AH41" s="202">
        <f t="shared" si="22"/>
        <v>0</v>
      </c>
      <c r="AI41" s="429">
        <f t="shared" si="22"/>
        <v>0</v>
      </c>
      <c r="AJ41" s="209">
        <f t="shared" si="22"/>
        <v>0</v>
      </c>
      <c r="AK41" s="429">
        <f t="shared" si="22"/>
        <v>0</v>
      </c>
      <c r="AL41" s="443">
        <f t="shared" si="22"/>
        <v>58790</v>
      </c>
    </row>
    <row r="42" spans="1:38" ht="15.75" thickBot="1" x14ac:dyDescent="0.3">
      <c r="A42" s="26" t="s">
        <v>21</v>
      </c>
      <c r="B42" s="626"/>
      <c r="C42" s="209">
        <f>AVERAGE(C32:C36)</f>
        <v>593.79999999999995</v>
      </c>
      <c r="D42" s="202">
        <f t="shared" ref="D42:AL42" si="23">AVERAGE(D32:D36)</f>
        <v>621.6</v>
      </c>
      <c r="E42" s="202">
        <f t="shared" si="23"/>
        <v>316.8</v>
      </c>
      <c r="F42" s="202">
        <f t="shared" si="23"/>
        <v>589.6</v>
      </c>
      <c r="G42" s="202">
        <f t="shared" si="23"/>
        <v>398.8</v>
      </c>
      <c r="H42" s="202">
        <f t="shared" si="23"/>
        <v>464.4</v>
      </c>
      <c r="I42" s="429">
        <f t="shared" si="23"/>
        <v>1040.2</v>
      </c>
      <c r="J42" s="209">
        <f t="shared" si="23"/>
        <v>895</v>
      </c>
      <c r="K42" s="202">
        <f t="shared" si="23"/>
        <v>265.39999999999998</v>
      </c>
      <c r="L42" s="429">
        <f t="shared" si="23"/>
        <v>923.2</v>
      </c>
      <c r="M42" s="209">
        <f t="shared" si="23"/>
        <v>346.8</v>
      </c>
      <c r="N42" s="202">
        <f t="shared" si="23"/>
        <v>161.80000000000001</v>
      </c>
      <c r="O42" s="202">
        <f t="shared" si="23"/>
        <v>200.2</v>
      </c>
      <c r="P42" s="202">
        <f t="shared" si="23"/>
        <v>94.4</v>
      </c>
      <c r="Q42" s="202">
        <f t="shared" si="23"/>
        <v>117.2</v>
      </c>
      <c r="R42" s="202">
        <f t="shared" si="23"/>
        <v>282.60000000000002</v>
      </c>
      <c r="S42" s="429">
        <f t="shared" si="23"/>
        <v>103.6</v>
      </c>
      <c r="T42" s="209">
        <f t="shared" si="23"/>
        <v>426.8</v>
      </c>
      <c r="U42" s="202">
        <f t="shared" si="23"/>
        <v>170.6</v>
      </c>
      <c r="V42" s="202">
        <f t="shared" si="23"/>
        <v>628.4</v>
      </c>
      <c r="W42" s="202">
        <f t="shared" si="23"/>
        <v>485.6</v>
      </c>
      <c r="X42" s="202">
        <f t="shared" si="23"/>
        <v>253.8</v>
      </c>
      <c r="Y42" s="429">
        <f t="shared" si="23"/>
        <v>447</v>
      </c>
      <c r="Z42" s="209">
        <f t="shared" si="23"/>
        <v>494</v>
      </c>
      <c r="AA42" s="202">
        <f t="shared" si="23"/>
        <v>326.8</v>
      </c>
      <c r="AB42" s="202">
        <f t="shared" si="23"/>
        <v>450</v>
      </c>
      <c r="AC42" s="202">
        <f t="shared" si="23"/>
        <v>517.4</v>
      </c>
      <c r="AD42" s="429">
        <f t="shared" si="23"/>
        <v>142.19999999999999</v>
      </c>
      <c r="AE42" s="209" t="e">
        <f t="shared" si="23"/>
        <v>#DIV/0!</v>
      </c>
      <c r="AF42" s="202" t="e">
        <f t="shared" si="23"/>
        <v>#DIV/0!</v>
      </c>
      <c r="AG42" s="202" t="e">
        <f t="shared" si="23"/>
        <v>#DIV/0!</v>
      </c>
      <c r="AH42" s="202" t="e">
        <f t="shared" si="23"/>
        <v>#DIV/0!</v>
      </c>
      <c r="AI42" s="429" t="e">
        <f t="shared" si="23"/>
        <v>#DIV/0!</v>
      </c>
      <c r="AJ42" s="209" t="e">
        <f t="shared" si="23"/>
        <v>#DIV/0!</v>
      </c>
      <c r="AK42" s="429" t="e">
        <f t="shared" si="23"/>
        <v>#DIV/0!</v>
      </c>
      <c r="AL42" s="443">
        <f t="shared" si="23"/>
        <v>11758</v>
      </c>
    </row>
    <row r="43" spans="1:38" x14ac:dyDescent="0.25">
      <c r="A43" s="139" t="s">
        <v>3</v>
      </c>
      <c r="B43" s="214">
        <f>B38+1</f>
        <v>44032</v>
      </c>
      <c r="C43" s="243">
        <v>488</v>
      </c>
      <c r="D43" s="195">
        <v>399</v>
      </c>
      <c r="E43" s="195">
        <v>267</v>
      </c>
      <c r="F43" s="195">
        <v>415</v>
      </c>
      <c r="G43" s="244">
        <v>300</v>
      </c>
      <c r="H43" s="195">
        <v>194</v>
      </c>
      <c r="I43" s="203">
        <v>769</v>
      </c>
      <c r="J43" s="207">
        <v>1056</v>
      </c>
      <c r="K43" s="195">
        <v>241</v>
      </c>
      <c r="L43" s="203">
        <v>1139</v>
      </c>
      <c r="M43" s="207">
        <v>245</v>
      </c>
      <c r="N43" s="195">
        <v>97</v>
      </c>
      <c r="O43" s="195">
        <v>124</v>
      </c>
      <c r="P43" s="195">
        <v>85</v>
      </c>
      <c r="Q43" s="195">
        <v>67</v>
      </c>
      <c r="R43" s="195">
        <v>156</v>
      </c>
      <c r="S43" s="203">
        <v>72</v>
      </c>
      <c r="T43" s="207">
        <v>312</v>
      </c>
      <c r="U43" s="195">
        <v>141</v>
      </c>
      <c r="V43" s="195">
        <v>570</v>
      </c>
      <c r="W43" s="195">
        <v>418</v>
      </c>
      <c r="X43" s="195">
        <v>150</v>
      </c>
      <c r="Y43" s="203">
        <v>343</v>
      </c>
      <c r="Z43" s="207">
        <v>405</v>
      </c>
      <c r="AA43" s="172">
        <v>310</v>
      </c>
      <c r="AB43" s="195">
        <v>345</v>
      </c>
      <c r="AC43" s="195">
        <v>434</v>
      </c>
      <c r="AD43" s="203">
        <v>99</v>
      </c>
      <c r="AE43" s="207"/>
      <c r="AF43" s="195"/>
      <c r="AG43" s="195"/>
      <c r="AH43" s="195"/>
      <c r="AI43" s="203"/>
      <c r="AJ43" s="207"/>
      <c r="AK43" s="203"/>
      <c r="AL43" s="505">
        <f t="shared" ref="AL43:AL49" si="24">SUM(C43:AK43)</f>
        <v>9641</v>
      </c>
    </row>
    <row r="44" spans="1:38" x14ac:dyDescent="0.25">
      <c r="A44" s="139" t="s">
        <v>4</v>
      </c>
      <c r="B44" s="214">
        <f t="shared" ref="B44:B49" si="25">B43+1</f>
        <v>44033</v>
      </c>
      <c r="C44" s="243">
        <v>644</v>
      </c>
      <c r="D44" s="195">
        <v>619</v>
      </c>
      <c r="E44" s="195">
        <v>256</v>
      </c>
      <c r="F44" s="195">
        <v>595</v>
      </c>
      <c r="G44" s="244">
        <v>399</v>
      </c>
      <c r="H44" s="195">
        <v>357</v>
      </c>
      <c r="I44" s="203">
        <v>1078</v>
      </c>
      <c r="J44" s="207">
        <v>1460</v>
      </c>
      <c r="K44" s="195">
        <v>291</v>
      </c>
      <c r="L44" s="203">
        <v>1420</v>
      </c>
      <c r="M44" s="207">
        <v>346</v>
      </c>
      <c r="N44" s="195">
        <v>195</v>
      </c>
      <c r="O44" s="195">
        <v>241</v>
      </c>
      <c r="P44" s="195">
        <v>115</v>
      </c>
      <c r="Q44" s="195">
        <v>121</v>
      </c>
      <c r="R44" s="195">
        <v>315</v>
      </c>
      <c r="S44" s="203">
        <v>118</v>
      </c>
      <c r="T44" s="207">
        <v>461</v>
      </c>
      <c r="U44" s="195">
        <v>185</v>
      </c>
      <c r="V44" s="195">
        <v>663</v>
      </c>
      <c r="W44" s="195">
        <v>506</v>
      </c>
      <c r="X44" s="195">
        <v>223</v>
      </c>
      <c r="Y44" s="203">
        <v>488</v>
      </c>
      <c r="Z44" s="207">
        <v>530</v>
      </c>
      <c r="AA44" s="172">
        <v>364</v>
      </c>
      <c r="AB44" s="195">
        <v>416</v>
      </c>
      <c r="AC44" s="195">
        <v>552</v>
      </c>
      <c r="AD44" s="203">
        <v>165</v>
      </c>
      <c r="AE44" s="207"/>
      <c r="AF44" s="195"/>
      <c r="AG44" s="195"/>
      <c r="AH44" s="195"/>
      <c r="AI44" s="203"/>
      <c r="AJ44" s="207"/>
      <c r="AK44" s="203"/>
      <c r="AL44" s="505">
        <f t="shared" si="24"/>
        <v>13123</v>
      </c>
    </row>
    <row r="45" spans="1:38" x14ac:dyDescent="0.25">
      <c r="A45" s="139" t="s">
        <v>5</v>
      </c>
      <c r="B45" s="214">
        <f t="shared" si="25"/>
        <v>44034</v>
      </c>
      <c r="C45" s="243">
        <v>441</v>
      </c>
      <c r="D45" s="195">
        <v>346</v>
      </c>
      <c r="E45" s="195">
        <v>228</v>
      </c>
      <c r="F45" s="195">
        <v>451</v>
      </c>
      <c r="G45" s="244">
        <v>305</v>
      </c>
      <c r="H45" s="195">
        <v>295</v>
      </c>
      <c r="I45" s="203">
        <v>852</v>
      </c>
      <c r="J45" s="207">
        <v>647</v>
      </c>
      <c r="K45" s="195">
        <v>178</v>
      </c>
      <c r="L45" s="203">
        <v>681</v>
      </c>
      <c r="M45" s="207">
        <v>281</v>
      </c>
      <c r="N45" s="195">
        <v>105</v>
      </c>
      <c r="O45" s="195">
        <v>195</v>
      </c>
      <c r="P45" s="195">
        <v>80</v>
      </c>
      <c r="Q45" s="195">
        <v>76</v>
      </c>
      <c r="R45" s="195">
        <v>204</v>
      </c>
      <c r="S45" s="203">
        <v>47</v>
      </c>
      <c r="T45" s="207">
        <v>303</v>
      </c>
      <c r="U45" s="195">
        <v>170</v>
      </c>
      <c r="V45" s="195">
        <v>573</v>
      </c>
      <c r="W45" s="195">
        <v>448</v>
      </c>
      <c r="X45" s="195">
        <v>201</v>
      </c>
      <c r="Y45" s="203">
        <v>387</v>
      </c>
      <c r="Z45" s="207">
        <v>417</v>
      </c>
      <c r="AA45" s="172">
        <v>342</v>
      </c>
      <c r="AB45" s="195">
        <v>376</v>
      </c>
      <c r="AC45" s="195">
        <v>478</v>
      </c>
      <c r="AD45" s="203">
        <v>153</v>
      </c>
      <c r="AE45" s="207"/>
      <c r="AF45" s="195"/>
      <c r="AG45" s="195"/>
      <c r="AH45" s="195"/>
      <c r="AI45" s="203"/>
      <c r="AJ45" s="207"/>
      <c r="AK45" s="203"/>
      <c r="AL45" s="505">
        <f t="shared" si="24"/>
        <v>9260</v>
      </c>
    </row>
    <row r="46" spans="1:38" x14ac:dyDescent="0.25">
      <c r="A46" s="139" t="s">
        <v>6</v>
      </c>
      <c r="B46" s="214">
        <f t="shared" si="25"/>
        <v>44035</v>
      </c>
      <c r="C46" s="243">
        <v>403</v>
      </c>
      <c r="D46" s="195">
        <v>430</v>
      </c>
      <c r="E46" s="195">
        <v>181</v>
      </c>
      <c r="F46" s="195">
        <v>462</v>
      </c>
      <c r="G46" s="244">
        <v>359</v>
      </c>
      <c r="H46" s="195">
        <v>334</v>
      </c>
      <c r="I46" s="203">
        <v>868</v>
      </c>
      <c r="J46" s="207">
        <v>383</v>
      </c>
      <c r="K46" s="195">
        <v>178</v>
      </c>
      <c r="L46" s="203">
        <v>455</v>
      </c>
      <c r="M46" s="207">
        <v>260</v>
      </c>
      <c r="N46" s="195">
        <v>100</v>
      </c>
      <c r="O46" s="195">
        <v>163</v>
      </c>
      <c r="P46" s="195">
        <v>84</v>
      </c>
      <c r="Q46" s="195">
        <v>59</v>
      </c>
      <c r="R46" s="195">
        <v>160</v>
      </c>
      <c r="S46" s="203">
        <v>72</v>
      </c>
      <c r="T46" s="207">
        <v>337</v>
      </c>
      <c r="U46" s="195">
        <v>129</v>
      </c>
      <c r="V46" s="195">
        <v>524</v>
      </c>
      <c r="W46" s="195">
        <v>379</v>
      </c>
      <c r="X46" s="195">
        <v>158</v>
      </c>
      <c r="Y46" s="203">
        <v>377</v>
      </c>
      <c r="Z46" s="207">
        <v>346</v>
      </c>
      <c r="AA46" s="172">
        <v>308</v>
      </c>
      <c r="AB46" s="195">
        <v>297</v>
      </c>
      <c r="AC46" s="195">
        <v>400</v>
      </c>
      <c r="AD46" s="203">
        <v>100</v>
      </c>
      <c r="AE46" s="207"/>
      <c r="AF46" s="195"/>
      <c r="AG46" s="195"/>
      <c r="AH46" s="195"/>
      <c r="AI46" s="203"/>
      <c r="AJ46" s="207"/>
      <c r="AK46" s="203"/>
      <c r="AL46" s="505">
        <f t="shared" si="24"/>
        <v>8306</v>
      </c>
    </row>
    <row r="47" spans="1:38" x14ac:dyDescent="0.25">
      <c r="A47" s="139" t="s">
        <v>0</v>
      </c>
      <c r="B47" s="214">
        <f t="shared" si="25"/>
        <v>44036</v>
      </c>
      <c r="C47" s="243">
        <v>412</v>
      </c>
      <c r="D47" s="195">
        <v>441</v>
      </c>
      <c r="E47" s="195">
        <v>215</v>
      </c>
      <c r="F47" s="195">
        <v>497</v>
      </c>
      <c r="G47" s="244">
        <v>337</v>
      </c>
      <c r="H47" s="195">
        <v>392</v>
      </c>
      <c r="I47" s="203">
        <v>817</v>
      </c>
      <c r="J47" s="207">
        <v>421</v>
      </c>
      <c r="K47" s="195">
        <v>142</v>
      </c>
      <c r="L47" s="203">
        <v>463</v>
      </c>
      <c r="M47" s="207">
        <v>275</v>
      </c>
      <c r="N47" s="195">
        <v>102</v>
      </c>
      <c r="O47" s="195">
        <v>125</v>
      </c>
      <c r="P47" s="195">
        <v>81</v>
      </c>
      <c r="Q47" s="195">
        <v>44</v>
      </c>
      <c r="R47" s="195">
        <v>124</v>
      </c>
      <c r="S47" s="203">
        <v>75</v>
      </c>
      <c r="T47" s="207">
        <v>321</v>
      </c>
      <c r="U47" s="195">
        <v>156</v>
      </c>
      <c r="V47" s="195">
        <v>534</v>
      </c>
      <c r="W47" s="195">
        <v>400</v>
      </c>
      <c r="X47" s="195">
        <v>182</v>
      </c>
      <c r="Y47" s="203">
        <v>366</v>
      </c>
      <c r="Z47" s="207">
        <v>378</v>
      </c>
      <c r="AA47" s="172">
        <v>298</v>
      </c>
      <c r="AB47" s="195">
        <v>384</v>
      </c>
      <c r="AC47" s="195">
        <v>404</v>
      </c>
      <c r="AD47" s="203">
        <v>103</v>
      </c>
      <c r="AE47" s="207"/>
      <c r="AF47" s="195"/>
      <c r="AG47" s="195"/>
      <c r="AH47" s="195"/>
      <c r="AI47" s="203"/>
      <c r="AJ47" s="207"/>
      <c r="AK47" s="203"/>
      <c r="AL47" s="505">
        <f t="shared" si="24"/>
        <v>8489</v>
      </c>
    </row>
    <row r="48" spans="1:38" x14ac:dyDescent="0.25">
      <c r="A48" s="139" t="s">
        <v>1</v>
      </c>
      <c r="B48" s="214">
        <f t="shared" si="25"/>
        <v>44037</v>
      </c>
      <c r="C48" s="243">
        <v>1270</v>
      </c>
      <c r="D48" s="195">
        <v>1530</v>
      </c>
      <c r="E48" s="195">
        <v>399</v>
      </c>
      <c r="F48" s="195">
        <v>1289</v>
      </c>
      <c r="G48" s="244">
        <v>536</v>
      </c>
      <c r="H48" s="195">
        <v>896</v>
      </c>
      <c r="I48" s="203">
        <v>1719</v>
      </c>
      <c r="J48" s="207">
        <v>2951</v>
      </c>
      <c r="K48" s="195">
        <v>567</v>
      </c>
      <c r="L48" s="203">
        <v>3166</v>
      </c>
      <c r="M48" s="207">
        <v>769</v>
      </c>
      <c r="N48" s="195">
        <v>421</v>
      </c>
      <c r="O48" s="195">
        <v>390</v>
      </c>
      <c r="P48" s="195">
        <v>239</v>
      </c>
      <c r="Q48" s="195">
        <v>194</v>
      </c>
      <c r="R48" s="195">
        <v>543</v>
      </c>
      <c r="S48" s="203">
        <v>238</v>
      </c>
      <c r="T48" s="207">
        <v>853</v>
      </c>
      <c r="U48" s="195">
        <v>200</v>
      </c>
      <c r="V48" s="195">
        <v>737</v>
      </c>
      <c r="W48" s="195">
        <v>842</v>
      </c>
      <c r="X48" s="195">
        <v>561</v>
      </c>
      <c r="Y48" s="203">
        <v>916</v>
      </c>
      <c r="Z48" s="207">
        <v>1016</v>
      </c>
      <c r="AA48" s="172">
        <v>432</v>
      </c>
      <c r="AB48" s="195">
        <v>995</v>
      </c>
      <c r="AC48" s="195">
        <v>880</v>
      </c>
      <c r="AD48" s="203">
        <v>235</v>
      </c>
      <c r="AE48" s="207"/>
      <c r="AF48" s="195"/>
      <c r="AG48" s="195"/>
      <c r="AH48" s="195"/>
      <c r="AI48" s="203"/>
      <c r="AJ48" s="207">
        <v>577</v>
      </c>
      <c r="AK48" s="203">
        <v>418</v>
      </c>
      <c r="AL48" s="505">
        <f t="shared" si="24"/>
        <v>25779</v>
      </c>
    </row>
    <row r="49" spans="1:38" ht="15.75" thickBot="1" x14ac:dyDescent="0.3">
      <c r="A49" s="139" t="s">
        <v>2</v>
      </c>
      <c r="B49" s="214">
        <f t="shared" si="25"/>
        <v>44038</v>
      </c>
      <c r="C49" s="243">
        <v>949</v>
      </c>
      <c r="D49" s="195">
        <v>1123</v>
      </c>
      <c r="E49" s="195">
        <v>405</v>
      </c>
      <c r="F49" s="195">
        <v>912</v>
      </c>
      <c r="G49" s="244">
        <v>374</v>
      </c>
      <c r="H49" s="195">
        <v>692</v>
      </c>
      <c r="I49" s="203">
        <v>1167</v>
      </c>
      <c r="J49" s="207">
        <v>2644</v>
      </c>
      <c r="K49" s="195">
        <v>530</v>
      </c>
      <c r="L49" s="203">
        <v>2993</v>
      </c>
      <c r="M49" s="207">
        <v>615</v>
      </c>
      <c r="N49" s="195">
        <v>305</v>
      </c>
      <c r="O49" s="195">
        <v>344</v>
      </c>
      <c r="P49" s="195">
        <v>212</v>
      </c>
      <c r="Q49" s="195">
        <v>166</v>
      </c>
      <c r="R49" s="195">
        <v>438</v>
      </c>
      <c r="S49" s="203">
        <v>186</v>
      </c>
      <c r="T49" s="207">
        <v>816</v>
      </c>
      <c r="U49" s="195">
        <v>171</v>
      </c>
      <c r="V49" s="195">
        <v>583</v>
      </c>
      <c r="W49" s="195">
        <v>676</v>
      </c>
      <c r="X49" s="195">
        <v>415</v>
      </c>
      <c r="Y49" s="203">
        <v>655</v>
      </c>
      <c r="Z49" s="207">
        <v>883</v>
      </c>
      <c r="AA49" s="172">
        <v>331</v>
      </c>
      <c r="AB49" s="195">
        <v>874</v>
      </c>
      <c r="AC49" s="195">
        <v>683</v>
      </c>
      <c r="AD49" s="203">
        <v>272</v>
      </c>
      <c r="AE49" s="207"/>
      <c r="AF49" s="195"/>
      <c r="AG49" s="195"/>
      <c r="AH49" s="195"/>
      <c r="AI49" s="203"/>
      <c r="AJ49" s="207">
        <v>406</v>
      </c>
      <c r="AK49" s="203">
        <v>288</v>
      </c>
      <c r="AL49" s="505">
        <f t="shared" si="24"/>
        <v>21108</v>
      </c>
    </row>
    <row r="50" spans="1:38" ht="15.75" thickBot="1" x14ac:dyDescent="0.3">
      <c r="A50" s="147" t="s">
        <v>20</v>
      </c>
      <c r="B50" s="626" t="s">
        <v>26</v>
      </c>
      <c r="C50" s="208">
        <f>SUM(C43:C49)</f>
        <v>4607</v>
      </c>
      <c r="D50" s="201">
        <f t="shared" ref="D50:AL50" si="26">SUM(D43:D49)</f>
        <v>4888</v>
      </c>
      <c r="E50" s="201">
        <f t="shared" si="26"/>
        <v>1951</v>
      </c>
      <c r="F50" s="201">
        <f t="shared" si="26"/>
        <v>4621</v>
      </c>
      <c r="G50" s="201">
        <f t="shared" si="26"/>
        <v>2610</v>
      </c>
      <c r="H50" s="201">
        <f t="shared" si="26"/>
        <v>3160</v>
      </c>
      <c r="I50" s="427">
        <f t="shared" si="26"/>
        <v>7270</v>
      </c>
      <c r="J50" s="208">
        <f t="shared" si="26"/>
        <v>9562</v>
      </c>
      <c r="K50" s="201">
        <f t="shared" si="26"/>
        <v>2127</v>
      </c>
      <c r="L50" s="427">
        <f t="shared" si="26"/>
        <v>10317</v>
      </c>
      <c r="M50" s="208">
        <f t="shared" si="26"/>
        <v>2791</v>
      </c>
      <c r="N50" s="201">
        <f t="shared" si="26"/>
        <v>1325</v>
      </c>
      <c r="O50" s="201">
        <f t="shared" si="26"/>
        <v>1582</v>
      </c>
      <c r="P50" s="201">
        <f t="shared" si="26"/>
        <v>896</v>
      </c>
      <c r="Q50" s="201">
        <f t="shared" si="26"/>
        <v>727</v>
      </c>
      <c r="R50" s="201">
        <f t="shared" si="26"/>
        <v>1940</v>
      </c>
      <c r="S50" s="427">
        <f t="shared" si="26"/>
        <v>808</v>
      </c>
      <c r="T50" s="208">
        <f t="shared" si="26"/>
        <v>3403</v>
      </c>
      <c r="U50" s="201">
        <f t="shared" si="26"/>
        <v>1152</v>
      </c>
      <c r="V50" s="201">
        <f t="shared" si="26"/>
        <v>4184</v>
      </c>
      <c r="W50" s="201">
        <f t="shared" si="26"/>
        <v>3669</v>
      </c>
      <c r="X50" s="201">
        <f t="shared" si="26"/>
        <v>1890</v>
      </c>
      <c r="Y50" s="427">
        <f t="shared" si="26"/>
        <v>3532</v>
      </c>
      <c r="Z50" s="208">
        <f t="shared" si="26"/>
        <v>3975</v>
      </c>
      <c r="AA50" s="201">
        <f t="shared" si="26"/>
        <v>2385</v>
      </c>
      <c r="AB50" s="201">
        <f t="shared" si="26"/>
        <v>3687</v>
      </c>
      <c r="AC50" s="201">
        <f t="shared" si="26"/>
        <v>3831</v>
      </c>
      <c r="AD50" s="427">
        <f t="shared" si="26"/>
        <v>1127</v>
      </c>
      <c r="AE50" s="208">
        <f t="shared" si="26"/>
        <v>0</v>
      </c>
      <c r="AF50" s="201">
        <f t="shared" si="26"/>
        <v>0</v>
      </c>
      <c r="AG50" s="201">
        <f t="shared" si="26"/>
        <v>0</v>
      </c>
      <c r="AH50" s="201">
        <f t="shared" si="26"/>
        <v>0</v>
      </c>
      <c r="AI50" s="427">
        <f t="shared" si="26"/>
        <v>0</v>
      </c>
      <c r="AJ50" s="208">
        <f t="shared" si="26"/>
        <v>983</v>
      </c>
      <c r="AK50" s="427">
        <f t="shared" si="26"/>
        <v>706</v>
      </c>
      <c r="AL50" s="436">
        <f t="shared" si="26"/>
        <v>95706</v>
      </c>
    </row>
    <row r="51" spans="1:38" ht="15.75" thickBot="1" x14ac:dyDescent="0.3">
      <c r="A51" s="102" t="s">
        <v>22</v>
      </c>
      <c r="B51" s="626"/>
      <c r="C51" s="208">
        <f>AVERAGE(C43:C49)</f>
        <v>658.14285714285711</v>
      </c>
      <c r="D51" s="201">
        <f t="shared" ref="D51:AL51" si="27">AVERAGE(D43:D49)</f>
        <v>698.28571428571433</v>
      </c>
      <c r="E51" s="201">
        <f t="shared" si="27"/>
        <v>278.71428571428572</v>
      </c>
      <c r="F51" s="201">
        <f t="shared" si="27"/>
        <v>660.14285714285711</v>
      </c>
      <c r="G51" s="201">
        <f t="shared" si="27"/>
        <v>372.85714285714283</v>
      </c>
      <c r="H51" s="201">
        <f t="shared" si="27"/>
        <v>451.42857142857144</v>
      </c>
      <c r="I51" s="427">
        <f t="shared" si="27"/>
        <v>1038.5714285714287</v>
      </c>
      <c r="J51" s="208">
        <f t="shared" si="27"/>
        <v>1366</v>
      </c>
      <c r="K51" s="201">
        <f t="shared" si="27"/>
        <v>303.85714285714283</v>
      </c>
      <c r="L51" s="427">
        <f t="shared" si="27"/>
        <v>1473.8571428571429</v>
      </c>
      <c r="M51" s="208">
        <f t="shared" si="27"/>
        <v>398.71428571428572</v>
      </c>
      <c r="N51" s="201">
        <f t="shared" si="27"/>
        <v>189.28571428571428</v>
      </c>
      <c r="O51" s="201">
        <f t="shared" si="27"/>
        <v>226</v>
      </c>
      <c r="P51" s="201">
        <f t="shared" si="27"/>
        <v>128</v>
      </c>
      <c r="Q51" s="201">
        <f t="shared" si="27"/>
        <v>103.85714285714286</v>
      </c>
      <c r="R51" s="201">
        <f t="shared" si="27"/>
        <v>277.14285714285717</v>
      </c>
      <c r="S51" s="427">
        <f t="shared" si="27"/>
        <v>115.42857142857143</v>
      </c>
      <c r="T51" s="208">
        <f t="shared" si="27"/>
        <v>486.14285714285717</v>
      </c>
      <c r="U51" s="201">
        <f t="shared" si="27"/>
        <v>164.57142857142858</v>
      </c>
      <c r="V51" s="201">
        <f t="shared" si="27"/>
        <v>597.71428571428567</v>
      </c>
      <c r="W51" s="201">
        <f t="shared" si="27"/>
        <v>524.14285714285711</v>
      </c>
      <c r="X51" s="201">
        <f t="shared" si="27"/>
        <v>270</v>
      </c>
      <c r="Y51" s="427">
        <f t="shared" si="27"/>
        <v>504.57142857142856</v>
      </c>
      <c r="Z51" s="208">
        <f t="shared" si="27"/>
        <v>567.85714285714289</v>
      </c>
      <c r="AA51" s="201">
        <f t="shared" si="27"/>
        <v>340.71428571428572</v>
      </c>
      <c r="AB51" s="201">
        <f t="shared" si="27"/>
        <v>526.71428571428567</v>
      </c>
      <c r="AC51" s="201">
        <f t="shared" si="27"/>
        <v>547.28571428571433</v>
      </c>
      <c r="AD51" s="427">
        <f t="shared" si="27"/>
        <v>161</v>
      </c>
      <c r="AE51" s="208" t="e">
        <f t="shared" si="27"/>
        <v>#DIV/0!</v>
      </c>
      <c r="AF51" s="201" t="e">
        <f t="shared" si="27"/>
        <v>#DIV/0!</v>
      </c>
      <c r="AG51" s="201" t="e">
        <f t="shared" si="27"/>
        <v>#DIV/0!</v>
      </c>
      <c r="AH51" s="201" t="e">
        <f t="shared" si="27"/>
        <v>#DIV/0!</v>
      </c>
      <c r="AI51" s="427" t="e">
        <f t="shared" si="27"/>
        <v>#DIV/0!</v>
      </c>
      <c r="AJ51" s="208">
        <f t="shared" si="27"/>
        <v>491.5</v>
      </c>
      <c r="AK51" s="427">
        <f t="shared" si="27"/>
        <v>353</v>
      </c>
      <c r="AL51" s="436">
        <f t="shared" si="27"/>
        <v>13672.285714285714</v>
      </c>
    </row>
    <row r="52" spans="1:38" ht="15.75" thickBot="1" x14ac:dyDescent="0.3">
      <c r="A52" s="26" t="s">
        <v>19</v>
      </c>
      <c r="B52" s="626"/>
      <c r="C52" s="209">
        <f t="shared" ref="C52" si="28">SUM(C43:C47)</f>
        <v>2388</v>
      </c>
      <c r="D52" s="202">
        <f t="shared" ref="D52:AL52" si="29">SUM(D43:D47)</f>
        <v>2235</v>
      </c>
      <c r="E52" s="202">
        <f t="shared" si="29"/>
        <v>1147</v>
      </c>
      <c r="F52" s="202">
        <f t="shared" si="29"/>
        <v>2420</v>
      </c>
      <c r="G52" s="202">
        <f t="shared" si="29"/>
        <v>1700</v>
      </c>
      <c r="H52" s="202">
        <f t="shared" si="29"/>
        <v>1572</v>
      </c>
      <c r="I52" s="429">
        <f t="shared" si="29"/>
        <v>4384</v>
      </c>
      <c r="J52" s="209">
        <f t="shared" si="29"/>
        <v>3967</v>
      </c>
      <c r="K52" s="202">
        <f t="shared" si="29"/>
        <v>1030</v>
      </c>
      <c r="L52" s="429">
        <f t="shared" si="29"/>
        <v>4158</v>
      </c>
      <c r="M52" s="209">
        <f t="shared" si="29"/>
        <v>1407</v>
      </c>
      <c r="N52" s="202">
        <f t="shared" si="29"/>
        <v>599</v>
      </c>
      <c r="O52" s="202">
        <f t="shared" si="29"/>
        <v>848</v>
      </c>
      <c r="P52" s="202">
        <f t="shared" si="29"/>
        <v>445</v>
      </c>
      <c r="Q52" s="202">
        <f t="shared" si="29"/>
        <v>367</v>
      </c>
      <c r="R52" s="202">
        <f t="shared" si="29"/>
        <v>959</v>
      </c>
      <c r="S52" s="429">
        <f t="shared" si="29"/>
        <v>384</v>
      </c>
      <c r="T52" s="209">
        <f t="shared" si="29"/>
        <v>1734</v>
      </c>
      <c r="U52" s="202">
        <f t="shared" si="29"/>
        <v>781</v>
      </c>
      <c r="V52" s="202">
        <f t="shared" si="29"/>
        <v>2864</v>
      </c>
      <c r="W52" s="202">
        <f t="shared" si="29"/>
        <v>2151</v>
      </c>
      <c r="X52" s="202">
        <f t="shared" si="29"/>
        <v>914</v>
      </c>
      <c r="Y52" s="429">
        <f t="shared" si="29"/>
        <v>1961</v>
      </c>
      <c r="Z52" s="209">
        <f t="shared" si="29"/>
        <v>2076</v>
      </c>
      <c r="AA52" s="202">
        <f t="shared" si="29"/>
        <v>1622</v>
      </c>
      <c r="AB52" s="202">
        <f t="shared" si="29"/>
        <v>1818</v>
      </c>
      <c r="AC52" s="202">
        <f t="shared" si="29"/>
        <v>2268</v>
      </c>
      <c r="AD52" s="429">
        <f t="shared" si="29"/>
        <v>620</v>
      </c>
      <c r="AE52" s="209">
        <f t="shared" si="29"/>
        <v>0</v>
      </c>
      <c r="AF52" s="202">
        <f t="shared" si="29"/>
        <v>0</v>
      </c>
      <c r="AG52" s="202">
        <f t="shared" si="29"/>
        <v>0</v>
      </c>
      <c r="AH52" s="202">
        <f t="shared" si="29"/>
        <v>0</v>
      </c>
      <c r="AI52" s="429">
        <f t="shared" si="29"/>
        <v>0</v>
      </c>
      <c r="AJ52" s="209">
        <f t="shared" si="29"/>
        <v>0</v>
      </c>
      <c r="AK52" s="429">
        <f t="shared" si="29"/>
        <v>0</v>
      </c>
      <c r="AL52" s="443">
        <f t="shared" si="29"/>
        <v>48819</v>
      </c>
    </row>
    <row r="53" spans="1:38" ht="15.75" thickBot="1" x14ac:dyDescent="0.3">
      <c r="A53" s="26" t="s">
        <v>21</v>
      </c>
      <c r="B53" s="626"/>
      <c r="C53" s="209">
        <f>AVERAGE(C43:C47)</f>
        <v>477.6</v>
      </c>
      <c r="D53" s="202">
        <f t="shared" ref="D53:AL53" si="30">AVERAGE(D43:D47)</f>
        <v>447</v>
      </c>
      <c r="E53" s="202">
        <f t="shared" si="30"/>
        <v>229.4</v>
      </c>
      <c r="F53" s="202">
        <f t="shared" si="30"/>
        <v>484</v>
      </c>
      <c r="G53" s="202">
        <f t="shared" si="30"/>
        <v>340</v>
      </c>
      <c r="H53" s="202">
        <f t="shared" si="30"/>
        <v>314.39999999999998</v>
      </c>
      <c r="I53" s="429">
        <f t="shared" si="30"/>
        <v>876.8</v>
      </c>
      <c r="J53" s="209">
        <f t="shared" si="30"/>
        <v>793.4</v>
      </c>
      <c r="K53" s="202">
        <f t="shared" si="30"/>
        <v>206</v>
      </c>
      <c r="L53" s="429">
        <f t="shared" si="30"/>
        <v>831.6</v>
      </c>
      <c r="M53" s="209">
        <f t="shared" si="30"/>
        <v>281.39999999999998</v>
      </c>
      <c r="N53" s="202">
        <f t="shared" si="30"/>
        <v>119.8</v>
      </c>
      <c r="O53" s="202">
        <f t="shared" si="30"/>
        <v>169.6</v>
      </c>
      <c r="P53" s="202">
        <f t="shared" si="30"/>
        <v>89</v>
      </c>
      <c r="Q53" s="202">
        <f t="shared" si="30"/>
        <v>73.400000000000006</v>
      </c>
      <c r="R53" s="202">
        <f t="shared" si="30"/>
        <v>191.8</v>
      </c>
      <c r="S53" s="429">
        <f t="shared" si="30"/>
        <v>76.8</v>
      </c>
      <c r="T53" s="209">
        <f t="shared" si="30"/>
        <v>346.8</v>
      </c>
      <c r="U53" s="202">
        <f t="shared" si="30"/>
        <v>156.19999999999999</v>
      </c>
      <c r="V53" s="202">
        <f t="shared" si="30"/>
        <v>572.79999999999995</v>
      </c>
      <c r="W53" s="202">
        <f t="shared" si="30"/>
        <v>430.2</v>
      </c>
      <c r="X53" s="202">
        <f t="shared" si="30"/>
        <v>182.8</v>
      </c>
      <c r="Y53" s="429">
        <f t="shared" si="30"/>
        <v>392.2</v>
      </c>
      <c r="Z53" s="209">
        <f t="shared" si="30"/>
        <v>415.2</v>
      </c>
      <c r="AA53" s="202">
        <f t="shared" si="30"/>
        <v>324.39999999999998</v>
      </c>
      <c r="AB53" s="202">
        <f t="shared" si="30"/>
        <v>363.6</v>
      </c>
      <c r="AC53" s="202">
        <f t="shared" si="30"/>
        <v>453.6</v>
      </c>
      <c r="AD53" s="429">
        <f t="shared" si="30"/>
        <v>124</v>
      </c>
      <c r="AE53" s="209" t="e">
        <f t="shared" si="30"/>
        <v>#DIV/0!</v>
      </c>
      <c r="AF53" s="202" t="e">
        <f t="shared" si="30"/>
        <v>#DIV/0!</v>
      </c>
      <c r="AG53" s="202" t="e">
        <f t="shared" si="30"/>
        <v>#DIV/0!</v>
      </c>
      <c r="AH53" s="202" t="e">
        <f t="shared" si="30"/>
        <v>#DIV/0!</v>
      </c>
      <c r="AI53" s="429" t="e">
        <f t="shared" si="30"/>
        <v>#DIV/0!</v>
      </c>
      <c r="AJ53" s="209" t="e">
        <f t="shared" si="30"/>
        <v>#DIV/0!</v>
      </c>
      <c r="AK53" s="429" t="e">
        <f t="shared" si="30"/>
        <v>#DIV/0!</v>
      </c>
      <c r="AL53" s="443">
        <f t="shared" si="30"/>
        <v>9763.7999999999993</v>
      </c>
    </row>
    <row r="54" spans="1:38" x14ac:dyDescent="0.25">
      <c r="A54" s="139" t="s">
        <v>3</v>
      </c>
      <c r="B54" s="214">
        <f>B49+1</f>
        <v>44039</v>
      </c>
      <c r="C54" s="243">
        <v>546</v>
      </c>
      <c r="D54" s="195">
        <v>444</v>
      </c>
      <c r="E54" s="195">
        <v>219</v>
      </c>
      <c r="F54" s="195">
        <v>534</v>
      </c>
      <c r="G54" s="244">
        <v>331</v>
      </c>
      <c r="H54" s="195">
        <v>388</v>
      </c>
      <c r="I54" s="203">
        <v>951</v>
      </c>
      <c r="J54" s="207">
        <v>1602</v>
      </c>
      <c r="K54" s="195">
        <v>321</v>
      </c>
      <c r="L54" s="203">
        <v>1580</v>
      </c>
      <c r="M54" s="207">
        <v>298</v>
      </c>
      <c r="N54" s="195">
        <v>114</v>
      </c>
      <c r="O54" s="195">
        <v>159</v>
      </c>
      <c r="P54" s="195">
        <v>71</v>
      </c>
      <c r="Q54" s="195">
        <v>75</v>
      </c>
      <c r="R54" s="195">
        <v>210</v>
      </c>
      <c r="S54" s="203">
        <v>66</v>
      </c>
      <c r="T54" s="207">
        <v>399</v>
      </c>
      <c r="U54" s="195">
        <v>163</v>
      </c>
      <c r="V54" s="195">
        <v>545</v>
      </c>
      <c r="W54" s="195">
        <v>430</v>
      </c>
      <c r="X54" s="195">
        <v>189</v>
      </c>
      <c r="Y54" s="203">
        <v>388</v>
      </c>
      <c r="Z54" s="207">
        <v>501</v>
      </c>
      <c r="AA54" s="172">
        <v>374</v>
      </c>
      <c r="AB54" s="195">
        <v>449</v>
      </c>
      <c r="AC54" s="195">
        <v>472</v>
      </c>
      <c r="AD54" s="203">
        <v>132</v>
      </c>
      <c r="AE54" s="207"/>
      <c r="AF54" s="195"/>
      <c r="AG54" s="195"/>
      <c r="AH54" s="195"/>
      <c r="AI54" s="203"/>
      <c r="AJ54" s="207"/>
      <c r="AK54" s="203"/>
      <c r="AL54" s="505">
        <f t="shared" ref="AL54:AL59" si="31">SUM(C54:AK54)</f>
        <v>11951</v>
      </c>
    </row>
    <row r="55" spans="1:38" x14ac:dyDescent="0.25">
      <c r="A55" s="139" t="s">
        <v>4</v>
      </c>
      <c r="B55" s="214">
        <f t="shared" ref="B55:B60" si="32">B54+1</f>
        <v>44040</v>
      </c>
      <c r="C55" s="243">
        <v>525</v>
      </c>
      <c r="D55" s="195">
        <v>486</v>
      </c>
      <c r="E55" s="195">
        <v>220</v>
      </c>
      <c r="F55" s="195">
        <v>527</v>
      </c>
      <c r="G55" s="244">
        <v>352</v>
      </c>
      <c r="H55" s="195">
        <v>342</v>
      </c>
      <c r="I55" s="203">
        <v>947</v>
      </c>
      <c r="J55" s="207">
        <v>677</v>
      </c>
      <c r="K55" s="195">
        <v>221</v>
      </c>
      <c r="L55" s="203">
        <v>715</v>
      </c>
      <c r="M55" s="207">
        <v>311</v>
      </c>
      <c r="N55" s="195">
        <v>117</v>
      </c>
      <c r="O55" s="195">
        <v>168</v>
      </c>
      <c r="P55" s="195">
        <v>75</v>
      </c>
      <c r="Q55" s="195">
        <v>74</v>
      </c>
      <c r="R55" s="195">
        <v>161</v>
      </c>
      <c r="S55" s="203">
        <v>54</v>
      </c>
      <c r="T55" s="207">
        <v>388</v>
      </c>
      <c r="U55" s="195">
        <v>177</v>
      </c>
      <c r="V55" s="195">
        <v>614</v>
      </c>
      <c r="W55" s="195">
        <v>431</v>
      </c>
      <c r="X55" s="195">
        <v>219</v>
      </c>
      <c r="Y55" s="203">
        <v>413</v>
      </c>
      <c r="Z55" s="207">
        <v>441</v>
      </c>
      <c r="AA55" s="172">
        <v>370</v>
      </c>
      <c r="AB55" s="195">
        <v>392</v>
      </c>
      <c r="AC55" s="195">
        <v>472</v>
      </c>
      <c r="AD55" s="203">
        <v>111</v>
      </c>
      <c r="AE55" s="207"/>
      <c r="AF55" s="195"/>
      <c r="AG55" s="195"/>
      <c r="AH55" s="195"/>
      <c r="AI55" s="203"/>
      <c r="AJ55" s="207"/>
      <c r="AK55" s="203"/>
      <c r="AL55" s="505">
        <f t="shared" si="31"/>
        <v>10000</v>
      </c>
    </row>
    <row r="56" spans="1:38" x14ac:dyDescent="0.25">
      <c r="A56" s="139" t="s">
        <v>5</v>
      </c>
      <c r="B56" s="214">
        <f t="shared" si="32"/>
        <v>44041</v>
      </c>
      <c r="C56" s="243">
        <v>716</v>
      </c>
      <c r="D56" s="195">
        <v>620</v>
      </c>
      <c r="E56" s="195">
        <v>276</v>
      </c>
      <c r="F56" s="195">
        <v>716</v>
      </c>
      <c r="G56" s="244">
        <v>407</v>
      </c>
      <c r="H56" s="195">
        <v>448</v>
      </c>
      <c r="I56" s="203">
        <v>1125</v>
      </c>
      <c r="J56" s="207">
        <v>1440</v>
      </c>
      <c r="K56" s="195">
        <v>340</v>
      </c>
      <c r="L56" s="203">
        <v>1542</v>
      </c>
      <c r="M56" s="207">
        <v>355</v>
      </c>
      <c r="N56" s="195">
        <v>154</v>
      </c>
      <c r="O56" s="195">
        <v>236</v>
      </c>
      <c r="P56" s="195">
        <v>114</v>
      </c>
      <c r="Q56" s="195">
        <v>94</v>
      </c>
      <c r="R56" s="195">
        <v>259</v>
      </c>
      <c r="S56" s="203">
        <v>74</v>
      </c>
      <c r="T56" s="207">
        <v>491</v>
      </c>
      <c r="U56" s="195">
        <v>212</v>
      </c>
      <c r="V56" s="195">
        <v>682</v>
      </c>
      <c r="W56" s="195">
        <v>470</v>
      </c>
      <c r="X56" s="195">
        <v>270</v>
      </c>
      <c r="Y56" s="203">
        <v>499</v>
      </c>
      <c r="Z56" s="207">
        <v>675</v>
      </c>
      <c r="AA56" s="172">
        <v>349</v>
      </c>
      <c r="AB56" s="195">
        <v>603</v>
      </c>
      <c r="AC56" s="195">
        <v>589</v>
      </c>
      <c r="AD56" s="203">
        <v>155</v>
      </c>
      <c r="AE56" s="207"/>
      <c r="AF56" s="195"/>
      <c r="AG56" s="195"/>
      <c r="AH56" s="195"/>
      <c r="AI56" s="203"/>
      <c r="AJ56" s="207"/>
      <c r="AK56" s="203"/>
      <c r="AL56" s="505">
        <f t="shared" si="31"/>
        <v>13911</v>
      </c>
    </row>
    <row r="57" spans="1:38" x14ac:dyDescent="0.25">
      <c r="A57" s="139" t="s">
        <v>6</v>
      </c>
      <c r="B57" s="214">
        <f t="shared" si="32"/>
        <v>44042</v>
      </c>
      <c r="C57" s="243">
        <v>538</v>
      </c>
      <c r="D57" s="195">
        <v>590</v>
      </c>
      <c r="E57" s="195">
        <v>229</v>
      </c>
      <c r="F57" s="195">
        <v>589</v>
      </c>
      <c r="G57" s="244">
        <v>408</v>
      </c>
      <c r="H57" s="195">
        <v>478</v>
      </c>
      <c r="I57" s="203">
        <v>1023</v>
      </c>
      <c r="J57" s="207">
        <v>929</v>
      </c>
      <c r="K57" s="195">
        <v>248</v>
      </c>
      <c r="L57" s="203">
        <v>994</v>
      </c>
      <c r="M57" s="207">
        <v>346</v>
      </c>
      <c r="N57" s="195">
        <v>125</v>
      </c>
      <c r="O57" s="195">
        <v>247</v>
      </c>
      <c r="P57" s="195">
        <v>94</v>
      </c>
      <c r="Q57" s="195">
        <v>69</v>
      </c>
      <c r="R57" s="195">
        <v>272</v>
      </c>
      <c r="S57" s="203">
        <v>95</v>
      </c>
      <c r="T57" s="207">
        <v>427</v>
      </c>
      <c r="U57" s="195">
        <v>214</v>
      </c>
      <c r="V57" s="195">
        <v>653</v>
      </c>
      <c r="W57" s="195">
        <v>482</v>
      </c>
      <c r="X57" s="195">
        <v>206</v>
      </c>
      <c r="Y57" s="203">
        <v>445</v>
      </c>
      <c r="Z57" s="207">
        <v>542</v>
      </c>
      <c r="AA57" s="172">
        <v>371</v>
      </c>
      <c r="AB57" s="195">
        <v>420</v>
      </c>
      <c r="AC57" s="195">
        <v>528</v>
      </c>
      <c r="AD57" s="203">
        <v>138</v>
      </c>
      <c r="AE57" s="207"/>
      <c r="AF57" s="195"/>
      <c r="AG57" s="195"/>
      <c r="AH57" s="195"/>
      <c r="AI57" s="203"/>
      <c r="AJ57" s="207"/>
      <c r="AK57" s="203"/>
      <c r="AL57" s="505">
        <f t="shared" si="31"/>
        <v>11700</v>
      </c>
    </row>
    <row r="58" spans="1:38" ht="15.75" thickBot="1" x14ac:dyDescent="0.3">
      <c r="A58" s="139" t="s">
        <v>0</v>
      </c>
      <c r="B58" s="214">
        <f t="shared" si="32"/>
        <v>44043</v>
      </c>
      <c r="C58" s="360">
        <v>559</v>
      </c>
      <c r="D58" s="195">
        <v>641</v>
      </c>
      <c r="E58" s="195">
        <v>273</v>
      </c>
      <c r="F58" s="195">
        <v>552</v>
      </c>
      <c r="G58" s="195">
        <v>379</v>
      </c>
      <c r="H58" s="195">
        <v>408</v>
      </c>
      <c r="I58" s="203">
        <v>1029</v>
      </c>
      <c r="J58" s="207">
        <v>591</v>
      </c>
      <c r="K58" s="195">
        <v>206</v>
      </c>
      <c r="L58" s="203">
        <v>525</v>
      </c>
      <c r="M58" s="207">
        <v>347</v>
      </c>
      <c r="N58" s="195">
        <v>167</v>
      </c>
      <c r="O58" s="195">
        <v>225</v>
      </c>
      <c r="P58" s="195">
        <v>73</v>
      </c>
      <c r="Q58" s="195">
        <v>107</v>
      </c>
      <c r="R58" s="195">
        <v>383</v>
      </c>
      <c r="S58" s="203">
        <v>99</v>
      </c>
      <c r="T58" s="207">
        <v>460</v>
      </c>
      <c r="U58" s="195">
        <v>155</v>
      </c>
      <c r="V58" s="195">
        <v>599</v>
      </c>
      <c r="W58" s="195">
        <v>481</v>
      </c>
      <c r="X58" s="195">
        <v>303</v>
      </c>
      <c r="Y58" s="203">
        <v>454</v>
      </c>
      <c r="Z58" s="207">
        <v>499</v>
      </c>
      <c r="AA58" s="172">
        <v>301</v>
      </c>
      <c r="AB58" s="195">
        <v>428</v>
      </c>
      <c r="AC58" s="195">
        <v>523</v>
      </c>
      <c r="AD58" s="203">
        <v>115</v>
      </c>
      <c r="AE58" s="207"/>
      <c r="AF58" s="195"/>
      <c r="AG58" s="195"/>
      <c r="AH58" s="195"/>
      <c r="AI58" s="203"/>
      <c r="AJ58" s="207"/>
      <c r="AK58" s="203"/>
      <c r="AL58" s="505">
        <f t="shared" si="31"/>
        <v>10882</v>
      </c>
    </row>
    <row r="59" spans="1:38" ht="15.75" hidden="1" thickBot="1" x14ac:dyDescent="0.3">
      <c r="A59" s="139" t="s">
        <v>1</v>
      </c>
      <c r="B59" s="214">
        <f t="shared" si="32"/>
        <v>44044</v>
      </c>
      <c r="C59" s="207"/>
      <c r="D59" s="195"/>
      <c r="E59" s="195"/>
      <c r="F59" s="195"/>
      <c r="G59" s="195"/>
      <c r="H59" s="195"/>
      <c r="I59" s="203"/>
      <c r="J59" s="207"/>
      <c r="K59" s="195"/>
      <c r="L59" s="203"/>
      <c r="M59" s="207"/>
      <c r="N59" s="195"/>
      <c r="O59" s="195"/>
      <c r="P59" s="195"/>
      <c r="Q59" s="195"/>
      <c r="R59" s="195"/>
      <c r="S59" s="203"/>
      <c r="T59" s="207"/>
      <c r="U59" s="195"/>
      <c r="V59" s="195"/>
      <c r="W59" s="195"/>
      <c r="X59" s="195"/>
      <c r="Y59" s="203"/>
      <c r="Z59" s="207"/>
      <c r="AA59" s="172"/>
      <c r="AB59" s="195"/>
      <c r="AC59" s="195"/>
      <c r="AD59" s="203"/>
      <c r="AE59" s="207"/>
      <c r="AF59" s="195"/>
      <c r="AG59" s="195"/>
      <c r="AH59" s="195"/>
      <c r="AI59" s="203"/>
      <c r="AJ59" s="207"/>
      <c r="AK59" s="203"/>
      <c r="AL59" s="505">
        <f t="shared" si="31"/>
        <v>0</v>
      </c>
    </row>
    <row r="60" spans="1:38" ht="15.75" hidden="1" thickBot="1" x14ac:dyDescent="0.3">
      <c r="A60" s="139" t="s">
        <v>2</v>
      </c>
      <c r="B60" s="214">
        <f t="shared" si="32"/>
        <v>44045</v>
      </c>
      <c r="C60" s="207"/>
      <c r="D60" s="195"/>
      <c r="E60" s="195"/>
      <c r="F60" s="195"/>
      <c r="G60" s="195"/>
      <c r="H60" s="195"/>
      <c r="I60" s="203"/>
      <c r="J60" s="207"/>
      <c r="K60" s="195"/>
      <c r="L60" s="203"/>
      <c r="M60" s="207"/>
      <c r="N60" s="195"/>
      <c r="O60" s="195"/>
      <c r="P60" s="195"/>
      <c r="Q60" s="195"/>
      <c r="R60" s="195"/>
      <c r="S60" s="203"/>
      <c r="T60" s="207"/>
      <c r="U60" s="195"/>
      <c r="V60" s="195"/>
      <c r="W60" s="195"/>
      <c r="X60" s="195"/>
      <c r="Y60" s="203"/>
      <c r="Z60" s="207"/>
      <c r="AA60" s="172"/>
      <c r="AB60" s="195"/>
      <c r="AC60" s="195"/>
      <c r="AD60" s="203"/>
      <c r="AE60" s="207"/>
      <c r="AF60" s="195"/>
      <c r="AG60" s="195"/>
      <c r="AH60" s="195"/>
      <c r="AI60" s="203"/>
      <c r="AJ60" s="207"/>
      <c r="AK60" s="203"/>
      <c r="AL60" s="505"/>
    </row>
    <row r="61" spans="1:38" ht="15.75" thickBot="1" x14ac:dyDescent="0.3">
      <c r="A61" s="147" t="s">
        <v>20</v>
      </c>
      <c r="B61" s="626" t="s">
        <v>27</v>
      </c>
      <c r="C61" s="208">
        <f t="shared" ref="C61" si="33">SUM(C54:C59)</f>
        <v>2884</v>
      </c>
      <c r="D61" s="201">
        <f t="shared" ref="D61:AL61" si="34">SUM(D54:D59)</f>
        <v>2781</v>
      </c>
      <c r="E61" s="201">
        <f t="shared" si="34"/>
        <v>1217</v>
      </c>
      <c r="F61" s="201">
        <f t="shared" si="34"/>
        <v>2918</v>
      </c>
      <c r="G61" s="201">
        <f t="shared" si="34"/>
        <v>1877</v>
      </c>
      <c r="H61" s="201">
        <f t="shared" si="34"/>
        <v>2064</v>
      </c>
      <c r="I61" s="427">
        <f t="shared" si="34"/>
        <v>5075</v>
      </c>
      <c r="J61" s="208">
        <f t="shared" si="34"/>
        <v>5239</v>
      </c>
      <c r="K61" s="201">
        <f t="shared" si="34"/>
        <v>1336</v>
      </c>
      <c r="L61" s="427">
        <f t="shared" si="34"/>
        <v>5356</v>
      </c>
      <c r="M61" s="208">
        <f t="shared" si="34"/>
        <v>1657</v>
      </c>
      <c r="N61" s="201">
        <f t="shared" si="34"/>
        <v>677</v>
      </c>
      <c r="O61" s="201">
        <f t="shared" si="34"/>
        <v>1035</v>
      </c>
      <c r="P61" s="201">
        <f t="shared" si="34"/>
        <v>427</v>
      </c>
      <c r="Q61" s="201">
        <f t="shared" si="34"/>
        <v>419</v>
      </c>
      <c r="R61" s="201">
        <f t="shared" si="34"/>
        <v>1285</v>
      </c>
      <c r="S61" s="427">
        <f t="shared" si="34"/>
        <v>388</v>
      </c>
      <c r="T61" s="208">
        <f t="shared" si="34"/>
        <v>2165</v>
      </c>
      <c r="U61" s="201">
        <f t="shared" si="34"/>
        <v>921</v>
      </c>
      <c r="V61" s="201">
        <f t="shared" si="34"/>
        <v>3093</v>
      </c>
      <c r="W61" s="201">
        <f t="shared" si="34"/>
        <v>2294</v>
      </c>
      <c r="X61" s="201">
        <f t="shared" si="34"/>
        <v>1187</v>
      </c>
      <c r="Y61" s="427">
        <f t="shared" si="34"/>
        <v>2199</v>
      </c>
      <c r="Z61" s="208">
        <f t="shared" si="34"/>
        <v>2658</v>
      </c>
      <c r="AA61" s="201">
        <f t="shared" si="34"/>
        <v>1765</v>
      </c>
      <c r="AB61" s="201">
        <f t="shared" si="34"/>
        <v>2292</v>
      </c>
      <c r="AC61" s="201">
        <f t="shared" si="34"/>
        <v>2584</v>
      </c>
      <c r="AD61" s="427">
        <f t="shared" si="34"/>
        <v>651</v>
      </c>
      <c r="AE61" s="208">
        <f t="shared" si="34"/>
        <v>0</v>
      </c>
      <c r="AF61" s="201">
        <f t="shared" si="34"/>
        <v>0</v>
      </c>
      <c r="AG61" s="201">
        <f t="shared" si="34"/>
        <v>0</v>
      </c>
      <c r="AH61" s="201">
        <f t="shared" si="34"/>
        <v>0</v>
      </c>
      <c r="AI61" s="427">
        <f t="shared" si="34"/>
        <v>0</v>
      </c>
      <c r="AJ61" s="208">
        <f t="shared" si="34"/>
        <v>0</v>
      </c>
      <c r="AK61" s="427">
        <f t="shared" si="34"/>
        <v>0</v>
      </c>
      <c r="AL61" s="436">
        <f t="shared" si="34"/>
        <v>58444</v>
      </c>
    </row>
    <row r="62" spans="1:38" ht="15.75" thickBot="1" x14ac:dyDescent="0.3">
      <c r="A62" s="102" t="s">
        <v>22</v>
      </c>
      <c r="B62" s="626"/>
      <c r="C62" s="208">
        <f t="shared" ref="C62" si="35">AVERAGE(C54:C59)</f>
        <v>576.79999999999995</v>
      </c>
      <c r="D62" s="201">
        <f t="shared" ref="D62:AL62" si="36">AVERAGE(D54:D59)</f>
        <v>556.20000000000005</v>
      </c>
      <c r="E62" s="201">
        <f t="shared" si="36"/>
        <v>243.4</v>
      </c>
      <c r="F62" s="201">
        <f t="shared" si="36"/>
        <v>583.6</v>
      </c>
      <c r="G62" s="201">
        <f t="shared" si="36"/>
        <v>375.4</v>
      </c>
      <c r="H62" s="201">
        <f t="shared" si="36"/>
        <v>412.8</v>
      </c>
      <c r="I62" s="427">
        <f t="shared" si="36"/>
        <v>1015</v>
      </c>
      <c r="J62" s="208">
        <f t="shared" si="36"/>
        <v>1047.8</v>
      </c>
      <c r="K62" s="201">
        <f t="shared" si="36"/>
        <v>267.2</v>
      </c>
      <c r="L62" s="427">
        <f t="shared" si="36"/>
        <v>1071.2</v>
      </c>
      <c r="M62" s="208">
        <f t="shared" si="36"/>
        <v>331.4</v>
      </c>
      <c r="N62" s="201">
        <f t="shared" si="36"/>
        <v>135.4</v>
      </c>
      <c r="O62" s="201">
        <f t="shared" si="36"/>
        <v>207</v>
      </c>
      <c r="P62" s="201">
        <f t="shared" si="36"/>
        <v>85.4</v>
      </c>
      <c r="Q62" s="201">
        <f t="shared" si="36"/>
        <v>83.8</v>
      </c>
      <c r="R62" s="201">
        <f t="shared" si="36"/>
        <v>257</v>
      </c>
      <c r="S62" s="427">
        <f t="shared" si="36"/>
        <v>77.599999999999994</v>
      </c>
      <c r="T62" s="208">
        <f t="shared" si="36"/>
        <v>433</v>
      </c>
      <c r="U62" s="201">
        <f t="shared" si="36"/>
        <v>184.2</v>
      </c>
      <c r="V62" s="201">
        <f t="shared" si="36"/>
        <v>618.6</v>
      </c>
      <c r="W62" s="201">
        <f t="shared" si="36"/>
        <v>458.8</v>
      </c>
      <c r="X62" s="201">
        <f t="shared" si="36"/>
        <v>237.4</v>
      </c>
      <c r="Y62" s="427">
        <f t="shared" si="36"/>
        <v>439.8</v>
      </c>
      <c r="Z62" s="208">
        <f t="shared" si="36"/>
        <v>531.6</v>
      </c>
      <c r="AA62" s="201">
        <f t="shared" si="36"/>
        <v>353</v>
      </c>
      <c r="AB62" s="201">
        <f t="shared" si="36"/>
        <v>458.4</v>
      </c>
      <c r="AC62" s="201">
        <f t="shared" si="36"/>
        <v>516.79999999999995</v>
      </c>
      <c r="AD62" s="427">
        <f t="shared" si="36"/>
        <v>130.19999999999999</v>
      </c>
      <c r="AE62" s="208" t="e">
        <f t="shared" si="36"/>
        <v>#DIV/0!</v>
      </c>
      <c r="AF62" s="201" t="e">
        <f t="shared" si="36"/>
        <v>#DIV/0!</v>
      </c>
      <c r="AG62" s="201" t="e">
        <f t="shared" si="36"/>
        <v>#DIV/0!</v>
      </c>
      <c r="AH62" s="201" t="e">
        <f t="shared" si="36"/>
        <v>#DIV/0!</v>
      </c>
      <c r="AI62" s="427" t="e">
        <f t="shared" si="36"/>
        <v>#DIV/0!</v>
      </c>
      <c r="AJ62" s="208" t="e">
        <f t="shared" si="36"/>
        <v>#DIV/0!</v>
      </c>
      <c r="AK62" s="427" t="e">
        <f t="shared" si="36"/>
        <v>#DIV/0!</v>
      </c>
      <c r="AL62" s="436">
        <f t="shared" si="36"/>
        <v>9740.6666666666661</v>
      </c>
    </row>
    <row r="63" spans="1:38" ht="15.75" thickBot="1" x14ac:dyDescent="0.3">
      <c r="A63" s="26" t="s">
        <v>19</v>
      </c>
      <c r="B63" s="626"/>
      <c r="C63" s="209">
        <f t="shared" ref="C63" si="37">SUM(C54:C58)</f>
        <v>2884</v>
      </c>
      <c r="D63" s="202">
        <f t="shared" ref="D63:AL63" si="38">SUM(D54:D58)</f>
        <v>2781</v>
      </c>
      <c r="E63" s="202">
        <f t="shared" si="38"/>
        <v>1217</v>
      </c>
      <c r="F63" s="202">
        <f t="shared" si="38"/>
        <v>2918</v>
      </c>
      <c r="G63" s="202">
        <f t="shared" si="38"/>
        <v>1877</v>
      </c>
      <c r="H63" s="202">
        <f t="shared" si="38"/>
        <v>2064</v>
      </c>
      <c r="I63" s="429">
        <f t="shared" si="38"/>
        <v>5075</v>
      </c>
      <c r="J63" s="209">
        <f t="shared" si="38"/>
        <v>5239</v>
      </c>
      <c r="K63" s="202">
        <f t="shared" si="38"/>
        <v>1336</v>
      </c>
      <c r="L63" s="429">
        <f t="shared" si="38"/>
        <v>5356</v>
      </c>
      <c r="M63" s="209">
        <f t="shared" si="38"/>
        <v>1657</v>
      </c>
      <c r="N63" s="202">
        <f t="shared" si="38"/>
        <v>677</v>
      </c>
      <c r="O63" s="202">
        <f t="shared" si="38"/>
        <v>1035</v>
      </c>
      <c r="P63" s="202">
        <f t="shared" si="38"/>
        <v>427</v>
      </c>
      <c r="Q63" s="202">
        <f t="shared" si="38"/>
        <v>419</v>
      </c>
      <c r="R63" s="202">
        <f t="shared" si="38"/>
        <v>1285</v>
      </c>
      <c r="S63" s="429">
        <f t="shared" si="38"/>
        <v>388</v>
      </c>
      <c r="T63" s="209">
        <f t="shared" si="38"/>
        <v>2165</v>
      </c>
      <c r="U63" s="202">
        <f t="shared" si="38"/>
        <v>921</v>
      </c>
      <c r="V63" s="202">
        <f t="shared" si="38"/>
        <v>3093</v>
      </c>
      <c r="W63" s="202">
        <f t="shared" si="38"/>
        <v>2294</v>
      </c>
      <c r="X63" s="202">
        <f t="shared" si="38"/>
        <v>1187</v>
      </c>
      <c r="Y63" s="429">
        <f t="shared" si="38"/>
        <v>2199</v>
      </c>
      <c r="Z63" s="209">
        <f t="shared" si="38"/>
        <v>2658</v>
      </c>
      <c r="AA63" s="202">
        <f t="shared" si="38"/>
        <v>1765</v>
      </c>
      <c r="AB63" s="202">
        <f t="shared" si="38"/>
        <v>2292</v>
      </c>
      <c r="AC63" s="202">
        <f t="shared" si="38"/>
        <v>2584</v>
      </c>
      <c r="AD63" s="429">
        <f t="shared" si="38"/>
        <v>651</v>
      </c>
      <c r="AE63" s="209">
        <f t="shared" si="38"/>
        <v>0</v>
      </c>
      <c r="AF63" s="202">
        <f t="shared" si="38"/>
        <v>0</v>
      </c>
      <c r="AG63" s="202">
        <f t="shared" si="38"/>
        <v>0</v>
      </c>
      <c r="AH63" s="202">
        <f t="shared" si="38"/>
        <v>0</v>
      </c>
      <c r="AI63" s="429">
        <f t="shared" si="38"/>
        <v>0</v>
      </c>
      <c r="AJ63" s="209">
        <f t="shared" si="38"/>
        <v>0</v>
      </c>
      <c r="AK63" s="429">
        <f t="shared" si="38"/>
        <v>0</v>
      </c>
      <c r="AL63" s="443">
        <f t="shared" si="38"/>
        <v>58444</v>
      </c>
    </row>
    <row r="64" spans="1:38" ht="15.75" thickBot="1" x14ac:dyDescent="0.3">
      <c r="A64" s="26" t="s">
        <v>21</v>
      </c>
      <c r="B64" s="627"/>
      <c r="C64" s="37">
        <f t="shared" ref="C64" si="39">AVERAGE(C54:C58)</f>
        <v>576.79999999999995</v>
      </c>
      <c r="D64" s="196">
        <f t="shared" ref="D64:AL64" si="40">AVERAGE(D54:D58)</f>
        <v>556.20000000000005</v>
      </c>
      <c r="E64" s="196">
        <f t="shared" si="40"/>
        <v>243.4</v>
      </c>
      <c r="F64" s="196">
        <f t="shared" si="40"/>
        <v>583.6</v>
      </c>
      <c r="G64" s="196">
        <f t="shared" si="40"/>
        <v>375.4</v>
      </c>
      <c r="H64" s="196">
        <f t="shared" si="40"/>
        <v>412.8</v>
      </c>
      <c r="I64" s="430">
        <f t="shared" si="40"/>
        <v>1015</v>
      </c>
      <c r="J64" s="37">
        <f t="shared" si="40"/>
        <v>1047.8</v>
      </c>
      <c r="K64" s="196">
        <f t="shared" si="40"/>
        <v>267.2</v>
      </c>
      <c r="L64" s="430">
        <f t="shared" si="40"/>
        <v>1071.2</v>
      </c>
      <c r="M64" s="37">
        <f t="shared" si="40"/>
        <v>331.4</v>
      </c>
      <c r="N64" s="196">
        <f t="shared" si="40"/>
        <v>135.4</v>
      </c>
      <c r="O64" s="196">
        <f t="shared" si="40"/>
        <v>207</v>
      </c>
      <c r="P64" s="196">
        <f t="shared" si="40"/>
        <v>85.4</v>
      </c>
      <c r="Q64" s="196">
        <f t="shared" si="40"/>
        <v>83.8</v>
      </c>
      <c r="R64" s="196">
        <f t="shared" si="40"/>
        <v>257</v>
      </c>
      <c r="S64" s="430">
        <f t="shared" si="40"/>
        <v>77.599999999999994</v>
      </c>
      <c r="T64" s="37">
        <f t="shared" si="40"/>
        <v>433</v>
      </c>
      <c r="U64" s="196">
        <f t="shared" si="40"/>
        <v>184.2</v>
      </c>
      <c r="V64" s="196">
        <f t="shared" si="40"/>
        <v>618.6</v>
      </c>
      <c r="W64" s="196">
        <f t="shared" si="40"/>
        <v>458.8</v>
      </c>
      <c r="X64" s="196">
        <f t="shared" si="40"/>
        <v>237.4</v>
      </c>
      <c r="Y64" s="430">
        <f t="shared" si="40"/>
        <v>439.8</v>
      </c>
      <c r="Z64" s="37">
        <f t="shared" si="40"/>
        <v>531.6</v>
      </c>
      <c r="AA64" s="196">
        <f t="shared" si="40"/>
        <v>353</v>
      </c>
      <c r="AB64" s="196">
        <f t="shared" si="40"/>
        <v>458.4</v>
      </c>
      <c r="AC64" s="196">
        <f t="shared" si="40"/>
        <v>516.79999999999995</v>
      </c>
      <c r="AD64" s="430">
        <f t="shared" si="40"/>
        <v>130.19999999999999</v>
      </c>
      <c r="AE64" s="37" t="e">
        <f t="shared" si="40"/>
        <v>#DIV/0!</v>
      </c>
      <c r="AF64" s="196" t="e">
        <f t="shared" si="40"/>
        <v>#DIV/0!</v>
      </c>
      <c r="AG64" s="196" t="e">
        <f t="shared" si="40"/>
        <v>#DIV/0!</v>
      </c>
      <c r="AH64" s="196" t="e">
        <f t="shared" si="40"/>
        <v>#DIV/0!</v>
      </c>
      <c r="AI64" s="430" t="e">
        <f t="shared" si="40"/>
        <v>#DIV/0!</v>
      </c>
      <c r="AJ64" s="37" t="e">
        <f t="shared" si="40"/>
        <v>#DIV/0!</v>
      </c>
      <c r="AK64" s="430" t="e">
        <f t="shared" si="40"/>
        <v>#DIV/0!</v>
      </c>
      <c r="AL64" s="444">
        <f t="shared" si="40"/>
        <v>11688.8</v>
      </c>
    </row>
    <row r="65" spans="1:37" x14ac:dyDescent="0.25">
      <c r="A65" s="4"/>
      <c r="B65" s="122"/>
      <c r="C65" s="122"/>
      <c r="D65" s="5"/>
      <c r="E65" s="5"/>
      <c r="F65" s="5"/>
      <c r="G65" s="5"/>
      <c r="H65" s="5"/>
      <c r="I65" s="5"/>
      <c r="J65" s="5"/>
      <c r="K65" s="5"/>
      <c r="L65" s="5"/>
      <c r="M65" s="5"/>
      <c r="N65" s="200"/>
      <c r="O65" s="5"/>
      <c r="P65" s="5"/>
      <c r="Q65" s="5"/>
      <c r="R65" s="5"/>
      <c r="S65" s="5"/>
      <c r="T65" s="5"/>
      <c r="U65" s="200"/>
      <c r="V65" s="5"/>
      <c r="W65" s="5"/>
      <c r="X65" s="5"/>
      <c r="Y65" s="5"/>
      <c r="Z65" s="5"/>
      <c r="AE65" s="5"/>
    </row>
    <row r="66" spans="1:37" ht="44.25" customHeight="1" x14ac:dyDescent="0.25">
      <c r="A66" s="4"/>
      <c r="B66" s="172"/>
      <c r="C66" s="36" t="s">
        <v>10</v>
      </c>
      <c r="D66" s="36" t="s">
        <v>14</v>
      </c>
      <c r="E66" s="36" t="s">
        <v>59</v>
      </c>
      <c r="F66" s="36" t="s">
        <v>61</v>
      </c>
      <c r="G66" s="36" t="s">
        <v>12</v>
      </c>
      <c r="H66" s="36" t="s">
        <v>95</v>
      </c>
      <c r="I66" s="36" t="s">
        <v>60</v>
      </c>
      <c r="J66" s="36" t="s">
        <v>11</v>
      </c>
      <c r="K66" s="36" t="s">
        <v>104</v>
      </c>
      <c r="L66" s="36" t="s">
        <v>67</v>
      </c>
      <c r="M66" s="198" t="s">
        <v>112</v>
      </c>
      <c r="N66" s="198" t="s">
        <v>73</v>
      </c>
      <c r="O66" s="198" t="s">
        <v>72</v>
      </c>
      <c r="P66" s="36" t="s">
        <v>102</v>
      </c>
      <c r="Q66" s="36" t="s">
        <v>75</v>
      </c>
      <c r="R66" s="36" t="s">
        <v>74</v>
      </c>
      <c r="S66" s="36" t="s">
        <v>81</v>
      </c>
      <c r="T66" s="36" t="s">
        <v>82</v>
      </c>
      <c r="U66" s="36" t="s">
        <v>80</v>
      </c>
      <c r="V66" s="36" t="s">
        <v>79</v>
      </c>
      <c r="W66" s="36" t="s">
        <v>30</v>
      </c>
      <c r="X66" s="145"/>
      <c r="Y66" s="145"/>
      <c r="Z66"/>
      <c r="AF66" s="1"/>
      <c r="AI66" s="213"/>
      <c r="AK66"/>
    </row>
    <row r="67" spans="1:37" ht="25.5" x14ac:dyDescent="0.25">
      <c r="B67" s="38" t="s">
        <v>113</v>
      </c>
      <c r="C67" s="173">
        <f>SUM(C6,C17,J6,J17,M6,M17,T6,T17,Z6,Z17,AE6,AE17,AJ6,AJ17,C28,J28,M28,T28,Z28,AE28,AJ28,C39,J39,M39,T39,Z39,AE39,AJ39,C50,J50,M50,T50,Z50,AE50,AJ50,,C61,J61,M61,T61,Z61,AE61,AJ61,)</f>
        <v>103887</v>
      </c>
      <c r="D67" s="173">
        <f>SUM(I6,I17,V6,V17,AA6,AA17,AH6,AH17,I28,V28,AA28,AH28,,I39,V39,AA39,AH39,I50,V50,AA50,AH50,I61,V61,AA61,AH61)</f>
        <v>59415</v>
      </c>
      <c r="E67" s="173">
        <f>SUM(D6,D17,D28,D39,D50,N17,N28,N39,N50,N6,D61,N61)</f>
        <v>26971</v>
      </c>
      <c r="F67" s="173">
        <f>SUM(W6,W17,W28,W39,W50,AI6,AI17,AI28,AI39,AI50,W61,AI61)</f>
        <v>15330</v>
      </c>
      <c r="G67" s="173">
        <f>SUM(G6,G17,G28,G39,G50,G61)</f>
        <v>10949</v>
      </c>
      <c r="H67" s="173">
        <f>SUM(H6,H17,H28,H39,H50,H61)</f>
        <v>14227</v>
      </c>
      <c r="I67" s="173">
        <f>SUM(E6,E17,E28,E39,E50,E61)</f>
        <v>8976</v>
      </c>
      <c r="J67" s="173">
        <f>SUM(F6,F17,F28,F39,F50,F61)</f>
        <v>19248</v>
      </c>
      <c r="K67" s="173">
        <f>SUM(K6,K17,K28,K39,K50,Q6,Q17,Q28,Q39,Q50,K61,Q61)</f>
        <v>13186</v>
      </c>
      <c r="L67" s="173">
        <f>SUM(L6,L17,L28,L39,L50,L61)</f>
        <v>41132</v>
      </c>
      <c r="M67" s="199">
        <f>SUM(O6,O17,O28,O39,O50,O61)</f>
        <v>7095</v>
      </c>
      <c r="N67" s="199">
        <f>SUM(P6,P17,P28,P39,P50,P61)</f>
        <v>3844</v>
      </c>
      <c r="O67" s="173">
        <f>SUM(R6,R17,R28,R39,R50,R61)</f>
        <v>9036</v>
      </c>
      <c r="P67" s="173">
        <f>SUM(U6,U17,U28,U39,U50,U61)</f>
        <v>4846</v>
      </c>
      <c r="Q67" s="173">
        <f>SUM(X6,X17,X28,X39,X50,X61)</f>
        <v>8611</v>
      </c>
      <c r="R67" s="173">
        <f>SUM(Y6,Y17,Y28,Y39,Y50,Y61)</f>
        <v>14876</v>
      </c>
      <c r="S67" s="173">
        <f>SUM(AB6,AB17,AB28,AB39,AB50,AB61)</f>
        <v>16073</v>
      </c>
      <c r="T67" s="173">
        <f>SUM(AC6,AC17,AC28,AC39,AC50,AC61)</f>
        <v>15680</v>
      </c>
      <c r="U67" s="173">
        <f>SUM(AF6,AF17,AF28,AF39,AF50,AF61,S17,S39,S50,S61,S28)</f>
        <v>3535</v>
      </c>
      <c r="V67" s="173">
        <f>SUM(AG6,AG17,AG28,AG39,AG50,AG61,AD6,AD17,AD28,AD39,AD50,AD61)</f>
        <v>4571</v>
      </c>
      <c r="W67" s="173">
        <f>SUM(AK6,AK17,AK28,AK39,AK50,AK61)</f>
        <v>1323</v>
      </c>
      <c r="X67" s="176"/>
      <c r="Y67" s="176"/>
      <c r="Z67"/>
      <c r="AF67" s="1"/>
      <c r="AI67" s="213"/>
      <c r="AK67"/>
    </row>
    <row r="68" spans="1:37" ht="25.5" x14ac:dyDescent="0.25">
      <c r="B68" s="38" t="s">
        <v>29</v>
      </c>
      <c r="C68" s="173">
        <f>SUM(C19,J19,M19,T19,,Z19,AE19,AJ19,C30,J30,M30,T30,Z30,AE30,AJ30,C41,J41,M41,T41,Z41,AE41,AJ41,C52,J52,M52,T52,Z52,AE52,AJ52,C63,J63,M63,T63,Z63,AE63,AJ63)</f>
        <v>57693</v>
      </c>
      <c r="D68" s="173">
        <f>SUM(I19,V19,AA19,AH19,I30,V30,,AA30,AH30,I41,V41,AA41,AH41,,I52,V52,AA52,AH52,I63,V63,AA63,AH63,)</f>
        <v>41164</v>
      </c>
      <c r="E68" s="173">
        <f>SUM(D19,D30,D41,D52,N19,N30,N41,N52,D63,N63,)</f>
        <v>14616</v>
      </c>
      <c r="F68" s="173">
        <f>SUM(W19,W30,W41,W52,AI19,AI30,AI41,AI52,W63,AI63)</f>
        <v>9773</v>
      </c>
      <c r="G68" s="173">
        <f>SUM(G19,G30,G41,G52,G63)</f>
        <v>7789</v>
      </c>
      <c r="H68" s="173">
        <f>SUM(H19,H30,H41,H52,H63)</f>
        <v>8613</v>
      </c>
      <c r="I68" s="173">
        <f>SUM(E19,E30,E41,E52,E63)</f>
        <v>5688</v>
      </c>
      <c r="J68" s="173">
        <f>SUM(F19,F30,F41,F52,F63)</f>
        <v>11722</v>
      </c>
      <c r="K68" s="173">
        <f>SUM(K19,K30,K41,K52,Q19,Q30,Q41,Q52,K63,Q63)</f>
        <v>7465</v>
      </c>
      <c r="L68" s="173">
        <f>SUM(L19,L30,L41,L52,L63)</f>
        <v>20566</v>
      </c>
      <c r="M68" s="173">
        <f>SUM(O19,O30,O41,O52,O63)</f>
        <v>4136</v>
      </c>
      <c r="N68" s="173">
        <f>SUM(P19,P30,P41,P52,P63)</f>
        <v>2026</v>
      </c>
      <c r="O68" s="173">
        <f>SUM(R19,R30,R41,R52,R63)</f>
        <v>5191</v>
      </c>
      <c r="P68" s="173">
        <f>SUM(U19,U30,U41,U52,U63)</f>
        <v>3599</v>
      </c>
      <c r="Q68" s="173">
        <f>SUM(X19,X30,X41,X52,X63)</f>
        <v>4934</v>
      </c>
      <c r="R68" s="173">
        <f>SUM(Y19,Y30,Y41,Y52,Y63,)</f>
        <v>9386</v>
      </c>
      <c r="S68" s="173">
        <f>SUM(AB19,AB30,AB41,AB52,AB63)</f>
        <v>9288</v>
      </c>
      <c r="T68" s="173">
        <f>SUM(AC19,AC30,AC41,AC52,AC63,)</f>
        <v>10675</v>
      </c>
      <c r="U68" s="173">
        <f>SUM(AF19,AF30,AF41,AF52,AF63,S19,S30,S41,,S52,S63)</f>
        <v>1865</v>
      </c>
      <c r="V68" s="173">
        <f>SUM(AG19,AG30,AG41,AG52,AG63,AD19,AD30,AD41,AD52,AD63,,,)</f>
        <v>2847</v>
      </c>
      <c r="W68" s="173">
        <f>SUM(AK19,AK30,AK41,AK52,AK63)</f>
        <v>0</v>
      </c>
      <c r="X68" s="197"/>
      <c r="Y68" s="197"/>
      <c r="Z68"/>
      <c r="AF68" s="1"/>
      <c r="AI68" s="213"/>
      <c r="AK68"/>
    </row>
    <row r="69" spans="1:37" x14ac:dyDescent="0.25">
      <c r="B69" s="1"/>
      <c r="C69" s="1"/>
      <c r="E69" s="123"/>
    </row>
    <row r="70" spans="1:37" ht="15.75" thickBot="1" x14ac:dyDescent="0.3">
      <c r="B70" s="1"/>
      <c r="C70" s="1"/>
      <c r="E70" s="123"/>
      <c r="U70" s="212"/>
    </row>
    <row r="71" spans="1:37" x14ac:dyDescent="0.25">
      <c r="B71" s="1"/>
      <c r="C71" s="628" t="s">
        <v>69</v>
      </c>
      <c r="D71" s="629"/>
      <c r="E71" s="630"/>
      <c r="AF71" s="1"/>
      <c r="AG71" s="1"/>
    </row>
    <row r="72" spans="1:37" x14ac:dyDescent="0.25">
      <c r="C72" s="609" t="s">
        <v>18</v>
      </c>
      <c r="D72" s="610"/>
      <c r="E72" s="397">
        <f>SUM(AL6,AL17,AL28,AL39,AL50,AL61)</f>
        <v>402811</v>
      </c>
      <c r="Q72" s="213"/>
      <c r="R72" s="213"/>
      <c r="S72" s="213"/>
      <c r="T72" s="213"/>
      <c r="U72" s="213"/>
      <c r="V72" s="213"/>
    </row>
    <row r="73" spans="1:37" x14ac:dyDescent="0.25">
      <c r="C73" s="609" t="s">
        <v>29</v>
      </c>
      <c r="D73" s="610"/>
      <c r="E73" s="422">
        <f>SUM(,AL19, AL30, AL41, AL52, AL63)</f>
        <v>239036</v>
      </c>
      <c r="N73" s="212"/>
    </row>
    <row r="74" spans="1:37" x14ac:dyDescent="0.25">
      <c r="C74" s="609" t="s">
        <v>119</v>
      </c>
      <c r="D74" s="610"/>
      <c r="E74" s="397">
        <f>AVERAGE(,AL62, AL51, AL40, AL29, AL18)</f>
        <v>9822.6587301587297</v>
      </c>
    </row>
    <row r="75" spans="1:37" ht="15.75" thickBot="1" x14ac:dyDescent="0.3">
      <c r="A75"/>
      <c r="B75"/>
      <c r="C75" s="611" t="s">
        <v>21</v>
      </c>
      <c r="D75" s="612"/>
      <c r="E75" s="302">
        <f>AVERAGE(AL20, AL31, AL42, AL53, AL64)</f>
        <v>9561.4399999999987</v>
      </c>
      <c r="F75"/>
      <c r="G75"/>
      <c r="H75"/>
      <c r="I75"/>
      <c r="J75"/>
      <c r="K75"/>
      <c r="L75" s="213"/>
      <c r="M75" s="213"/>
      <c r="N75" s="213"/>
      <c r="O75"/>
      <c r="P75"/>
      <c r="W75" s="213"/>
      <c r="X75" s="213"/>
      <c r="Y75" s="213"/>
      <c r="Z75" s="213"/>
    </row>
  </sheetData>
  <mergeCells count="56">
    <mergeCell ref="J1:L2"/>
    <mergeCell ref="M1:S2"/>
    <mergeCell ref="T1:Y2"/>
    <mergeCell ref="R3:R4"/>
    <mergeCell ref="Q3:Q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N3:N4"/>
    <mergeCell ref="M3:M4"/>
    <mergeCell ref="B17:B20"/>
    <mergeCell ref="J3:J4"/>
    <mergeCell ref="B6:B9"/>
    <mergeCell ref="L3:L4"/>
    <mergeCell ref="K3:K4"/>
    <mergeCell ref="I3:I4"/>
    <mergeCell ref="E3:E4"/>
    <mergeCell ref="F3:F4"/>
    <mergeCell ref="G3:G4"/>
    <mergeCell ref="H3:H4"/>
    <mergeCell ref="C72:D72"/>
    <mergeCell ref="C73:D73"/>
    <mergeCell ref="C74:D74"/>
    <mergeCell ref="C75:D75"/>
    <mergeCell ref="A1:A4"/>
    <mergeCell ref="B1:B4"/>
    <mergeCell ref="C3:C4"/>
    <mergeCell ref="D3:D4"/>
    <mergeCell ref="C1:I2"/>
    <mergeCell ref="B28:B31"/>
    <mergeCell ref="B39:B42"/>
    <mergeCell ref="B50:B53"/>
    <mergeCell ref="B61:B64"/>
    <mergeCell ref="C71:E71"/>
    <mergeCell ref="Z1:AD2"/>
    <mergeCell ref="AE1:AI2"/>
    <mergeCell ref="Z3:Z4"/>
    <mergeCell ref="AL1:AL4"/>
    <mergeCell ref="AC3:AC4"/>
    <mergeCell ref="AB3:AB4"/>
    <mergeCell ref="AA3:AA4"/>
    <mergeCell ref="AJ1:AK2"/>
    <mergeCell ref="AJ3:AJ4"/>
    <mergeCell ref="AK3:AK4"/>
    <mergeCell ref="AI3:AI4"/>
    <mergeCell ref="AH3:AH4"/>
    <mergeCell ref="AG3:AG4"/>
    <mergeCell ref="AF3:AF4"/>
    <mergeCell ref="AE3:AE4"/>
    <mergeCell ref="AD3:AD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7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0" sqref="A59:XFD60"/>
    </sheetView>
  </sheetViews>
  <sheetFormatPr defaultRowHeight="15" outlineLevelRow="1" x14ac:dyDescent="0.25"/>
  <cols>
    <col min="1" max="1" width="18.7109375" style="1" bestFit="1" customWidth="1"/>
    <col min="2" max="2" width="8.7109375" style="123" bestFit="1" customWidth="1"/>
    <col min="3" max="4" width="10.7109375" style="1" customWidth="1"/>
    <col min="5" max="5" width="10.57031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1.28515625" style="1" customWidth="1"/>
    <col min="10" max="10" width="14" style="1" customWidth="1"/>
    <col min="11" max="11" width="12.28515625" style="1" bestFit="1" customWidth="1"/>
    <col min="12" max="12" width="9.28515625" style="1" bestFit="1" customWidth="1"/>
    <col min="13" max="13" width="11.28515625" style="1" bestFit="1" customWidth="1"/>
    <col min="14" max="14" width="12.28515625" style="1" bestFit="1" customWidth="1"/>
    <col min="15" max="22" width="15.7109375" style="11" customWidth="1"/>
    <col min="23" max="23" width="10.7109375" style="11" customWidth="1"/>
    <col min="24" max="16384" width="9.140625" style="1"/>
  </cols>
  <sheetData>
    <row r="1" spans="1:23" ht="15" customHeight="1" x14ac:dyDescent="0.25">
      <c r="A1" s="23"/>
      <c r="B1" s="154"/>
      <c r="C1" s="652" t="s">
        <v>10</v>
      </c>
      <c r="D1" s="653"/>
      <c r="E1" s="653"/>
      <c r="F1" s="653"/>
      <c r="G1" s="653"/>
      <c r="H1" s="652" t="s">
        <v>127</v>
      </c>
      <c r="I1" s="661"/>
      <c r="J1" s="665" t="s">
        <v>126</v>
      </c>
      <c r="K1" s="656" t="s">
        <v>76</v>
      </c>
      <c r="L1" s="657"/>
      <c r="M1" s="657"/>
      <c r="N1" s="658"/>
      <c r="O1" s="653" t="s">
        <v>8</v>
      </c>
      <c r="P1" s="653"/>
      <c r="Q1" s="653"/>
      <c r="R1" s="653"/>
      <c r="S1" s="653"/>
      <c r="T1" s="653"/>
      <c r="U1" s="653"/>
      <c r="V1" s="661"/>
      <c r="W1" s="667" t="s">
        <v>18</v>
      </c>
    </row>
    <row r="2" spans="1:23" ht="15" customHeight="1" thickBot="1" x14ac:dyDescent="0.3">
      <c r="A2" s="24"/>
      <c r="B2" s="155"/>
      <c r="C2" s="654"/>
      <c r="D2" s="655"/>
      <c r="E2" s="655"/>
      <c r="F2" s="655"/>
      <c r="G2" s="655"/>
      <c r="H2" s="654"/>
      <c r="I2" s="662"/>
      <c r="J2" s="666"/>
      <c r="K2" s="631"/>
      <c r="L2" s="633"/>
      <c r="M2" s="633"/>
      <c r="N2" s="632"/>
      <c r="O2" s="674"/>
      <c r="P2" s="674"/>
      <c r="Q2" s="674"/>
      <c r="R2" s="674"/>
      <c r="S2" s="674"/>
      <c r="T2" s="674"/>
      <c r="U2" s="674"/>
      <c r="V2" s="675"/>
      <c r="W2" s="668"/>
    </row>
    <row r="3" spans="1:23" ht="15" customHeight="1" x14ac:dyDescent="0.25">
      <c r="A3" s="634" t="s">
        <v>50</v>
      </c>
      <c r="B3" s="616" t="s">
        <v>51</v>
      </c>
      <c r="C3" s="640" t="s">
        <v>15</v>
      </c>
      <c r="D3" s="589" t="s">
        <v>17</v>
      </c>
      <c r="E3" s="589" t="s">
        <v>16</v>
      </c>
      <c r="F3" s="589" t="s">
        <v>38</v>
      </c>
      <c r="G3" s="590" t="s">
        <v>39</v>
      </c>
      <c r="H3" s="588" t="s">
        <v>128</v>
      </c>
      <c r="I3" s="663" t="s">
        <v>129</v>
      </c>
      <c r="J3" s="613" t="s">
        <v>30</v>
      </c>
      <c r="K3" s="640" t="s">
        <v>15</v>
      </c>
      <c r="L3" s="589" t="s">
        <v>16</v>
      </c>
      <c r="M3" s="589" t="s">
        <v>77</v>
      </c>
      <c r="N3" s="590" t="s">
        <v>37</v>
      </c>
      <c r="O3" s="635" t="s">
        <v>33</v>
      </c>
      <c r="P3" s="671" t="s">
        <v>34</v>
      </c>
      <c r="Q3" s="635" t="s">
        <v>35</v>
      </c>
      <c r="R3" s="671" t="s">
        <v>36</v>
      </c>
      <c r="S3" s="636" t="s">
        <v>86</v>
      </c>
      <c r="T3" s="676" t="s">
        <v>15</v>
      </c>
      <c r="U3" s="678" t="s">
        <v>16</v>
      </c>
      <c r="V3" s="663" t="s">
        <v>77</v>
      </c>
      <c r="W3" s="668"/>
    </row>
    <row r="4" spans="1:23" ht="25.5" customHeight="1" thickBot="1" x14ac:dyDescent="0.3">
      <c r="A4" s="651"/>
      <c r="B4" s="618"/>
      <c r="C4" s="660"/>
      <c r="D4" s="650"/>
      <c r="E4" s="650"/>
      <c r="F4" s="650"/>
      <c r="G4" s="649"/>
      <c r="H4" s="659"/>
      <c r="I4" s="664"/>
      <c r="J4" s="615"/>
      <c r="K4" s="660"/>
      <c r="L4" s="650"/>
      <c r="M4" s="650"/>
      <c r="N4" s="649"/>
      <c r="O4" s="670"/>
      <c r="P4" s="672"/>
      <c r="Q4" s="670"/>
      <c r="R4" s="672"/>
      <c r="S4" s="673"/>
      <c r="T4" s="677"/>
      <c r="U4" s="679"/>
      <c r="V4" s="664"/>
      <c r="W4" s="669"/>
    </row>
    <row r="5" spans="1:23" s="363" customFormat="1" ht="17.25" thickBot="1" x14ac:dyDescent="0.35">
      <c r="A5" s="139"/>
      <c r="B5" s="357"/>
      <c r="C5" s="353"/>
      <c r="D5" s="352"/>
      <c r="E5" s="352"/>
      <c r="F5" s="352"/>
      <c r="G5" s="352"/>
      <c r="H5" s="352"/>
      <c r="I5" s="362"/>
      <c r="J5" s="434"/>
      <c r="K5" s="352"/>
      <c r="L5" s="354"/>
      <c r="M5" s="353"/>
      <c r="N5" s="352"/>
      <c r="O5" s="352"/>
      <c r="P5" s="352"/>
      <c r="Q5" s="352"/>
      <c r="R5" s="354"/>
      <c r="S5" s="431"/>
      <c r="T5" s="352"/>
      <c r="U5" s="352"/>
      <c r="V5" s="355"/>
      <c r="W5" s="492"/>
    </row>
    <row r="6" spans="1:23" customFormat="1" ht="15.75" thickBot="1" x14ac:dyDescent="0.3">
      <c r="A6" s="147" t="s">
        <v>20</v>
      </c>
      <c r="B6" s="626" t="s">
        <v>118</v>
      </c>
      <c r="C6" s="208">
        <f t="shared" ref="C6:W6" si="0">SUM(C5)</f>
        <v>0</v>
      </c>
      <c r="D6" s="201">
        <f t="shared" si="0"/>
        <v>0</v>
      </c>
      <c r="E6" s="201">
        <f t="shared" si="0"/>
        <v>0</v>
      </c>
      <c r="F6" s="201">
        <f t="shared" si="0"/>
        <v>0</v>
      </c>
      <c r="G6" s="201">
        <f t="shared" si="0"/>
        <v>0</v>
      </c>
      <c r="H6" s="201">
        <f t="shared" si="0"/>
        <v>0</v>
      </c>
      <c r="I6" s="435">
        <f t="shared" si="0"/>
        <v>0</v>
      </c>
      <c r="J6" s="208">
        <f t="shared" si="0"/>
        <v>0</v>
      </c>
      <c r="K6" s="201">
        <f t="shared" si="0"/>
        <v>0</v>
      </c>
      <c r="L6" s="435">
        <f t="shared" si="0"/>
        <v>0</v>
      </c>
      <c r="M6" s="208">
        <f t="shared" si="0"/>
        <v>0</v>
      </c>
      <c r="N6" s="201">
        <f t="shared" si="0"/>
        <v>0</v>
      </c>
      <c r="O6" s="201">
        <f t="shared" si="0"/>
        <v>0</v>
      </c>
      <c r="P6" s="201">
        <f t="shared" si="0"/>
        <v>0</v>
      </c>
      <c r="Q6" s="201">
        <f t="shared" si="0"/>
        <v>0</v>
      </c>
      <c r="R6" s="435">
        <f t="shared" si="0"/>
        <v>0</v>
      </c>
      <c r="S6" s="432">
        <f t="shared" si="0"/>
        <v>0</v>
      </c>
      <c r="T6" s="201">
        <f t="shared" si="0"/>
        <v>0</v>
      </c>
      <c r="U6" s="201">
        <f t="shared" si="0"/>
        <v>0</v>
      </c>
      <c r="V6" s="427">
        <f t="shared" si="0"/>
        <v>0</v>
      </c>
      <c r="W6" s="436">
        <f t="shared" si="0"/>
        <v>0</v>
      </c>
    </row>
    <row r="7" spans="1:23" customFormat="1" ht="15.75" thickBot="1" x14ac:dyDescent="0.3">
      <c r="A7" s="102" t="s">
        <v>22</v>
      </c>
      <c r="B7" s="626"/>
      <c r="C7" s="208" t="e">
        <f t="shared" ref="C7:W7" si="1">AVERAGE(C5)</f>
        <v>#DIV/0!</v>
      </c>
      <c r="D7" s="208" t="e">
        <f t="shared" si="1"/>
        <v>#DIV/0!</v>
      </c>
      <c r="E7" s="208" t="e">
        <f t="shared" si="1"/>
        <v>#DIV/0!</v>
      </c>
      <c r="F7" s="208" t="e">
        <f t="shared" si="1"/>
        <v>#DIV/0!</v>
      </c>
      <c r="G7" s="208" t="e">
        <f t="shared" si="1"/>
        <v>#DIV/0!</v>
      </c>
      <c r="H7" s="208" t="e">
        <f t="shared" si="1"/>
        <v>#DIV/0!</v>
      </c>
      <c r="I7" s="436" t="e">
        <f t="shared" si="1"/>
        <v>#DIV/0!</v>
      </c>
      <c r="J7" s="208" t="e">
        <f t="shared" si="1"/>
        <v>#DIV/0!</v>
      </c>
      <c r="K7" s="208" t="e">
        <f t="shared" si="1"/>
        <v>#DIV/0!</v>
      </c>
      <c r="L7" s="436" t="e">
        <f t="shared" si="1"/>
        <v>#DIV/0!</v>
      </c>
      <c r="M7" s="208" t="e">
        <f t="shared" si="1"/>
        <v>#DIV/0!</v>
      </c>
      <c r="N7" s="208" t="e">
        <f t="shared" si="1"/>
        <v>#DIV/0!</v>
      </c>
      <c r="O7" s="208" t="e">
        <f t="shared" si="1"/>
        <v>#DIV/0!</v>
      </c>
      <c r="P7" s="208" t="e">
        <f t="shared" si="1"/>
        <v>#DIV/0!</v>
      </c>
      <c r="Q7" s="208" t="e">
        <f t="shared" si="1"/>
        <v>#DIV/0!</v>
      </c>
      <c r="R7" s="436" t="e">
        <f t="shared" si="1"/>
        <v>#DIV/0!</v>
      </c>
      <c r="S7" s="432" t="e">
        <f t="shared" si="1"/>
        <v>#DIV/0!</v>
      </c>
      <c r="T7" s="208" t="e">
        <f t="shared" si="1"/>
        <v>#DIV/0!</v>
      </c>
      <c r="U7" s="208" t="e">
        <f t="shared" si="1"/>
        <v>#DIV/0!</v>
      </c>
      <c r="V7" s="428" t="e">
        <f t="shared" si="1"/>
        <v>#DIV/0!</v>
      </c>
      <c r="W7" s="436" t="e">
        <f t="shared" si="1"/>
        <v>#DIV/0!</v>
      </c>
    </row>
    <row r="8" spans="1:23" customFormat="1" ht="15.75" thickBot="1" x14ac:dyDescent="0.3">
      <c r="A8" s="26" t="s">
        <v>19</v>
      </c>
      <c r="B8" s="626"/>
      <c r="C8" s="209" t="e">
        <f>SUM(#REF!)</f>
        <v>#REF!</v>
      </c>
      <c r="D8" s="202" t="e">
        <f>SUM(#REF!)</f>
        <v>#REF!</v>
      </c>
      <c r="E8" s="202" t="e">
        <f>SUM(#REF!)</f>
        <v>#REF!</v>
      </c>
      <c r="F8" s="202" t="e">
        <f>SUM(#REF!)</f>
        <v>#REF!</v>
      </c>
      <c r="G8" s="202" t="e">
        <f>SUM(#REF!)</f>
        <v>#REF!</v>
      </c>
      <c r="H8" s="202" t="e">
        <f>SUM(#REF!)</f>
        <v>#REF!</v>
      </c>
      <c r="I8" s="437" t="e">
        <f>SUM(#REF!)</f>
        <v>#REF!</v>
      </c>
      <c r="J8" s="209" t="e">
        <f>SUM(#REF!)</f>
        <v>#REF!</v>
      </c>
      <c r="K8" s="202" t="e">
        <f>SUM(#REF!)</f>
        <v>#REF!</v>
      </c>
      <c r="L8" s="437" t="e">
        <f>SUM(#REF!)</f>
        <v>#REF!</v>
      </c>
      <c r="M8" s="209" t="e">
        <f>SUM(#REF!)</f>
        <v>#REF!</v>
      </c>
      <c r="N8" s="202" t="e">
        <f>SUM(#REF!)</f>
        <v>#REF!</v>
      </c>
      <c r="O8" s="202" t="e">
        <f>SUM(#REF!)</f>
        <v>#REF!</v>
      </c>
      <c r="P8" s="202" t="e">
        <f>SUM(#REF!)</f>
        <v>#REF!</v>
      </c>
      <c r="Q8" s="202" t="e">
        <f>SUM(#REF!)</f>
        <v>#REF!</v>
      </c>
      <c r="R8" s="437" t="e">
        <f>SUM(#REF!)</f>
        <v>#REF!</v>
      </c>
      <c r="S8" s="433" t="e">
        <f>SUM(#REF!)</f>
        <v>#REF!</v>
      </c>
      <c r="T8" s="202" t="e">
        <f>SUM(#REF!)</f>
        <v>#REF!</v>
      </c>
      <c r="U8" s="202" t="e">
        <f>SUM(#REF!)</f>
        <v>#REF!</v>
      </c>
      <c r="V8" s="429" t="e">
        <f>SUM(#REF!)</f>
        <v>#REF!</v>
      </c>
      <c r="W8" s="443" t="e">
        <f>SUM(#REF!)</f>
        <v>#REF!</v>
      </c>
    </row>
    <row r="9" spans="1:23" customFormat="1" ht="15.75" thickBot="1" x14ac:dyDescent="0.3">
      <c r="A9" s="26" t="s">
        <v>21</v>
      </c>
      <c r="B9" s="626"/>
      <c r="C9" s="209" t="e">
        <f>AVERAGE(#REF!)</f>
        <v>#REF!</v>
      </c>
      <c r="D9" s="202" t="e">
        <f>AVERAGE(#REF!)</f>
        <v>#REF!</v>
      </c>
      <c r="E9" s="202" t="e">
        <f>AVERAGE(#REF!)</f>
        <v>#REF!</v>
      </c>
      <c r="F9" s="202" t="e">
        <f>AVERAGE(#REF!)</f>
        <v>#REF!</v>
      </c>
      <c r="G9" s="202" t="e">
        <f>AVERAGE(#REF!)</f>
        <v>#REF!</v>
      </c>
      <c r="H9" s="202" t="e">
        <f>AVERAGE(#REF!)</f>
        <v>#REF!</v>
      </c>
      <c r="I9" s="437" t="e">
        <f>AVERAGE(#REF!)</f>
        <v>#REF!</v>
      </c>
      <c r="J9" s="209" t="e">
        <f>AVERAGE(#REF!)</f>
        <v>#REF!</v>
      </c>
      <c r="K9" s="202" t="e">
        <f>AVERAGE(#REF!)</f>
        <v>#REF!</v>
      </c>
      <c r="L9" s="437" t="e">
        <f>AVERAGE(#REF!)</f>
        <v>#REF!</v>
      </c>
      <c r="M9" s="209" t="e">
        <f>AVERAGE(#REF!)</f>
        <v>#REF!</v>
      </c>
      <c r="N9" s="202" t="e">
        <f>AVERAGE(#REF!)</f>
        <v>#REF!</v>
      </c>
      <c r="O9" s="202" t="e">
        <f>AVERAGE(#REF!)</f>
        <v>#REF!</v>
      </c>
      <c r="P9" s="202" t="e">
        <f>AVERAGE(#REF!)</f>
        <v>#REF!</v>
      </c>
      <c r="Q9" s="202" t="e">
        <f>AVERAGE(#REF!)</f>
        <v>#REF!</v>
      </c>
      <c r="R9" s="437" t="e">
        <f>AVERAGE(#REF!)</f>
        <v>#REF!</v>
      </c>
      <c r="S9" s="433" t="e">
        <f>AVERAGE(#REF!)</f>
        <v>#REF!</v>
      </c>
      <c r="T9" s="202" t="e">
        <f>AVERAGE(#REF!)</f>
        <v>#REF!</v>
      </c>
      <c r="U9" s="202" t="e">
        <f>AVERAGE(#REF!)</f>
        <v>#REF!</v>
      </c>
      <c r="V9" s="429" t="e">
        <f>AVERAGE(#REF!)</f>
        <v>#REF!</v>
      </c>
      <c r="W9" s="443" t="e">
        <f>AVERAGE(#REF!)</f>
        <v>#REF!</v>
      </c>
    </row>
    <row r="10" spans="1:23" ht="15.75" hidden="1" customHeight="1" x14ac:dyDescent="0.25">
      <c r="A10" s="25" t="s">
        <v>3</v>
      </c>
      <c r="B10" s="219">
        <v>44011</v>
      </c>
      <c r="C10" s="207"/>
      <c r="D10" s="195"/>
      <c r="E10" s="195"/>
      <c r="F10" s="20"/>
      <c r="G10" s="19"/>
      <c r="H10" s="215"/>
      <c r="I10" s="204"/>
      <c r="J10" s="194"/>
      <c r="K10" s="207"/>
      <c r="L10" s="195"/>
      <c r="M10" s="195"/>
      <c r="N10" s="19"/>
      <c r="O10" s="131"/>
      <c r="P10" s="20"/>
      <c r="Q10" s="20"/>
      <c r="R10" s="20"/>
      <c r="S10" s="19"/>
      <c r="T10" s="207"/>
      <c r="U10" s="195"/>
      <c r="V10" s="203"/>
      <c r="W10" s="250">
        <f t="shared" ref="W10:W16" si="2">SUM(C10:V10)</f>
        <v>0</v>
      </c>
    </row>
    <row r="11" spans="1:23" s="3" customFormat="1" ht="15" hidden="1" customHeight="1" outlineLevel="1" x14ac:dyDescent="0.25">
      <c r="A11" s="25" t="s">
        <v>4</v>
      </c>
      <c r="B11" s="220">
        <v>44012</v>
      </c>
      <c r="C11" s="207"/>
      <c r="D11" s="195"/>
      <c r="E11" s="195"/>
      <c r="F11" s="20"/>
      <c r="G11" s="19"/>
      <c r="H11" s="215"/>
      <c r="I11" s="204"/>
      <c r="J11" s="194"/>
      <c r="K11" s="207"/>
      <c r="L11" s="195"/>
      <c r="M11" s="195"/>
      <c r="N11" s="19"/>
      <c r="O11" s="131"/>
      <c r="P11" s="20"/>
      <c r="Q11" s="20"/>
      <c r="R11" s="20"/>
      <c r="S11" s="19"/>
      <c r="T11" s="207"/>
      <c r="U11" s="195"/>
      <c r="V11" s="203"/>
      <c r="W11" s="250">
        <f t="shared" si="2"/>
        <v>0</v>
      </c>
    </row>
    <row r="12" spans="1:23" s="3" customFormat="1" ht="15" customHeight="1" outlineLevel="1" x14ac:dyDescent="0.25">
      <c r="A12" s="25" t="s">
        <v>5</v>
      </c>
      <c r="B12" s="220">
        <v>44013</v>
      </c>
      <c r="C12" s="207"/>
      <c r="D12" s="195"/>
      <c r="E12" s="195"/>
      <c r="F12" s="239"/>
      <c r="G12" s="240">
        <v>80</v>
      </c>
      <c r="H12" s="215"/>
      <c r="I12" s="204"/>
      <c r="J12" s="194"/>
      <c r="K12" s="207">
        <v>402</v>
      </c>
      <c r="L12" s="195">
        <v>208</v>
      </c>
      <c r="M12" s="195"/>
      <c r="N12" s="240"/>
      <c r="O12" s="190">
        <v>729</v>
      </c>
      <c r="P12" s="239"/>
      <c r="Q12" s="239"/>
      <c r="R12" s="239"/>
      <c r="S12" s="240"/>
      <c r="T12" s="207"/>
      <c r="U12" s="195"/>
      <c r="V12" s="203"/>
      <c r="W12" s="250">
        <f t="shared" si="2"/>
        <v>1419</v>
      </c>
    </row>
    <row r="13" spans="1:23" s="3" customFormat="1" ht="15" customHeight="1" x14ac:dyDescent="0.25">
      <c r="A13" s="25" t="s">
        <v>6</v>
      </c>
      <c r="B13" s="221">
        <v>44014</v>
      </c>
      <c r="C13" s="207"/>
      <c r="D13" s="195"/>
      <c r="E13" s="195"/>
      <c r="F13" s="20"/>
      <c r="G13" s="19">
        <v>67</v>
      </c>
      <c r="H13" s="215"/>
      <c r="I13" s="204"/>
      <c r="J13" s="194"/>
      <c r="K13" s="207">
        <v>507</v>
      </c>
      <c r="L13" s="172">
        <v>280</v>
      </c>
      <c r="M13" s="195"/>
      <c r="N13" s="19"/>
      <c r="O13" s="131">
        <v>808</v>
      </c>
      <c r="P13" s="20"/>
      <c r="Q13" s="20"/>
      <c r="R13" s="20"/>
      <c r="S13" s="19"/>
      <c r="T13" s="207"/>
      <c r="U13" s="195"/>
      <c r="V13" s="203"/>
      <c r="W13" s="250">
        <f t="shared" si="2"/>
        <v>1662</v>
      </c>
    </row>
    <row r="14" spans="1:23" s="3" customFormat="1" ht="15" customHeight="1" x14ac:dyDescent="0.25">
      <c r="A14" s="25" t="s">
        <v>0</v>
      </c>
      <c r="B14" s="221">
        <v>44015</v>
      </c>
      <c r="C14" s="207"/>
      <c r="D14" s="195"/>
      <c r="E14" s="195"/>
      <c r="F14" s="20"/>
      <c r="G14" s="19">
        <v>24</v>
      </c>
      <c r="H14" s="215"/>
      <c r="I14" s="204"/>
      <c r="J14" s="194"/>
      <c r="K14" s="207">
        <v>298</v>
      </c>
      <c r="L14" s="195">
        <v>224</v>
      </c>
      <c r="M14" s="195"/>
      <c r="N14" s="19"/>
      <c r="O14" s="131">
        <v>802</v>
      </c>
      <c r="P14" s="20"/>
      <c r="Q14" s="20"/>
      <c r="R14" s="20"/>
      <c r="S14" s="19"/>
      <c r="T14" s="207"/>
      <c r="U14" s="195"/>
      <c r="V14" s="203"/>
      <c r="W14" s="250">
        <f t="shared" si="2"/>
        <v>1348</v>
      </c>
    </row>
    <row r="15" spans="1:23" s="2" customFormat="1" x14ac:dyDescent="0.25">
      <c r="A15" s="25" t="s">
        <v>1</v>
      </c>
      <c r="B15" s="218">
        <v>44016</v>
      </c>
      <c r="C15" s="207"/>
      <c r="D15" s="195"/>
      <c r="E15" s="195"/>
      <c r="F15" s="20"/>
      <c r="G15" s="19"/>
      <c r="H15" s="215"/>
      <c r="I15" s="204"/>
      <c r="J15" s="194"/>
      <c r="K15" s="207"/>
      <c r="L15" s="195"/>
      <c r="M15" s="195"/>
      <c r="N15" s="19"/>
      <c r="O15" s="131"/>
      <c r="P15" s="217"/>
      <c r="Q15" s="20"/>
      <c r="R15" s="20"/>
      <c r="S15" s="19"/>
      <c r="T15" s="207"/>
      <c r="U15" s="271"/>
      <c r="V15" s="203"/>
      <c r="W15" s="250">
        <f t="shared" si="2"/>
        <v>0</v>
      </c>
    </row>
    <row r="16" spans="1:23" s="2" customFormat="1" ht="15.75" thickBot="1" x14ac:dyDescent="0.3">
      <c r="A16" s="25" t="s">
        <v>2</v>
      </c>
      <c r="B16" s="220">
        <v>44017</v>
      </c>
      <c r="C16" s="207"/>
      <c r="D16" s="195"/>
      <c r="E16" s="195"/>
      <c r="F16" s="20"/>
      <c r="G16" s="19"/>
      <c r="H16" s="215"/>
      <c r="I16" s="204"/>
      <c r="J16" s="194"/>
      <c r="K16" s="207"/>
      <c r="L16" s="195"/>
      <c r="M16" s="195"/>
      <c r="N16" s="19"/>
      <c r="O16" s="440"/>
      <c r="P16" s="34"/>
      <c r="Q16" s="34"/>
      <c r="R16" s="34"/>
      <c r="S16" s="270"/>
      <c r="T16" s="207"/>
      <c r="U16" s="195"/>
      <c r="V16" s="203"/>
      <c r="W16" s="250">
        <f t="shared" si="2"/>
        <v>0</v>
      </c>
    </row>
    <row r="17" spans="1:23" s="2" customFormat="1" ht="15.75" outlineLevel="1" thickBot="1" x14ac:dyDescent="0.3">
      <c r="A17" s="147" t="s">
        <v>20</v>
      </c>
      <c r="B17" s="646" t="s">
        <v>23</v>
      </c>
      <c r="C17" s="208">
        <f t="shared" ref="C17:V17" si="3">SUM(C10:C16)</f>
        <v>0</v>
      </c>
      <c r="D17" s="201">
        <f t="shared" si="3"/>
        <v>0</v>
      </c>
      <c r="E17" s="201">
        <f t="shared" si="3"/>
        <v>0</v>
      </c>
      <c r="F17" s="201">
        <f t="shared" si="3"/>
        <v>0</v>
      </c>
      <c r="G17" s="435">
        <f t="shared" si="3"/>
        <v>171</v>
      </c>
      <c r="H17" s="432">
        <f t="shared" si="3"/>
        <v>0</v>
      </c>
      <c r="I17" s="435">
        <f t="shared" ref="I17" si="4">SUM(I10:I16)</f>
        <v>0</v>
      </c>
      <c r="J17" s="472"/>
      <c r="K17" s="208">
        <f t="shared" si="3"/>
        <v>1207</v>
      </c>
      <c r="L17" s="201">
        <f t="shared" si="3"/>
        <v>712</v>
      </c>
      <c r="M17" s="201">
        <f t="shared" si="3"/>
        <v>0</v>
      </c>
      <c r="N17" s="435">
        <f t="shared" si="3"/>
        <v>0</v>
      </c>
      <c r="O17" s="432">
        <f t="shared" si="3"/>
        <v>2339</v>
      </c>
      <c r="P17" s="208">
        <f t="shared" si="3"/>
        <v>0</v>
      </c>
      <c r="Q17" s="208">
        <f t="shared" si="3"/>
        <v>0</v>
      </c>
      <c r="R17" s="208">
        <f t="shared" si="3"/>
        <v>0</v>
      </c>
      <c r="S17" s="208">
        <f t="shared" si="3"/>
        <v>0</v>
      </c>
      <c r="T17" s="208">
        <f t="shared" si="3"/>
        <v>0</v>
      </c>
      <c r="U17" s="208">
        <f t="shared" si="3"/>
        <v>0</v>
      </c>
      <c r="V17" s="428">
        <f t="shared" si="3"/>
        <v>0</v>
      </c>
      <c r="W17" s="436">
        <f>SUM(W10:W16)</f>
        <v>4429</v>
      </c>
    </row>
    <row r="18" spans="1:23" s="2" customFormat="1" ht="15.75" outlineLevel="1" thickBot="1" x14ac:dyDescent="0.3">
      <c r="A18" s="102" t="s">
        <v>22</v>
      </c>
      <c r="B18" s="647"/>
      <c r="C18" s="208" t="e">
        <f t="shared" ref="C18:W18" si="5">AVERAGE(C10:C16)</f>
        <v>#DIV/0!</v>
      </c>
      <c r="D18" s="201" t="e">
        <f t="shared" si="5"/>
        <v>#DIV/0!</v>
      </c>
      <c r="E18" s="201" t="e">
        <f t="shared" si="5"/>
        <v>#DIV/0!</v>
      </c>
      <c r="F18" s="201" t="e">
        <f t="shared" si="5"/>
        <v>#DIV/0!</v>
      </c>
      <c r="G18" s="435">
        <f t="shared" si="5"/>
        <v>57</v>
      </c>
      <c r="H18" s="432" t="e">
        <f t="shared" si="5"/>
        <v>#DIV/0!</v>
      </c>
      <c r="I18" s="435" t="e">
        <f t="shared" ref="I18" si="6">AVERAGE(I10:I16)</f>
        <v>#DIV/0!</v>
      </c>
      <c r="J18" s="472"/>
      <c r="K18" s="208">
        <f t="shared" si="5"/>
        <v>402.33333333333331</v>
      </c>
      <c r="L18" s="201">
        <f t="shared" si="5"/>
        <v>237.33333333333334</v>
      </c>
      <c r="M18" s="201" t="e">
        <f t="shared" si="5"/>
        <v>#DIV/0!</v>
      </c>
      <c r="N18" s="435" t="e">
        <f t="shared" si="5"/>
        <v>#DIV/0!</v>
      </c>
      <c r="O18" s="432">
        <f t="shared" si="5"/>
        <v>779.66666666666663</v>
      </c>
      <c r="P18" s="208" t="e">
        <f t="shared" si="5"/>
        <v>#DIV/0!</v>
      </c>
      <c r="Q18" s="208" t="e">
        <f t="shared" si="5"/>
        <v>#DIV/0!</v>
      </c>
      <c r="R18" s="208" t="e">
        <f t="shared" si="5"/>
        <v>#DIV/0!</v>
      </c>
      <c r="S18" s="208" t="e">
        <f t="shared" si="5"/>
        <v>#DIV/0!</v>
      </c>
      <c r="T18" s="208" t="e">
        <f t="shared" si="5"/>
        <v>#DIV/0!</v>
      </c>
      <c r="U18" s="208" t="e">
        <f t="shared" si="5"/>
        <v>#DIV/0!</v>
      </c>
      <c r="V18" s="428" t="e">
        <f t="shared" si="5"/>
        <v>#DIV/0!</v>
      </c>
      <c r="W18" s="436">
        <f t="shared" si="5"/>
        <v>632.71428571428567</v>
      </c>
    </row>
    <row r="19" spans="1:23" s="2" customFormat="1" ht="15.75" outlineLevel="1" thickBot="1" x14ac:dyDescent="0.3">
      <c r="A19" s="26" t="s">
        <v>19</v>
      </c>
      <c r="B19" s="647"/>
      <c r="C19" s="209">
        <f t="shared" ref="C19:V19" si="7">SUM(C10:C14)</f>
        <v>0</v>
      </c>
      <c r="D19" s="202">
        <f t="shared" si="7"/>
        <v>0</v>
      </c>
      <c r="E19" s="202">
        <f t="shared" si="7"/>
        <v>0</v>
      </c>
      <c r="F19" s="202">
        <f t="shared" si="7"/>
        <v>0</v>
      </c>
      <c r="G19" s="437">
        <f t="shared" si="7"/>
        <v>171</v>
      </c>
      <c r="H19" s="433">
        <f t="shared" si="7"/>
        <v>0</v>
      </c>
      <c r="I19" s="437">
        <f t="shared" ref="I19" si="8">SUM(I10:I14)</f>
        <v>0</v>
      </c>
      <c r="J19" s="473"/>
      <c r="K19" s="209">
        <f t="shared" si="7"/>
        <v>1207</v>
      </c>
      <c r="L19" s="202">
        <f t="shared" si="7"/>
        <v>712</v>
      </c>
      <c r="M19" s="202">
        <f t="shared" si="7"/>
        <v>0</v>
      </c>
      <c r="N19" s="437">
        <f t="shared" si="7"/>
        <v>0</v>
      </c>
      <c r="O19" s="433">
        <f t="shared" si="7"/>
        <v>2339</v>
      </c>
      <c r="P19" s="209">
        <f t="shared" si="7"/>
        <v>0</v>
      </c>
      <c r="Q19" s="209">
        <f t="shared" si="7"/>
        <v>0</v>
      </c>
      <c r="R19" s="209">
        <f t="shared" si="7"/>
        <v>0</v>
      </c>
      <c r="S19" s="209">
        <f t="shared" si="7"/>
        <v>0</v>
      </c>
      <c r="T19" s="209">
        <f t="shared" si="7"/>
        <v>0</v>
      </c>
      <c r="U19" s="209">
        <f t="shared" si="7"/>
        <v>0</v>
      </c>
      <c r="V19" s="439">
        <f t="shared" si="7"/>
        <v>0</v>
      </c>
      <c r="W19" s="443">
        <f>SUM(W10:W14)</f>
        <v>4429</v>
      </c>
    </row>
    <row r="20" spans="1:23" s="2" customFormat="1" ht="15.75" outlineLevel="1" thickBot="1" x14ac:dyDescent="0.3">
      <c r="A20" s="26" t="s">
        <v>21</v>
      </c>
      <c r="B20" s="648"/>
      <c r="C20" s="209" t="e">
        <f>AVERAGE(C10:C14)</f>
        <v>#DIV/0!</v>
      </c>
      <c r="D20" s="202" t="e">
        <f t="shared" ref="D20:W20" si="9">AVERAGE(D10:D14)</f>
        <v>#DIV/0!</v>
      </c>
      <c r="E20" s="202" t="e">
        <f t="shared" si="9"/>
        <v>#DIV/0!</v>
      </c>
      <c r="F20" s="202" t="e">
        <f t="shared" si="9"/>
        <v>#DIV/0!</v>
      </c>
      <c r="G20" s="437">
        <f t="shared" si="9"/>
        <v>57</v>
      </c>
      <c r="H20" s="433" t="e">
        <f t="shared" si="9"/>
        <v>#DIV/0!</v>
      </c>
      <c r="I20" s="437" t="e">
        <f t="shared" ref="I20" si="10">AVERAGE(I10:I14)</f>
        <v>#DIV/0!</v>
      </c>
      <c r="J20" s="473"/>
      <c r="K20" s="209">
        <f t="shared" si="9"/>
        <v>402.33333333333331</v>
      </c>
      <c r="L20" s="202">
        <f t="shared" si="9"/>
        <v>237.33333333333334</v>
      </c>
      <c r="M20" s="202" t="e">
        <f t="shared" si="9"/>
        <v>#DIV/0!</v>
      </c>
      <c r="N20" s="437" t="e">
        <f t="shared" si="9"/>
        <v>#DIV/0!</v>
      </c>
      <c r="O20" s="433">
        <f t="shared" si="9"/>
        <v>779.66666666666663</v>
      </c>
      <c r="P20" s="209" t="e">
        <f t="shared" si="9"/>
        <v>#DIV/0!</v>
      </c>
      <c r="Q20" s="209" t="e">
        <f t="shared" si="9"/>
        <v>#DIV/0!</v>
      </c>
      <c r="R20" s="209" t="e">
        <f t="shared" si="9"/>
        <v>#DIV/0!</v>
      </c>
      <c r="S20" s="209" t="e">
        <f t="shared" si="9"/>
        <v>#DIV/0!</v>
      </c>
      <c r="T20" s="209" t="e">
        <f t="shared" si="9"/>
        <v>#DIV/0!</v>
      </c>
      <c r="U20" s="209" t="e">
        <f t="shared" si="9"/>
        <v>#DIV/0!</v>
      </c>
      <c r="V20" s="439" t="e">
        <f t="shared" si="9"/>
        <v>#DIV/0!</v>
      </c>
      <c r="W20" s="443">
        <f t="shared" si="9"/>
        <v>885.8</v>
      </c>
    </row>
    <row r="21" spans="1:23" s="2" customFormat="1" ht="15" customHeight="1" outlineLevel="1" x14ac:dyDescent="0.25">
      <c r="A21" s="25" t="s">
        <v>3</v>
      </c>
      <c r="B21" s="222">
        <f>B16+1</f>
        <v>44018</v>
      </c>
      <c r="C21" s="207">
        <v>34</v>
      </c>
      <c r="D21" s="195">
        <v>8</v>
      </c>
      <c r="E21" s="195"/>
      <c r="F21" s="179"/>
      <c r="G21" s="192">
        <v>75</v>
      </c>
      <c r="H21" s="215"/>
      <c r="I21" s="204"/>
      <c r="J21" s="194"/>
      <c r="K21" s="207">
        <v>308</v>
      </c>
      <c r="L21" s="195">
        <v>207</v>
      </c>
      <c r="M21" s="195"/>
      <c r="N21" s="368"/>
      <c r="O21" s="441">
        <v>549</v>
      </c>
      <c r="P21" s="179">
        <v>129</v>
      </c>
      <c r="Q21" s="180"/>
      <c r="R21" s="180">
        <v>86</v>
      </c>
      <c r="S21" s="192"/>
      <c r="T21" s="207"/>
      <c r="U21" s="195"/>
      <c r="V21" s="203"/>
      <c r="W21" s="250">
        <f>SUM(C21:V21)</f>
        <v>1396</v>
      </c>
    </row>
    <row r="22" spans="1:23" s="3" customFormat="1" ht="15" customHeight="1" outlineLevel="1" x14ac:dyDescent="0.25">
      <c r="A22" s="25" t="s">
        <v>4</v>
      </c>
      <c r="B22" s="214">
        <f t="shared" ref="B22:B27" si="11">B21+1</f>
        <v>44019</v>
      </c>
      <c r="C22" s="207">
        <v>64</v>
      </c>
      <c r="D22" s="195">
        <v>10</v>
      </c>
      <c r="E22" s="195"/>
      <c r="F22" s="179"/>
      <c r="G22" s="192">
        <v>103</v>
      </c>
      <c r="H22" s="215"/>
      <c r="I22" s="204"/>
      <c r="J22" s="194"/>
      <c r="K22" s="207">
        <v>393</v>
      </c>
      <c r="L22" s="195">
        <v>291</v>
      </c>
      <c r="M22" s="195"/>
      <c r="N22" s="368"/>
      <c r="O22" s="441">
        <v>658</v>
      </c>
      <c r="P22" s="179">
        <v>164</v>
      </c>
      <c r="Q22" s="180"/>
      <c r="R22" s="180">
        <v>113</v>
      </c>
      <c r="S22" s="192"/>
      <c r="T22" s="272"/>
      <c r="U22" s="195"/>
      <c r="V22" s="203"/>
      <c r="W22" s="250">
        <f>SUM(C22:V22)</f>
        <v>1796</v>
      </c>
    </row>
    <row r="23" spans="1:23" s="3" customFormat="1" ht="15" customHeight="1" outlineLevel="1" x14ac:dyDescent="0.25">
      <c r="A23" s="25" t="s">
        <v>5</v>
      </c>
      <c r="B23" s="214">
        <f t="shared" si="11"/>
        <v>44020</v>
      </c>
      <c r="C23" s="207">
        <v>47</v>
      </c>
      <c r="D23" s="195">
        <v>15</v>
      </c>
      <c r="E23" s="195"/>
      <c r="F23" s="179"/>
      <c r="G23" s="192">
        <v>91</v>
      </c>
      <c r="H23" s="215"/>
      <c r="I23" s="204"/>
      <c r="J23" s="194"/>
      <c r="K23" s="207">
        <v>315</v>
      </c>
      <c r="L23" s="195">
        <v>193</v>
      </c>
      <c r="M23" s="195"/>
      <c r="N23" s="368"/>
      <c r="O23" s="441">
        <v>614</v>
      </c>
      <c r="P23" s="179">
        <v>63</v>
      </c>
      <c r="Q23" s="180"/>
      <c r="R23" s="180">
        <v>186</v>
      </c>
      <c r="S23" s="192"/>
      <c r="T23" s="272"/>
      <c r="U23" s="195"/>
      <c r="V23" s="203"/>
      <c r="W23" s="250">
        <f>SUM(C23:V23)</f>
        <v>1524</v>
      </c>
    </row>
    <row r="24" spans="1:23" s="3" customFormat="1" ht="15" customHeight="1" x14ac:dyDescent="0.25">
      <c r="A24" s="25" t="s">
        <v>6</v>
      </c>
      <c r="B24" s="214">
        <f t="shared" si="11"/>
        <v>44021</v>
      </c>
      <c r="C24" s="207">
        <v>68</v>
      </c>
      <c r="D24" s="195">
        <v>10</v>
      </c>
      <c r="E24" s="195"/>
      <c r="F24" s="179"/>
      <c r="G24" s="192">
        <v>88</v>
      </c>
      <c r="H24" s="215"/>
      <c r="I24" s="204"/>
      <c r="J24" s="194"/>
      <c r="K24" s="207">
        <v>523</v>
      </c>
      <c r="L24" s="195">
        <v>254</v>
      </c>
      <c r="M24" s="195"/>
      <c r="N24" s="368"/>
      <c r="O24" s="441">
        <v>750</v>
      </c>
      <c r="P24" s="179">
        <v>77</v>
      </c>
      <c r="Q24" s="180"/>
      <c r="R24" s="180">
        <v>259</v>
      </c>
      <c r="S24" s="192"/>
      <c r="T24" s="272"/>
      <c r="U24" s="195"/>
      <c r="V24" s="203"/>
      <c r="W24" s="250">
        <f t="shared" ref="W24" si="12">SUM(C24:V24)</f>
        <v>2029</v>
      </c>
    </row>
    <row r="25" spans="1:23" s="3" customFormat="1" ht="15" customHeight="1" x14ac:dyDescent="0.25">
      <c r="A25" s="25" t="s">
        <v>0</v>
      </c>
      <c r="B25" s="214">
        <f t="shared" si="11"/>
        <v>44022</v>
      </c>
      <c r="C25" s="207">
        <v>66</v>
      </c>
      <c r="D25" s="195">
        <v>12</v>
      </c>
      <c r="E25" s="195"/>
      <c r="F25" s="179"/>
      <c r="G25" s="192">
        <v>60</v>
      </c>
      <c r="H25" s="215"/>
      <c r="I25" s="204"/>
      <c r="J25" s="194"/>
      <c r="K25" s="207">
        <v>176</v>
      </c>
      <c r="L25" s="195">
        <v>49</v>
      </c>
      <c r="M25" s="195"/>
      <c r="N25" s="368"/>
      <c r="O25" s="441">
        <v>367</v>
      </c>
      <c r="P25" s="179">
        <v>32</v>
      </c>
      <c r="Q25" s="180"/>
      <c r="R25" s="179">
        <v>55</v>
      </c>
      <c r="S25" s="192"/>
      <c r="T25" s="272"/>
      <c r="U25" s="195"/>
      <c r="V25" s="203"/>
      <c r="W25" s="250">
        <f>SUM(C25:V25)</f>
        <v>817</v>
      </c>
    </row>
    <row r="26" spans="1:23" s="3" customFormat="1" ht="15" customHeight="1" x14ac:dyDescent="0.25">
      <c r="A26" s="25" t="s">
        <v>1</v>
      </c>
      <c r="B26" s="214">
        <f t="shared" si="11"/>
        <v>44023</v>
      </c>
      <c r="C26" s="207"/>
      <c r="D26" s="195"/>
      <c r="E26" s="195"/>
      <c r="F26" s="180"/>
      <c r="G26" s="192"/>
      <c r="H26" s="215"/>
      <c r="I26" s="204"/>
      <c r="J26" s="194"/>
      <c r="K26" s="207"/>
      <c r="L26" s="195"/>
      <c r="M26" s="195"/>
      <c r="N26" s="192"/>
      <c r="O26" s="441"/>
      <c r="P26" s="180"/>
      <c r="Q26" s="180"/>
      <c r="R26" s="180"/>
      <c r="S26" s="192"/>
      <c r="T26" s="207"/>
      <c r="U26" s="195"/>
      <c r="V26" s="203"/>
      <c r="W26" s="250">
        <f>SUM(C26:V26)</f>
        <v>0</v>
      </c>
    </row>
    <row r="27" spans="1:23" s="3" customFormat="1" ht="15" customHeight="1" thickBot="1" x14ac:dyDescent="0.3">
      <c r="A27" s="25" t="s">
        <v>2</v>
      </c>
      <c r="B27" s="214">
        <f t="shared" si="11"/>
        <v>44024</v>
      </c>
      <c r="C27" s="207"/>
      <c r="D27" s="195"/>
      <c r="E27" s="195"/>
      <c r="F27" s="180"/>
      <c r="G27" s="192"/>
      <c r="H27" s="215"/>
      <c r="I27" s="204"/>
      <c r="J27" s="194"/>
      <c r="K27" s="207"/>
      <c r="L27" s="195"/>
      <c r="M27" s="195"/>
      <c r="N27" s="192"/>
      <c r="O27" s="441"/>
      <c r="P27" s="180"/>
      <c r="Q27" s="180"/>
      <c r="R27" s="180"/>
      <c r="S27" s="192"/>
      <c r="T27" s="207"/>
      <c r="U27" s="271"/>
      <c r="V27" s="203"/>
      <c r="W27" s="250">
        <f>SUM(C27:V27)</f>
        <v>0</v>
      </c>
    </row>
    <row r="28" spans="1:23" s="3" customFormat="1" ht="15" customHeight="1" thickBot="1" x14ac:dyDescent="0.3">
      <c r="A28" s="147" t="s">
        <v>20</v>
      </c>
      <c r="B28" s="646" t="s">
        <v>24</v>
      </c>
      <c r="C28" s="208">
        <f t="shared" ref="C28:V28" si="13">SUM(C21:C27)</f>
        <v>279</v>
      </c>
      <c r="D28" s="201">
        <f t="shared" si="13"/>
        <v>55</v>
      </c>
      <c r="E28" s="201">
        <f t="shared" si="13"/>
        <v>0</v>
      </c>
      <c r="F28" s="201">
        <f t="shared" si="13"/>
        <v>0</v>
      </c>
      <c r="G28" s="435">
        <f t="shared" si="13"/>
        <v>417</v>
      </c>
      <c r="H28" s="432">
        <f t="shared" si="13"/>
        <v>0</v>
      </c>
      <c r="I28" s="435">
        <f t="shared" ref="I28" si="14">SUM(I21:I27)</f>
        <v>0</v>
      </c>
      <c r="J28" s="472"/>
      <c r="K28" s="208">
        <f t="shared" si="13"/>
        <v>1715</v>
      </c>
      <c r="L28" s="201">
        <f t="shared" si="13"/>
        <v>994</v>
      </c>
      <c r="M28" s="201">
        <f t="shared" si="13"/>
        <v>0</v>
      </c>
      <c r="N28" s="435">
        <f t="shared" si="13"/>
        <v>0</v>
      </c>
      <c r="O28" s="432">
        <f t="shared" si="13"/>
        <v>2938</v>
      </c>
      <c r="P28" s="208">
        <f t="shared" si="13"/>
        <v>465</v>
      </c>
      <c r="Q28" s="208">
        <f t="shared" si="13"/>
        <v>0</v>
      </c>
      <c r="R28" s="208">
        <f t="shared" si="13"/>
        <v>699</v>
      </c>
      <c r="S28" s="208">
        <f t="shared" si="13"/>
        <v>0</v>
      </c>
      <c r="T28" s="208">
        <f t="shared" si="13"/>
        <v>0</v>
      </c>
      <c r="U28" s="208">
        <f t="shared" si="13"/>
        <v>0</v>
      </c>
      <c r="V28" s="428">
        <f t="shared" si="13"/>
        <v>0</v>
      </c>
      <c r="W28" s="436">
        <f>SUM(W21:W27)</f>
        <v>7562</v>
      </c>
    </row>
    <row r="29" spans="1:23" s="3" customFormat="1" ht="15" customHeight="1" thickBot="1" x14ac:dyDescent="0.3">
      <c r="A29" s="102" t="s">
        <v>22</v>
      </c>
      <c r="B29" s="647"/>
      <c r="C29" s="208">
        <f t="shared" ref="C29:V29" si="15">AVERAGE(C21:C27)</f>
        <v>55.8</v>
      </c>
      <c r="D29" s="201">
        <f t="shared" si="15"/>
        <v>11</v>
      </c>
      <c r="E29" s="201" t="e">
        <f t="shared" si="15"/>
        <v>#DIV/0!</v>
      </c>
      <c r="F29" s="201" t="e">
        <f t="shared" si="15"/>
        <v>#DIV/0!</v>
      </c>
      <c r="G29" s="435">
        <f t="shared" si="15"/>
        <v>83.4</v>
      </c>
      <c r="H29" s="432" t="e">
        <f t="shared" si="15"/>
        <v>#DIV/0!</v>
      </c>
      <c r="I29" s="435" t="e">
        <f t="shared" ref="I29" si="16">AVERAGE(I21:I27)</f>
        <v>#DIV/0!</v>
      </c>
      <c r="J29" s="472"/>
      <c r="K29" s="208">
        <f t="shared" si="15"/>
        <v>343</v>
      </c>
      <c r="L29" s="201">
        <f t="shared" si="15"/>
        <v>198.8</v>
      </c>
      <c r="M29" s="201" t="e">
        <f t="shared" si="15"/>
        <v>#DIV/0!</v>
      </c>
      <c r="N29" s="435" t="e">
        <f t="shared" si="15"/>
        <v>#DIV/0!</v>
      </c>
      <c r="O29" s="432">
        <f t="shared" si="15"/>
        <v>587.6</v>
      </c>
      <c r="P29" s="208">
        <f t="shared" si="15"/>
        <v>93</v>
      </c>
      <c r="Q29" s="208" t="e">
        <f t="shared" si="15"/>
        <v>#DIV/0!</v>
      </c>
      <c r="R29" s="208">
        <f t="shared" si="15"/>
        <v>139.80000000000001</v>
      </c>
      <c r="S29" s="208" t="e">
        <f t="shared" si="15"/>
        <v>#DIV/0!</v>
      </c>
      <c r="T29" s="208" t="e">
        <f t="shared" si="15"/>
        <v>#DIV/0!</v>
      </c>
      <c r="U29" s="208" t="e">
        <f t="shared" si="15"/>
        <v>#DIV/0!</v>
      </c>
      <c r="V29" s="428" t="e">
        <f t="shared" si="15"/>
        <v>#DIV/0!</v>
      </c>
      <c r="W29" s="436">
        <f>AVERAGE(W21:W27)</f>
        <v>1080.2857142857142</v>
      </c>
    </row>
    <row r="30" spans="1:23" s="3" customFormat="1" ht="15" customHeight="1" thickBot="1" x14ac:dyDescent="0.3">
      <c r="A30" s="26" t="s">
        <v>19</v>
      </c>
      <c r="B30" s="647"/>
      <c r="C30" s="209">
        <f t="shared" ref="C30:V30" si="17">SUM(C21:C25)</f>
        <v>279</v>
      </c>
      <c r="D30" s="202">
        <f t="shared" si="17"/>
        <v>55</v>
      </c>
      <c r="E30" s="202">
        <f t="shared" si="17"/>
        <v>0</v>
      </c>
      <c r="F30" s="202">
        <f t="shared" si="17"/>
        <v>0</v>
      </c>
      <c r="G30" s="437">
        <f t="shared" si="17"/>
        <v>417</v>
      </c>
      <c r="H30" s="433">
        <f t="shared" si="17"/>
        <v>0</v>
      </c>
      <c r="I30" s="437">
        <f t="shared" ref="I30" si="18">SUM(I21:I25)</f>
        <v>0</v>
      </c>
      <c r="J30" s="473"/>
      <c r="K30" s="209">
        <f t="shared" si="17"/>
        <v>1715</v>
      </c>
      <c r="L30" s="202">
        <f t="shared" si="17"/>
        <v>994</v>
      </c>
      <c r="M30" s="202">
        <f t="shared" si="17"/>
        <v>0</v>
      </c>
      <c r="N30" s="437">
        <f t="shared" si="17"/>
        <v>0</v>
      </c>
      <c r="O30" s="433">
        <f t="shared" si="17"/>
        <v>2938</v>
      </c>
      <c r="P30" s="209">
        <f t="shared" si="17"/>
        <v>465</v>
      </c>
      <c r="Q30" s="209">
        <f t="shared" si="17"/>
        <v>0</v>
      </c>
      <c r="R30" s="209">
        <f t="shared" si="17"/>
        <v>699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439">
        <f t="shared" si="17"/>
        <v>0</v>
      </c>
      <c r="W30" s="443">
        <f>SUM(W21:W25)</f>
        <v>7562</v>
      </c>
    </row>
    <row r="31" spans="1:23" s="3" customFormat="1" ht="15" customHeight="1" outlineLevel="1" thickBot="1" x14ac:dyDescent="0.3">
      <c r="A31" s="26" t="s">
        <v>21</v>
      </c>
      <c r="B31" s="648"/>
      <c r="C31" s="209">
        <f t="shared" ref="C31:V31" si="19">AVERAGE(C21:C25)</f>
        <v>55.8</v>
      </c>
      <c r="D31" s="202">
        <f t="shared" si="19"/>
        <v>11</v>
      </c>
      <c r="E31" s="202" t="e">
        <f t="shared" si="19"/>
        <v>#DIV/0!</v>
      </c>
      <c r="F31" s="202" t="e">
        <f t="shared" si="19"/>
        <v>#DIV/0!</v>
      </c>
      <c r="G31" s="437">
        <f t="shared" si="19"/>
        <v>83.4</v>
      </c>
      <c r="H31" s="433" t="e">
        <f t="shared" si="19"/>
        <v>#DIV/0!</v>
      </c>
      <c r="I31" s="437" t="e">
        <f t="shared" ref="I31" si="20">AVERAGE(I21:I25)</f>
        <v>#DIV/0!</v>
      </c>
      <c r="J31" s="473"/>
      <c r="K31" s="209">
        <f t="shared" si="19"/>
        <v>343</v>
      </c>
      <c r="L31" s="202">
        <f t="shared" si="19"/>
        <v>198.8</v>
      </c>
      <c r="M31" s="202" t="e">
        <f t="shared" si="19"/>
        <v>#DIV/0!</v>
      </c>
      <c r="N31" s="437" t="e">
        <f t="shared" si="19"/>
        <v>#DIV/0!</v>
      </c>
      <c r="O31" s="433">
        <f t="shared" si="19"/>
        <v>587.6</v>
      </c>
      <c r="P31" s="209">
        <f t="shared" si="19"/>
        <v>93</v>
      </c>
      <c r="Q31" s="209" t="e">
        <f t="shared" si="19"/>
        <v>#DIV/0!</v>
      </c>
      <c r="R31" s="209">
        <f t="shared" si="19"/>
        <v>139.80000000000001</v>
      </c>
      <c r="S31" s="209" t="e">
        <f t="shared" si="19"/>
        <v>#DIV/0!</v>
      </c>
      <c r="T31" s="209" t="e">
        <f t="shared" si="19"/>
        <v>#DIV/0!</v>
      </c>
      <c r="U31" s="209" t="e">
        <f t="shared" si="19"/>
        <v>#DIV/0!</v>
      </c>
      <c r="V31" s="439" t="e">
        <f t="shared" si="19"/>
        <v>#DIV/0!</v>
      </c>
      <c r="W31" s="443">
        <f>AVERAGE(W21:W25)</f>
        <v>1512.4</v>
      </c>
    </row>
    <row r="32" spans="1:23" s="3" customFormat="1" ht="15" customHeight="1" outlineLevel="1" x14ac:dyDescent="0.25">
      <c r="A32" s="25" t="s">
        <v>3</v>
      </c>
      <c r="B32" s="223">
        <f>B27+1</f>
        <v>44025</v>
      </c>
      <c r="C32" s="207">
        <v>61</v>
      </c>
      <c r="D32" s="195">
        <v>30</v>
      </c>
      <c r="E32" s="195"/>
      <c r="F32" s="20"/>
      <c r="G32" s="19">
        <v>108</v>
      </c>
      <c r="H32" s="215"/>
      <c r="I32" s="204"/>
      <c r="J32" s="194"/>
      <c r="K32" s="207">
        <v>388</v>
      </c>
      <c r="L32" s="172">
        <v>212</v>
      </c>
      <c r="M32" s="195"/>
      <c r="N32" s="19"/>
      <c r="O32" s="131">
        <v>683</v>
      </c>
      <c r="P32" s="20">
        <v>52</v>
      </c>
      <c r="Q32" s="20"/>
      <c r="R32" s="20">
        <v>241</v>
      </c>
      <c r="S32" s="19"/>
      <c r="T32" s="207"/>
      <c r="U32" s="195"/>
      <c r="V32" s="203"/>
      <c r="W32" s="250">
        <f>SUM(C32:V32)</f>
        <v>1775</v>
      </c>
    </row>
    <row r="33" spans="1:23" s="3" customFormat="1" ht="15" customHeight="1" outlineLevel="1" x14ac:dyDescent="0.25">
      <c r="A33" s="25" t="s">
        <v>4</v>
      </c>
      <c r="B33" s="224">
        <f t="shared" ref="B33:B38" si="21">B32+1</f>
        <v>44026</v>
      </c>
      <c r="C33" s="207">
        <v>83</v>
      </c>
      <c r="D33" s="195">
        <v>31</v>
      </c>
      <c r="E33" s="195"/>
      <c r="F33" s="20"/>
      <c r="G33" s="19">
        <v>106</v>
      </c>
      <c r="H33" s="215"/>
      <c r="I33" s="204"/>
      <c r="J33" s="194"/>
      <c r="K33" s="207">
        <v>424</v>
      </c>
      <c r="L33" s="195">
        <v>238</v>
      </c>
      <c r="M33" s="195"/>
      <c r="N33" s="19"/>
      <c r="O33" s="131">
        <v>913</v>
      </c>
      <c r="P33" s="20">
        <v>124</v>
      </c>
      <c r="Q33" s="20"/>
      <c r="R33" s="20">
        <v>249</v>
      </c>
      <c r="S33" s="19"/>
      <c r="T33" s="207"/>
      <c r="U33" s="195"/>
      <c r="V33" s="203"/>
      <c r="W33" s="250">
        <f>SUM(C33:V33)</f>
        <v>2168</v>
      </c>
    </row>
    <row r="34" spans="1:23" s="3" customFormat="1" ht="15" customHeight="1" outlineLevel="1" x14ac:dyDescent="0.25">
      <c r="A34" s="25" t="s">
        <v>5</v>
      </c>
      <c r="B34" s="224">
        <f t="shared" si="21"/>
        <v>44027</v>
      </c>
      <c r="C34" s="207">
        <v>78</v>
      </c>
      <c r="D34" s="195">
        <v>20</v>
      </c>
      <c r="E34" s="195"/>
      <c r="F34" s="20"/>
      <c r="G34" s="19">
        <v>98</v>
      </c>
      <c r="H34" s="215"/>
      <c r="I34" s="204"/>
      <c r="J34" s="194"/>
      <c r="K34" s="207">
        <v>461</v>
      </c>
      <c r="L34" s="195">
        <v>318</v>
      </c>
      <c r="M34" s="195"/>
      <c r="N34" s="19"/>
      <c r="O34" s="131">
        <v>937</v>
      </c>
      <c r="P34" s="20">
        <v>93</v>
      </c>
      <c r="Q34" s="20"/>
      <c r="R34" s="20">
        <v>296</v>
      </c>
      <c r="S34" s="19"/>
      <c r="T34" s="207"/>
      <c r="U34" s="195"/>
      <c r="V34" s="203"/>
      <c r="W34" s="250">
        <f>SUM(C34:V34)</f>
        <v>2301</v>
      </c>
    </row>
    <row r="35" spans="1:23" s="3" customFormat="1" ht="15" customHeight="1" x14ac:dyDescent="0.25">
      <c r="A35" s="25" t="s">
        <v>6</v>
      </c>
      <c r="B35" s="224">
        <f t="shared" si="21"/>
        <v>44028</v>
      </c>
      <c r="C35" s="207">
        <v>95</v>
      </c>
      <c r="D35" s="195">
        <v>21</v>
      </c>
      <c r="E35" s="195"/>
      <c r="F35" s="20"/>
      <c r="G35" s="19">
        <v>98</v>
      </c>
      <c r="H35" s="215"/>
      <c r="I35" s="204"/>
      <c r="J35" s="194"/>
      <c r="K35" s="207">
        <v>476</v>
      </c>
      <c r="L35" s="195">
        <v>244</v>
      </c>
      <c r="M35" s="195"/>
      <c r="N35" s="19"/>
      <c r="O35" s="131">
        <v>953</v>
      </c>
      <c r="P35" s="20">
        <v>86</v>
      </c>
      <c r="Q35" s="20"/>
      <c r="R35" s="20">
        <v>353</v>
      </c>
      <c r="S35" s="19"/>
      <c r="T35" s="207"/>
      <c r="U35" s="195"/>
      <c r="V35" s="203"/>
      <c r="W35" s="250">
        <f t="shared" ref="W35:W37" si="22">SUM(C35:V35)</f>
        <v>2326</v>
      </c>
    </row>
    <row r="36" spans="1:23" s="3" customFormat="1" ht="15" customHeight="1" x14ac:dyDescent="0.25">
      <c r="A36" s="25" t="s">
        <v>0</v>
      </c>
      <c r="B36" s="224">
        <f t="shared" si="21"/>
        <v>44029</v>
      </c>
      <c r="C36" s="207">
        <v>27</v>
      </c>
      <c r="D36" s="195">
        <v>4</v>
      </c>
      <c r="E36" s="195"/>
      <c r="F36" s="20"/>
      <c r="G36" s="19">
        <v>86</v>
      </c>
      <c r="H36" s="215"/>
      <c r="I36" s="204"/>
      <c r="J36" s="194"/>
      <c r="K36" s="207">
        <v>112</v>
      </c>
      <c r="L36" s="195">
        <v>42</v>
      </c>
      <c r="M36" s="195"/>
      <c r="N36" s="19"/>
      <c r="O36" s="131">
        <v>658</v>
      </c>
      <c r="P36" s="20">
        <v>73</v>
      </c>
      <c r="Q36" s="20"/>
      <c r="R36" s="20">
        <v>365</v>
      </c>
      <c r="S36" s="19"/>
      <c r="T36" s="207"/>
      <c r="U36" s="195"/>
      <c r="V36" s="203"/>
      <c r="W36" s="250">
        <f t="shared" si="22"/>
        <v>1367</v>
      </c>
    </row>
    <row r="37" spans="1:23" s="3" customFormat="1" ht="15" customHeight="1" x14ac:dyDescent="0.25">
      <c r="A37" s="25" t="s">
        <v>1</v>
      </c>
      <c r="B37" s="224">
        <f t="shared" si="21"/>
        <v>44030</v>
      </c>
      <c r="C37" s="207"/>
      <c r="D37" s="195"/>
      <c r="E37" s="195"/>
      <c r="F37" s="20"/>
      <c r="G37" s="19"/>
      <c r="H37" s="215"/>
      <c r="I37" s="204">
        <v>2840</v>
      </c>
      <c r="J37" s="194"/>
      <c r="K37" s="207"/>
      <c r="L37" s="195"/>
      <c r="M37" s="195"/>
      <c r="N37" s="19"/>
      <c r="O37" s="131"/>
      <c r="P37" s="20"/>
      <c r="Q37" s="20"/>
      <c r="R37" s="20"/>
      <c r="S37" s="19"/>
      <c r="T37" s="207"/>
      <c r="U37" s="195"/>
      <c r="V37" s="203"/>
      <c r="W37" s="250">
        <f t="shared" si="22"/>
        <v>2840</v>
      </c>
    </row>
    <row r="38" spans="1:23" s="3" customFormat="1" ht="15" customHeight="1" thickBot="1" x14ac:dyDescent="0.3">
      <c r="A38" s="25" t="s">
        <v>2</v>
      </c>
      <c r="B38" s="224">
        <f t="shared" si="21"/>
        <v>44031</v>
      </c>
      <c r="C38" s="207"/>
      <c r="D38" s="195"/>
      <c r="E38" s="195"/>
      <c r="F38" s="20"/>
      <c r="G38" s="19"/>
      <c r="H38" s="215"/>
      <c r="I38" s="204">
        <v>2128</v>
      </c>
      <c r="J38" s="194">
        <v>947</v>
      </c>
      <c r="K38" s="207"/>
      <c r="L38" s="195"/>
      <c r="M38" s="195"/>
      <c r="N38" s="19"/>
      <c r="O38" s="442"/>
      <c r="P38" s="20"/>
      <c r="Q38" s="20"/>
      <c r="R38" s="20"/>
      <c r="S38" s="19"/>
      <c r="T38" s="207"/>
      <c r="U38" s="195"/>
      <c r="V38" s="203"/>
      <c r="W38" s="250">
        <f>SUM(C38:V38)</f>
        <v>3075</v>
      </c>
    </row>
    <row r="39" spans="1:23" s="3" customFormat="1" ht="15" customHeight="1" thickBot="1" x14ac:dyDescent="0.3">
      <c r="A39" s="147" t="s">
        <v>20</v>
      </c>
      <c r="B39" s="646" t="s">
        <v>25</v>
      </c>
      <c r="C39" s="208">
        <f t="shared" ref="C39:V39" si="23">SUM(C32:C38)</f>
        <v>344</v>
      </c>
      <c r="D39" s="201">
        <f t="shared" si="23"/>
        <v>106</v>
      </c>
      <c r="E39" s="201">
        <f t="shared" si="23"/>
        <v>0</v>
      </c>
      <c r="F39" s="201">
        <f t="shared" si="23"/>
        <v>0</v>
      </c>
      <c r="G39" s="435">
        <f t="shared" si="23"/>
        <v>496</v>
      </c>
      <c r="H39" s="432">
        <f t="shared" si="23"/>
        <v>0</v>
      </c>
      <c r="I39" s="435">
        <f t="shared" si="23"/>
        <v>4968</v>
      </c>
      <c r="J39" s="435">
        <f t="shared" si="23"/>
        <v>947</v>
      </c>
      <c r="K39" s="208">
        <f t="shared" si="23"/>
        <v>1861</v>
      </c>
      <c r="L39" s="201">
        <f t="shared" si="23"/>
        <v>1054</v>
      </c>
      <c r="M39" s="201">
        <f t="shared" si="23"/>
        <v>0</v>
      </c>
      <c r="N39" s="435">
        <f t="shared" si="23"/>
        <v>0</v>
      </c>
      <c r="O39" s="432">
        <f t="shared" si="23"/>
        <v>4144</v>
      </c>
      <c r="P39" s="208">
        <f t="shared" si="23"/>
        <v>428</v>
      </c>
      <c r="Q39" s="208">
        <f t="shared" si="23"/>
        <v>0</v>
      </c>
      <c r="R39" s="208">
        <f t="shared" si="23"/>
        <v>1504</v>
      </c>
      <c r="S39" s="208">
        <f t="shared" si="23"/>
        <v>0</v>
      </c>
      <c r="T39" s="208">
        <f t="shared" si="23"/>
        <v>0</v>
      </c>
      <c r="U39" s="208">
        <f t="shared" si="23"/>
        <v>0</v>
      </c>
      <c r="V39" s="428">
        <f t="shared" si="23"/>
        <v>0</v>
      </c>
      <c r="W39" s="436">
        <f>SUM(W32:W38)</f>
        <v>15852</v>
      </c>
    </row>
    <row r="40" spans="1:23" s="3" customFormat="1" ht="15" customHeight="1" thickBot="1" x14ac:dyDescent="0.3">
      <c r="A40" s="102" t="s">
        <v>22</v>
      </c>
      <c r="B40" s="647"/>
      <c r="C40" s="208">
        <f t="shared" ref="C40:W40" si="24">AVERAGE(C32:C38)</f>
        <v>68.8</v>
      </c>
      <c r="D40" s="201">
        <f t="shared" si="24"/>
        <v>21.2</v>
      </c>
      <c r="E40" s="201" t="e">
        <f t="shared" si="24"/>
        <v>#DIV/0!</v>
      </c>
      <c r="F40" s="201" t="e">
        <f t="shared" si="24"/>
        <v>#DIV/0!</v>
      </c>
      <c r="G40" s="435">
        <f t="shared" si="24"/>
        <v>99.2</v>
      </c>
      <c r="H40" s="432" t="e">
        <f t="shared" si="24"/>
        <v>#DIV/0!</v>
      </c>
      <c r="I40" s="435">
        <f t="shared" si="24"/>
        <v>2484</v>
      </c>
      <c r="J40" s="435">
        <f t="shared" si="24"/>
        <v>947</v>
      </c>
      <c r="K40" s="208">
        <f t="shared" si="24"/>
        <v>372.2</v>
      </c>
      <c r="L40" s="201">
        <f t="shared" si="24"/>
        <v>210.8</v>
      </c>
      <c r="M40" s="201" t="e">
        <f t="shared" si="24"/>
        <v>#DIV/0!</v>
      </c>
      <c r="N40" s="435" t="e">
        <f t="shared" si="24"/>
        <v>#DIV/0!</v>
      </c>
      <c r="O40" s="432">
        <f t="shared" si="24"/>
        <v>828.8</v>
      </c>
      <c r="P40" s="208">
        <f t="shared" si="24"/>
        <v>85.6</v>
      </c>
      <c r="Q40" s="208" t="e">
        <f t="shared" si="24"/>
        <v>#DIV/0!</v>
      </c>
      <c r="R40" s="208">
        <f t="shared" si="24"/>
        <v>300.8</v>
      </c>
      <c r="S40" s="208" t="e">
        <f t="shared" si="24"/>
        <v>#DIV/0!</v>
      </c>
      <c r="T40" s="208" t="e">
        <f t="shared" si="24"/>
        <v>#DIV/0!</v>
      </c>
      <c r="U40" s="208" t="e">
        <f t="shared" si="24"/>
        <v>#DIV/0!</v>
      </c>
      <c r="V40" s="428" t="e">
        <f t="shared" si="24"/>
        <v>#DIV/0!</v>
      </c>
      <c r="W40" s="436">
        <f t="shared" si="24"/>
        <v>2264.5714285714284</v>
      </c>
    </row>
    <row r="41" spans="1:23" s="3" customFormat="1" ht="15" customHeight="1" thickBot="1" x14ac:dyDescent="0.3">
      <c r="A41" s="26" t="s">
        <v>19</v>
      </c>
      <c r="B41" s="647"/>
      <c r="C41" s="209">
        <f t="shared" ref="C41:V41" si="25">SUM(C32:C36)</f>
        <v>344</v>
      </c>
      <c r="D41" s="202">
        <f t="shared" si="25"/>
        <v>106</v>
      </c>
      <c r="E41" s="202">
        <f t="shared" si="25"/>
        <v>0</v>
      </c>
      <c r="F41" s="202">
        <f t="shared" si="25"/>
        <v>0</v>
      </c>
      <c r="G41" s="437">
        <f t="shared" si="25"/>
        <v>496</v>
      </c>
      <c r="H41" s="433">
        <f t="shared" si="25"/>
        <v>0</v>
      </c>
      <c r="I41" s="437">
        <f t="shared" si="25"/>
        <v>0</v>
      </c>
      <c r="J41" s="437">
        <f t="shared" si="25"/>
        <v>0</v>
      </c>
      <c r="K41" s="209">
        <f t="shared" si="25"/>
        <v>1861</v>
      </c>
      <c r="L41" s="202">
        <f t="shared" si="25"/>
        <v>1054</v>
      </c>
      <c r="M41" s="202">
        <f t="shared" si="25"/>
        <v>0</v>
      </c>
      <c r="N41" s="437">
        <f t="shared" si="25"/>
        <v>0</v>
      </c>
      <c r="O41" s="433">
        <f t="shared" si="25"/>
        <v>4144</v>
      </c>
      <c r="P41" s="209">
        <f t="shared" si="25"/>
        <v>428</v>
      </c>
      <c r="Q41" s="209">
        <f t="shared" si="25"/>
        <v>0</v>
      </c>
      <c r="R41" s="209">
        <f t="shared" si="25"/>
        <v>1504</v>
      </c>
      <c r="S41" s="209">
        <f t="shared" si="25"/>
        <v>0</v>
      </c>
      <c r="T41" s="209">
        <f t="shared" si="25"/>
        <v>0</v>
      </c>
      <c r="U41" s="209">
        <f t="shared" si="25"/>
        <v>0</v>
      </c>
      <c r="V41" s="439">
        <f t="shared" si="25"/>
        <v>0</v>
      </c>
      <c r="W41" s="443">
        <f>SUM(W32:W36)</f>
        <v>9937</v>
      </c>
    </row>
    <row r="42" spans="1:23" s="3" customFormat="1" ht="15" customHeight="1" outlineLevel="1" thickBot="1" x14ac:dyDescent="0.3">
      <c r="A42" s="26" t="s">
        <v>21</v>
      </c>
      <c r="B42" s="648"/>
      <c r="C42" s="209">
        <f>AVERAGE(C32:C36)</f>
        <v>68.8</v>
      </c>
      <c r="D42" s="202">
        <f t="shared" ref="D42:V42" si="26">AVERAGE(D32:D36)</f>
        <v>21.2</v>
      </c>
      <c r="E42" s="202" t="e">
        <f t="shared" si="26"/>
        <v>#DIV/0!</v>
      </c>
      <c r="F42" s="202" t="e">
        <f t="shared" si="26"/>
        <v>#DIV/0!</v>
      </c>
      <c r="G42" s="437">
        <f t="shared" si="26"/>
        <v>99.2</v>
      </c>
      <c r="H42" s="433" t="e">
        <f t="shared" si="26"/>
        <v>#DIV/0!</v>
      </c>
      <c r="I42" s="437" t="e">
        <f t="shared" si="26"/>
        <v>#DIV/0!</v>
      </c>
      <c r="J42" s="437" t="e">
        <f t="shared" si="26"/>
        <v>#DIV/0!</v>
      </c>
      <c r="K42" s="209">
        <f t="shared" si="26"/>
        <v>372.2</v>
      </c>
      <c r="L42" s="202">
        <f t="shared" si="26"/>
        <v>210.8</v>
      </c>
      <c r="M42" s="202" t="e">
        <f t="shared" si="26"/>
        <v>#DIV/0!</v>
      </c>
      <c r="N42" s="437" t="e">
        <f t="shared" si="26"/>
        <v>#DIV/0!</v>
      </c>
      <c r="O42" s="433">
        <f t="shared" si="26"/>
        <v>828.8</v>
      </c>
      <c r="P42" s="209">
        <f t="shared" si="26"/>
        <v>85.6</v>
      </c>
      <c r="Q42" s="209" t="e">
        <f t="shared" si="26"/>
        <v>#DIV/0!</v>
      </c>
      <c r="R42" s="209">
        <f t="shared" si="26"/>
        <v>300.8</v>
      </c>
      <c r="S42" s="209" t="e">
        <f t="shared" si="26"/>
        <v>#DIV/0!</v>
      </c>
      <c r="T42" s="209" t="e">
        <f t="shared" si="26"/>
        <v>#DIV/0!</v>
      </c>
      <c r="U42" s="209" t="e">
        <f t="shared" si="26"/>
        <v>#DIV/0!</v>
      </c>
      <c r="V42" s="439" t="e">
        <f t="shared" si="26"/>
        <v>#DIV/0!</v>
      </c>
      <c r="W42" s="443">
        <f>AVERAGE(W32:W36)</f>
        <v>1987.4</v>
      </c>
    </row>
    <row r="43" spans="1:23" s="3" customFormat="1" ht="15" customHeight="1" outlineLevel="1" x14ac:dyDescent="0.25">
      <c r="A43" s="25" t="s">
        <v>3</v>
      </c>
      <c r="B43" s="223">
        <f>B38+1</f>
        <v>44032</v>
      </c>
      <c r="C43" s="207">
        <v>69</v>
      </c>
      <c r="D43" s="195">
        <v>39</v>
      </c>
      <c r="E43" s="195"/>
      <c r="F43" s="179"/>
      <c r="G43" s="368">
        <v>125</v>
      </c>
      <c r="H43" s="215"/>
      <c r="I43" s="204">
        <v>1420</v>
      </c>
      <c r="J43" s="194"/>
      <c r="K43" s="207">
        <v>387</v>
      </c>
      <c r="L43" s="195">
        <v>249</v>
      </c>
      <c r="M43" s="195"/>
      <c r="N43" s="368"/>
      <c r="O43" s="441">
        <v>688</v>
      </c>
      <c r="P43" s="179">
        <v>55</v>
      </c>
      <c r="Q43" s="179"/>
      <c r="R43" s="180">
        <v>249</v>
      </c>
      <c r="S43" s="192"/>
      <c r="T43" s="207"/>
      <c r="U43" s="195"/>
      <c r="V43" s="174"/>
      <c r="W43" s="250">
        <f t="shared" ref="W43:W49" si="27">SUM(C43:V43)</f>
        <v>3281</v>
      </c>
    </row>
    <row r="44" spans="1:23" s="3" customFormat="1" ht="15" customHeight="1" outlineLevel="1" x14ac:dyDescent="0.25">
      <c r="A44" s="139" t="s">
        <v>4</v>
      </c>
      <c r="B44" s="224">
        <f t="shared" ref="B44:B49" si="28">B43+1</f>
        <v>44033</v>
      </c>
      <c r="C44" s="207">
        <v>97</v>
      </c>
      <c r="D44" s="195">
        <v>35</v>
      </c>
      <c r="E44" s="195"/>
      <c r="F44" s="180"/>
      <c r="G44" s="192">
        <v>118</v>
      </c>
      <c r="H44" s="215"/>
      <c r="I44" s="204">
        <v>2460</v>
      </c>
      <c r="J44" s="194"/>
      <c r="K44" s="207">
        <v>398</v>
      </c>
      <c r="L44" s="172">
        <v>262</v>
      </c>
      <c r="M44" s="195"/>
      <c r="N44" s="192"/>
      <c r="O44" s="441">
        <v>883</v>
      </c>
      <c r="P44" s="179">
        <v>90</v>
      </c>
      <c r="Q44" s="180"/>
      <c r="R44" s="180">
        <v>320</v>
      </c>
      <c r="S44" s="192"/>
      <c r="T44" s="207"/>
      <c r="U44" s="195"/>
      <c r="V44" s="174"/>
      <c r="W44" s="250">
        <f t="shared" si="27"/>
        <v>4663</v>
      </c>
    </row>
    <row r="45" spans="1:23" s="3" customFormat="1" ht="15" customHeight="1" outlineLevel="1" x14ac:dyDescent="0.25">
      <c r="A45" s="139" t="s">
        <v>5</v>
      </c>
      <c r="B45" s="224">
        <f t="shared" si="28"/>
        <v>44034</v>
      </c>
      <c r="C45" s="207">
        <v>82</v>
      </c>
      <c r="D45" s="195">
        <v>24</v>
      </c>
      <c r="E45" s="195"/>
      <c r="F45" s="180"/>
      <c r="G45" s="192">
        <v>122</v>
      </c>
      <c r="H45" s="215"/>
      <c r="I45" s="204">
        <v>1995</v>
      </c>
      <c r="J45" s="194"/>
      <c r="K45" s="207">
        <v>369</v>
      </c>
      <c r="L45" s="195">
        <v>226</v>
      </c>
      <c r="M45" s="195"/>
      <c r="N45" s="192"/>
      <c r="O45" s="441">
        <v>940</v>
      </c>
      <c r="P45" s="180">
        <v>148</v>
      </c>
      <c r="Q45" s="180"/>
      <c r="R45" s="180">
        <v>274</v>
      </c>
      <c r="S45" s="192"/>
      <c r="T45" s="207"/>
      <c r="U45" s="195"/>
      <c r="V45" s="174"/>
      <c r="W45" s="250">
        <f t="shared" si="27"/>
        <v>4180</v>
      </c>
    </row>
    <row r="46" spans="1:23" s="3" customFormat="1" ht="15" customHeight="1" x14ac:dyDescent="0.25">
      <c r="A46" s="139" t="s">
        <v>6</v>
      </c>
      <c r="B46" s="224">
        <f t="shared" si="28"/>
        <v>44035</v>
      </c>
      <c r="C46" s="207">
        <v>61</v>
      </c>
      <c r="D46" s="195">
        <v>35</v>
      </c>
      <c r="E46" s="195"/>
      <c r="F46" s="180"/>
      <c r="G46" s="192">
        <v>111</v>
      </c>
      <c r="H46" s="215"/>
      <c r="I46" s="204">
        <v>1193</v>
      </c>
      <c r="J46" s="194"/>
      <c r="K46" s="210">
        <v>372</v>
      </c>
      <c r="L46" s="195">
        <v>205</v>
      </c>
      <c r="M46" s="195"/>
      <c r="N46" s="192"/>
      <c r="O46" s="441">
        <v>742</v>
      </c>
      <c r="P46" s="180">
        <v>114</v>
      </c>
      <c r="Q46" s="180"/>
      <c r="R46" s="180">
        <v>240</v>
      </c>
      <c r="S46" s="192"/>
      <c r="T46" s="207"/>
      <c r="U46" s="195"/>
      <c r="V46" s="174"/>
      <c r="W46" s="250">
        <f t="shared" si="27"/>
        <v>3073</v>
      </c>
    </row>
    <row r="47" spans="1:23" s="3" customFormat="1" ht="15" customHeight="1" x14ac:dyDescent="0.25">
      <c r="A47" s="25" t="s">
        <v>0</v>
      </c>
      <c r="B47" s="225">
        <f t="shared" si="28"/>
        <v>44036</v>
      </c>
      <c r="C47" s="207">
        <v>74</v>
      </c>
      <c r="D47" s="195">
        <v>22</v>
      </c>
      <c r="E47" s="195"/>
      <c r="F47" s="180"/>
      <c r="G47" s="192">
        <v>83</v>
      </c>
      <c r="H47" s="215"/>
      <c r="I47" s="204">
        <v>1733</v>
      </c>
      <c r="J47" s="194"/>
      <c r="K47" s="207">
        <v>381</v>
      </c>
      <c r="L47" s="195">
        <v>212</v>
      </c>
      <c r="M47" s="195"/>
      <c r="N47" s="192"/>
      <c r="O47" s="441">
        <v>878</v>
      </c>
      <c r="P47" s="180">
        <v>96</v>
      </c>
      <c r="Q47" s="180"/>
      <c r="R47" s="180">
        <v>253</v>
      </c>
      <c r="S47" s="192"/>
      <c r="T47" s="207"/>
      <c r="U47" s="195"/>
      <c r="V47" s="174"/>
      <c r="W47" s="250">
        <f>SUM(C47:V47)</f>
        <v>3732</v>
      </c>
    </row>
    <row r="48" spans="1:23" s="3" customFormat="1" ht="15" customHeight="1" x14ac:dyDescent="0.25">
      <c r="A48" s="25" t="s">
        <v>1</v>
      </c>
      <c r="B48" s="225">
        <f t="shared" si="28"/>
        <v>44037</v>
      </c>
      <c r="C48" s="207"/>
      <c r="D48" s="195"/>
      <c r="E48" s="195"/>
      <c r="F48" s="20"/>
      <c r="G48" s="19"/>
      <c r="H48" s="215"/>
      <c r="I48" s="204">
        <v>3925</v>
      </c>
      <c r="J48" s="194">
        <v>1266</v>
      </c>
      <c r="K48" s="207"/>
      <c r="L48" s="195"/>
      <c r="M48" s="195"/>
      <c r="N48" s="19"/>
      <c r="O48" s="131"/>
      <c r="P48" s="20"/>
      <c r="Q48" s="20"/>
      <c r="R48" s="20"/>
      <c r="S48" s="19"/>
      <c r="T48" s="207"/>
      <c r="U48" s="195"/>
      <c r="V48" s="174"/>
      <c r="W48" s="250">
        <f>SUM(C48:V48)</f>
        <v>5191</v>
      </c>
    </row>
    <row r="49" spans="1:23" s="3" customFormat="1" ht="15" customHeight="1" thickBot="1" x14ac:dyDescent="0.3">
      <c r="A49" s="139" t="s">
        <v>2</v>
      </c>
      <c r="B49" s="225">
        <f t="shared" si="28"/>
        <v>44038</v>
      </c>
      <c r="C49" s="207"/>
      <c r="D49" s="195"/>
      <c r="E49" s="195"/>
      <c r="F49" s="20"/>
      <c r="G49" s="19"/>
      <c r="H49" s="215"/>
      <c r="I49" s="204">
        <v>2981</v>
      </c>
      <c r="J49" s="194">
        <v>1027</v>
      </c>
      <c r="K49" s="207"/>
      <c r="L49" s="195"/>
      <c r="M49" s="195"/>
      <c r="N49" s="19"/>
      <c r="O49" s="131"/>
      <c r="P49" s="20"/>
      <c r="Q49" s="20"/>
      <c r="R49" s="20"/>
      <c r="S49" s="19"/>
      <c r="T49" s="207"/>
      <c r="U49" s="195"/>
      <c r="V49" s="271"/>
      <c r="W49" s="250">
        <f t="shared" si="27"/>
        <v>4008</v>
      </c>
    </row>
    <row r="50" spans="1:23" s="3" customFormat="1" ht="15" customHeight="1" thickBot="1" x14ac:dyDescent="0.3">
      <c r="A50" s="147" t="s">
        <v>20</v>
      </c>
      <c r="B50" s="646" t="s">
        <v>26</v>
      </c>
      <c r="C50" s="208">
        <f t="shared" ref="C50:V50" si="29">SUM(C43:C49)</f>
        <v>383</v>
      </c>
      <c r="D50" s="201">
        <f t="shared" si="29"/>
        <v>155</v>
      </c>
      <c r="E50" s="201">
        <f t="shared" si="29"/>
        <v>0</v>
      </c>
      <c r="F50" s="201">
        <f t="shared" si="29"/>
        <v>0</v>
      </c>
      <c r="G50" s="435">
        <f t="shared" si="29"/>
        <v>559</v>
      </c>
      <c r="H50" s="432">
        <f t="shared" si="29"/>
        <v>0</v>
      </c>
      <c r="I50" s="435">
        <f t="shared" si="29"/>
        <v>15707</v>
      </c>
      <c r="J50" s="435">
        <f t="shared" si="29"/>
        <v>2293</v>
      </c>
      <c r="K50" s="208">
        <f t="shared" si="29"/>
        <v>1907</v>
      </c>
      <c r="L50" s="201">
        <f t="shared" si="29"/>
        <v>1154</v>
      </c>
      <c r="M50" s="201">
        <f t="shared" si="29"/>
        <v>0</v>
      </c>
      <c r="N50" s="435">
        <f t="shared" si="29"/>
        <v>0</v>
      </c>
      <c r="O50" s="432">
        <f t="shared" si="29"/>
        <v>4131</v>
      </c>
      <c r="P50" s="208">
        <f t="shared" si="29"/>
        <v>503</v>
      </c>
      <c r="Q50" s="208">
        <f t="shared" si="29"/>
        <v>0</v>
      </c>
      <c r="R50" s="208">
        <f t="shared" si="29"/>
        <v>1336</v>
      </c>
      <c r="S50" s="208">
        <f t="shared" si="29"/>
        <v>0</v>
      </c>
      <c r="T50" s="208">
        <f t="shared" si="29"/>
        <v>0</v>
      </c>
      <c r="U50" s="208">
        <f t="shared" si="29"/>
        <v>0</v>
      </c>
      <c r="V50" s="428">
        <f t="shared" si="29"/>
        <v>0</v>
      </c>
      <c r="W50" s="436">
        <f>SUM(W43:W49)</f>
        <v>28128</v>
      </c>
    </row>
    <row r="51" spans="1:23" s="3" customFormat="1" ht="15" customHeight="1" thickBot="1" x14ac:dyDescent="0.3">
      <c r="A51" s="102" t="s">
        <v>22</v>
      </c>
      <c r="B51" s="647"/>
      <c r="C51" s="208">
        <f t="shared" ref="C51:W51" si="30">AVERAGE(C43:C49)</f>
        <v>76.599999999999994</v>
      </c>
      <c r="D51" s="201">
        <f t="shared" si="30"/>
        <v>31</v>
      </c>
      <c r="E51" s="201" t="e">
        <f t="shared" si="30"/>
        <v>#DIV/0!</v>
      </c>
      <c r="F51" s="201" t="e">
        <f t="shared" si="30"/>
        <v>#DIV/0!</v>
      </c>
      <c r="G51" s="435">
        <f t="shared" si="30"/>
        <v>111.8</v>
      </c>
      <c r="H51" s="432" t="e">
        <f t="shared" si="30"/>
        <v>#DIV/0!</v>
      </c>
      <c r="I51" s="435">
        <f t="shared" si="30"/>
        <v>2243.8571428571427</v>
      </c>
      <c r="J51" s="435">
        <f t="shared" si="30"/>
        <v>1146.5</v>
      </c>
      <c r="K51" s="208">
        <f t="shared" si="30"/>
        <v>381.4</v>
      </c>
      <c r="L51" s="201">
        <f t="shared" si="30"/>
        <v>230.8</v>
      </c>
      <c r="M51" s="201" t="e">
        <f t="shared" si="30"/>
        <v>#DIV/0!</v>
      </c>
      <c r="N51" s="435" t="e">
        <f t="shared" si="30"/>
        <v>#DIV/0!</v>
      </c>
      <c r="O51" s="432">
        <f t="shared" si="30"/>
        <v>826.2</v>
      </c>
      <c r="P51" s="208">
        <f t="shared" si="30"/>
        <v>100.6</v>
      </c>
      <c r="Q51" s="208" t="e">
        <f t="shared" si="30"/>
        <v>#DIV/0!</v>
      </c>
      <c r="R51" s="208">
        <f t="shared" si="30"/>
        <v>267.2</v>
      </c>
      <c r="S51" s="208" t="e">
        <f t="shared" si="30"/>
        <v>#DIV/0!</v>
      </c>
      <c r="T51" s="208" t="e">
        <f t="shared" si="30"/>
        <v>#DIV/0!</v>
      </c>
      <c r="U51" s="208" t="e">
        <f t="shared" si="30"/>
        <v>#DIV/0!</v>
      </c>
      <c r="V51" s="428" t="e">
        <f t="shared" si="30"/>
        <v>#DIV/0!</v>
      </c>
      <c r="W51" s="436">
        <f t="shared" si="30"/>
        <v>4018.2857142857142</v>
      </c>
    </row>
    <row r="52" spans="1:23" s="3" customFormat="1" ht="15" customHeight="1" thickBot="1" x14ac:dyDescent="0.3">
      <c r="A52" s="26" t="s">
        <v>19</v>
      </c>
      <c r="B52" s="647"/>
      <c r="C52" s="209">
        <f t="shared" ref="C52:V52" si="31">SUM(C43:C47)</f>
        <v>383</v>
      </c>
      <c r="D52" s="202">
        <f t="shared" si="31"/>
        <v>155</v>
      </c>
      <c r="E52" s="202">
        <f t="shared" si="31"/>
        <v>0</v>
      </c>
      <c r="F52" s="202">
        <f t="shared" si="31"/>
        <v>0</v>
      </c>
      <c r="G52" s="437">
        <f t="shared" si="31"/>
        <v>559</v>
      </c>
      <c r="H52" s="433">
        <f t="shared" si="31"/>
        <v>0</v>
      </c>
      <c r="I52" s="437">
        <f t="shared" si="31"/>
        <v>8801</v>
      </c>
      <c r="J52" s="437">
        <f t="shared" si="31"/>
        <v>0</v>
      </c>
      <c r="K52" s="209">
        <f t="shared" si="31"/>
        <v>1907</v>
      </c>
      <c r="L52" s="202">
        <f t="shared" si="31"/>
        <v>1154</v>
      </c>
      <c r="M52" s="202">
        <f t="shared" si="31"/>
        <v>0</v>
      </c>
      <c r="N52" s="437">
        <f t="shared" si="31"/>
        <v>0</v>
      </c>
      <c r="O52" s="433">
        <f t="shared" si="31"/>
        <v>4131</v>
      </c>
      <c r="P52" s="209">
        <f t="shared" si="31"/>
        <v>503</v>
      </c>
      <c r="Q52" s="209">
        <f t="shared" si="31"/>
        <v>0</v>
      </c>
      <c r="R52" s="209">
        <f t="shared" si="31"/>
        <v>1336</v>
      </c>
      <c r="S52" s="209">
        <f t="shared" si="31"/>
        <v>0</v>
      </c>
      <c r="T52" s="209">
        <f t="shared" si="31"/>
        <v>0</v>
      </c>
      <c r="U52" s="209">
        <f t="shared" si="31"/>
        <v>0</v>
      </c>
      <c r="V52" s="439">
        <f t="shared" si="31"/>
        <v>0</v>
      </c>
      <c r="W52" s="443">
        <f>SUM(W43:W47)</f>
        <v>18929</v>
      </c>
    </row>
    <row r="53" spans="1:23" s="3" customFormat="1" ht="15" customHeight="1" outlineLevel="1" thickBot="1" x14ac:dyDescent="0.3">
      <c r="A53" s="26" t="s">
        <v>21</v>
      </c>
      <c r="B53" s="648"/>
      <c r="C53" s="209">
        <f t="shared" ref="C53:W53" si="32">AVERAGE(C43:C47)</f>
        <v>76.599999999999994</v>
      </c>
      <c r="D53" s="202">
        <f t="shared" si="32"/>
        <v>31</v>
      </c>
      <c r="E53" s="202" t="e">
        <f t="shared" si="32"/>
        <v>#DIV/0!</v>
      </c>
      <c r="F53" s="202" t="e">
        <f t="shared" si="32"/>
        <v>#DIV/0!</v>
      </c>
      <c r="G53" s="437">
        <f t="shared" si="32"/>
        <v>111.8</v>
      </c>
      <c r="H53" s="433" t="e">
        <f t="shared" si="32"/>
        <v>#DIV/0!</v>
      </c>
      <c r="I53" s="437">
        <f t="shared" si="32"/>
        <v>1760.2</v>
      </c>
      <c r="J53" s="437" t="e">
        <f t="shared" si="32"/>
        <v>#DIV/0!</v>
      </c>
      <c r="K53" s="37">
        <f t="shared" si="32"/>
        <v>381.4</v>
      </c>
      <c r="L53" s="196">
        <f t="shared" si="32"/>
        <v>230.8</v>
      </c>
      <c r="M53" s="196" t="e">
        <f t="shared" si="32"/>
        <v>#DIV/0!</v>
      </c>
      <c r="N53" s="438" t="e">
        <f t="shared" si="32"/>
        <v>#DIV/0!</v>
      </c>
      <c r="O53" s="148">
        <f t="shared" si="32"/>
        <v>826.2</v>
      </c>
      <c r="P53" s="37">
        <f t="shared" si="32"/>
        <v>100.6</v>
      </c>
      <c r="Q53" s="37" t="e">
        <f t="shared" si="32"/>
        <v>#DIV/0!</v>
      </c>
      <c r="R53" s="37">
        <f t="shared" si="32"/>
        <v>267.2</v>
      </c>
      <c r="S53" s="37" t="e">
        <f t="shared" si="32"/>
        <v>#DIV/0!</v>
      </c>
      <c r="T53" s="37" t="e">
        <f t="shared" si="32"/>
        <v>#DIV/0!</v>
      </c>
      <c r="U53" s="37" t="e">
        <f t="shared" si="32"/>
        <v>#DIV/0!</v>
      </c>
      <c r="V53" s="488" t="e">
        <f t="shared" si="32"/>
        <v>#DIV/0!</v>
      </c>
      <c r="W53" s="444">
        <f t="shared" si="32"/>
        <v>3785.8</v>
      </c>
    </row>
    <row r="54" spans="1:23" s="3" customFormat="1" ht="15" customHeight="1" outlineLevel="1" thickBot="1" x14ac:dyDescent="0.3">
      <c r="A54" s="139" t="s">
        <v>3</v>
      </c>
      <c r="B54" s="223">
        <f>B49+1</f>
        <v>44039</v>
      </c>
      <c r="C54" s="18">
        <v>74</v>
      </c>
      <c r="D54" s="20">
        <v>37</v>
      </c>
      <c r="E54" s="20"/>
      <c r="F54" s="20"/>
      <c r="G54" s="19">
        <v>110</v>
      </c>
      <c r="H54" s="131"/>
      <c r="I54" s="19">
        <v>1381</v>
      </c>
      <c r="J54" s="474"/>
      <c r="K54" s="476">
        <v>422</v>
      </c>
      <c r="L54" s="451">
        <v>241</v>
      </c>
      <c r="M54" s="451"/>
      <c r="N54" s="13"/>
      <c r="O54" s="47">
        <v>853</v>
      </c>
      <c r="P54" s="48">
        <v>102</v>
      </c>
      <c r="Q54" s="48"/>
      <c r="R54" s="48">
        <v>264</v>
      </c>
      <c r="S54" s="112"/>
      <c r="T54" s="14"/>
      <c r="U54" s="14"/>
      <c r="V54" s="57"/>
      <c r="W54" s="17">
        <f t="shared" ref="W54:W60" si="33">SUM(C54:V54)</f>
        <v>3484</v>
      </c>
    </row>
    <row r="55" spans="1:23" s="3" customFormat="1" ht="15" customHeight="1" outlineLevel="1" thickBot="1" x14ac:dyDescent="0.3">
      <c r="A55" s="139" t="s">
        <v>4</v>
      </c>
      <c r="B55" s="223">
        <f>B54+1</f>
        <v>44040</v>
      </c>
      <c r="C55" s="18">
        <v>92</v>
      </c>
      <c r="D55" s="20">
        <v>44</v>
      </c>
      <c r="E55" s="20"/>
      <c r="F55" s="20"/>
      <c r="G55" s="19">
        <v>122</v>
      </c>
      <c r="H55" s="131"/>
      <c r="I55" s="19">
        <v>1177</v>
      </c>
      <c r="J55" s="474"/>
      <c r="K55" s="476">
        <v>341</v>
      </c>
      <c r="L55" s="451">
        <v>212</v>
      </c>
      <c r="M55" s="451"/>
      <c r="N55" s="13"/>
      <c r="O55" s="18">
        <v>894</v>
      </c>
      <c r="P55" s="20">
        <v>95</v>
      </c>
      <c r="Q55" s="20"/>
      <c r="R55" s="20">
        <v>318</v>
      </c>
      <c r="S55" s="58"/>
      <c r="T55" s="20"/>
      <c r="U55" s="20"/>
      <c r="V55" s="58"/>
      <c r="W55" s="17">
        <f t="shared" si="33"/>
        <v>3295</v>
      </c>
    </row>
    <row r="56" spans="1:23" s="3" customFormat="1" ht="15" customHeight="1" outlineLevel="1" thickBot="1" x14ac:dyDescent="0.3">
      <c r="A56" s="139" t="s">
        <v>5</v>
      </c>
      <c r="B56" s="223">
        <f t="shared" ref="B56:B60" si="34">B55+1</f>
        <v>44041</v>
      </c>
      <c r="C56" s="18">
        <v>87</v>
      </c>
      <c r="D56" s="20">
        <v>48</v>
      </c>
      <c r="E56" s="20"/>
      <c r="F56" s="20"/>
      <c r="G56" s="19">
        <v>121</v>
      </c>
      <c r="H56" s="131"/>
      <c r="I56" s="19">
        <v>1923</v>
      </c>
      <c r="J56" s="474"/>
      <c r="K56" s="476">
        <v>436</v>
      </c>
      <c r="L56" s="451">
        <v>269</v>
      </c>
      <c r="M56" s="451"/>
      <c r="N56" s="13"/>
      <c r="O56" s="18">
        <v>1019</v>
      </c>
      <c r="P56" s="20">
        <v>132</v>
      </c>
      <c r="Q56" s="20"/>
      <c r="R56" s="20">
        <v>309</v>
      </c>
      <c r="S56" s="58"/>
      <c r="T56" s="20"/>
      <c r="U56" s="20"/>
      <c r="V56" s="58"/>
      <c r="W56" s="17">
        <f t="shared" si="33"/>
        <v>4344</v>
      </c>
    </row>
    <row r="57" spans="1:23" s="3" customFormat="1" ht="15" customHeight="1" thickBot="1" x14ac:dyDescent="0.3">
      <c r="A57" s="139" t="s">
        <v>6</v>
      </c>
      <c r="B57" s="223">
        <f t="shared" si="34"/>
        <v>44042</v>
      </c>
      <c r="C57" s="18">
        <v>87</v>
      </c>
      <c r="D57" s="20">
        <v>44</v>
      </c>
      <c r="E57" s="20"/>
      <c r="F57" s="20"/>
      <c r="G57" s="19">
        <v>118</v>
      </c>
      <c r="H57" s="131"/>
      <c r="I57" s="19">
        <v>1800</v>
      </c>
      <c r="J57" s="474"/>
      <c r="K57" s="12">
        <v>392</v>
      </c>
      <c r="L57" s="14">
        <v>276</v>
      </c>
      <c r="M57" s="14"/>
      <c r="N57" s="13"/>
      <c r="O57" s="18">
        <v>878</v>
      </c>
      <c r="P57" s="20">
        <v>83</v>
      </c>
      <c r="Q57" s="20"/>
      <c r="R57" s="20">
        <v>382</v>
      </c>
      <c r="S57" s="58"/>
      <c r="T57" s="20"/>
      <c r="U57" s="20"/>
      <c r="V57" s="58"/>
      <c r="W57" s="17">
        <f>SUM(C57:V57)</f>
        <v>4060</v>
      </c>
    </row>
    <row r="58" spans="1:23" s="3" customFormat="1" ht="15" customHeight="1" thickBot="1" x14ac:dyDescent="0.3">
      <c r="A58" s="139" t="s">
        <v>0</v>
      </c>
      <c r="B58" s="223">
        <f t="shared" si="34"/>
        <v>44043</v>
      </c>
      <c r="C58" s="18">
        <v>87</v>
      </c>
      <c r="D58" s="20">
        <v>41</v>
      </c>
      <c r="E58" s="20"/>
      <c r="F58" s="20"/>
      <c r="G58" s="19">
        <v>87</v>
      </c>
      <c r="H58" s="131"/>
      <c r="I58" s="19">
        <v>1989</v>
      </c>
      <c r="J58" s="474"/>
      <c r="K58" s="12">
        <v>421</v>
      </c>
      <c r="L58" s="14">
        <v>290</v>
      </c>
      <c r="M58" s="14"/>
      <c r="N58" s="13"/>
      <c r="O58" s="18">
        <v>800</v>
      </c>
      <c r="P58" s="20">
        <v>106</v>
      </c>
      <c r="Q58" s="20"/>
      <c r="R58" s="20">
        <v>280</v>
      </c>
      <c r="S58" s="58"/>
      <c r="T58" s="20"/>
      <c r="U58" s="20"/>
      <c r="V58" s="58"/>
      <c r="W58" s="17">
        <f t="shared" si="33"/>
        <v>4101</v>
      </c>
    </row>
    <row r="59" spans="1:23" s="3" customFormat="1" ht="15" hidden="1" customHeight="1" thickBot="1" x14ac:dyDescent="0.3">
      <c r="A59" s="139" t="s">
        <v>1</v>
      </c>
      <c r="B59" s="223">
        <f t="shared" si="34"/>
        <v>44044</v>
      </c>
      <c r="C59" s="18"/>
      <c r="D59" s="20"/>
      <c r="E59" s="20"/>
      <c r="F59" s="20"/>
      <c r="G59" s="19"/>
      <c r="H59" s="131"/>
      <c r="I59" s="19"/>
      <c r="J59" s="126"/>
      <c r="K59" s="18"/>
      <c r="L59" s="20"/>
      <c r="M59" s="20"/>
      <c r="N59" s="19"/>
      <c r="O59" s="18"/>
      <c r="P59" s="20"/>
      <c r="Q59" s="20"/>
      <c r="R59" s="20"/>
      <c r="S59" s="58"/>
      <c r="T59" s="20"/>
      <c r="U59" s="20"/>
      <c r="V59" s="58"/>
      <c r="W59" s="17"/>
    </row>
    <row r="60" spans="1:23" s="3" customFormat="1" ht="15" hidden="1" customHeight="1" thickBot="1" x14ac:dyDescent="0.3">
      <c r="A60" s="139" t="s">
        <v>2</v>
      </c>
      <c r="B60" s="223">
        <f t="shared" si="34"/>
        <v>44045</v>
      </c>
      <c r="C60" s="18"/>
      <c r="D60" s="20"/>
      <c r="E60" s="20"/>
      <c r="F60" s="20"/>
      <c r="G60" s="19"/>
      <c r="H60" s="131"/>
      <c r="I60" s="19"/>
      <c r="J60" s="475"/>
      <c r="K60" s="51"/>
      <c r="L60" s="53"/>
      <c r="M60" s="53"/>
      <c r="N60" s="52"/>
      <c r="O60" s="51"/>
      <c r="P60" s="53"/>
      <c r="Q60" s="53"/>
      <c r="R60" s="53"/>
      <c r="S60" s="252"/>
      <c r="T60" s="20"/>
      <c r="U60" s="20"/>
      <c r="V60" s="58"/>
      <c r="W60" s="17">
        <f t="shared" si="33"/>
        <v>0</v>
      </c>
    </row>
    <row r="61" spans="1:23" s="3" customFormat="1" ht="15.75" thickBot="1" x14ac:dyDescent="0.3">
      <c r="A61" s="147" t="s">
        <v>20</v>
      </c>
      <c r="B61" s="646" t="s">
        <v>27</v>
      </c>
      <c r="C61" s="208">
        <f t="shared" ref="C61:N61" si="35">SUM(C54:C60)</f>
        <v>427</v>
      </c>
      <c r="D61" s="201">
        <f t="shared" si="35"/>
        <v>214</v>
      </c>
      <c r="E61" s="201">
        <f>SUM(E54:E60)</f>
        <v>0</v>
      </c>
      <c r="F61" s="201">
        <f t="shared" si="35"/>
        <v>0</v>
      </c>
      <c r="G61" s="435">
        <f t="shared" si="35"/>
        <v>558</v>
      </c>
      <c r="H61" s="432">
        <f>SUM(H54:H60)</f>
        <v>0</v>
      </c>
      <c r="I61" s="435">
        <f>SUM(I54:I60)</f>
        <v>8270</v>
      </c>
      <c r="J61" s="435">
        <f>SUM(J54:J60)</f>
        <v>0</v>
      </c>
      <c r="K61" s="477">
        <f t="shared" si="35"/>
        <v>2012</v>
      </c>
      <c r="L61" s="478">
        <f t="shared" si="35"/>
        <v>1288</v>
      </c>
      <c r="M61" s="478">
        <f t="shared" si="35"/>
        <v>0</v>
      </c>
      <c r="N61" s="479">
        <f t="shared" si="35"/>
        <v>0</v>
      </c>
      <c r="O61" s="480">
        <f>SUM(O54:O60)</f>
        <v>4444</v>
      </c>
      <c r="P61" s="480">
        <f t="shared" ref="P61:U61" si="36">SUM(P54:P60)</f>
        <v>518</v>
      </c>
      <c r="Q61" s="480">
        <f t="shared" si="36"/>
        <v>0</v>
      </c>
      <c r="R61" s="480">
        <f t="shared" si="36"/>
        <v>1553</v>
      </c>
      <c r="S61" s="480">
        <f t="shared" si="36"/>
        <v>0</v>
      </c>
      <c r="T61" s="480">
        <f t="shared" si="36"/>
        <v>0</v>
      </c>
      <c r="U61" s="480">
        <f t="shared" si="36"/>
        <v>0</v>
      </c>
      <c r="V61" s="489">
        <f>SUM(V54:V60)</f>
        <v>0</v>
      </c>
      <c r="W61" s="493">
        <f>SUM(W54:W60)</f>
        <v>19284</v>
      </c>
    </row>
    <row r="62" spans="1:23" s="3" customFormat="1" ht="15.75" thickBot="1" x14ac:dyDescent="0.3">
      <c r="A62" s="102" t="s">
        <v>22</v>
      </c>
      <c r="B62" s="647"/>
      <c r="C62" s="208">
        <f t="shared" ref="C62:N62" si="37">AVERAGE(C54:C60)</f>
        <v>85.4</v>
      </c>
      <c r="D62" s="201">
        <f t="shared" si="37"/>
        <v>42.8</v>
      </c>
      <c r="E62" s="201" t="e">
        <f>AVERAGE(E54:E60)</f>
        <v>#DIV/0!</v>
      </c>
      <c r="F62" s="201" t="e">
        <f t="shared" si="37"/>
        <v>#DIV/0!</v>
      </c>
      <c r="G62" s="435">
        <f t="shared" si="37"/>
        <v>111.6</v>
      </c>
      <c r="H62" s="432" t="e">
        <f>AVERAGE(H54:H60)</f>
        <v>#DIV/0!</v>
      </c>
      <c r="I62" s="435">
        <f>AVERAGE(I54:I60)</f>
        <v>1654</v>
      </c>
      <c r="J62" s="435" t="e">
        <f>AVERAGE(J54:J60)</f>
        <v>#DIV/0!</v>
      </c>
      <c r="K62" s="481">
        <f t="shared" si="37"/>
        <v>402.4</v>
      </c>
      <c r="L62" s="482">
        <f t="shared" si="37"/>
        <v>257.60000000000002</v>
      </c>
      <c r="M62" s="482" t="e">
        <f t="shared" si="37"/>
        <v>#DIV/0!</v>
      </c>
      <c r="N62" s="483" t="e">
        <f t="shared" si="37"/>
        <v>#DIV/0!</v>
      </c>
      <c r="O62" s="481">
        <f>AVERAGE(O54:O60)</f>
        <v>888.8</v>
      </c>
      <c r="P62" s="481">
        <f t="shared" ref="P62:W62" si="38">AVERAGE(P54:P60)</f>
        <v>103.6</v>
      </c>
      <c r="Q62" s="481" t="e">
        <f t="shared" si="38"/>
        <v>#DIV/0!</v>
      </c>
      <c r="R62" s="481">
        <f t="shared" si="38"/>
        <v>310.60000000000002</v>
      </c>
      <c r="S62" s="481" t="e">
        <f t="shared" si="38"/>
        <v>#DIV/0!</v>
      </c>
      <c r="T62" s="481" t="e">
        <f t="shared" si="38"/>
        <v>#DIV/0!</v>
      </c>
      <c r="U62" s="481" t="e">
        <f t="shared" si="38"/>
        <v>#DIV/0!</v>
      </c>
      <c r="V62" s="490" t="e">
        <f t="shared" si="38"/>
        <v>#DIV/0!</v>
      </c>
      <c r="W62" s="494">
        <f t="shared" si="38"/>
        <v>3214</v>
      </c>
    </row>
    <row r="63" spans="1:23" s="3" customFormat="1" ht="15.75" thickBot="1" x14ac:dyDescent="0.3">
      <c r="A63" s="26" t="s">
        <v>19</v>
      </c>
      <c r="B63" s="647"/>
      <c r="C63" s="209">
        <f t="shared" ref="C63:N63" si="39">SUM(C54:C58)</f>
        <v>427</v>
      </c>
      <c r="D63" s="202">
        <f t="shared" si="39"/>
        <v>214</v>
      </c>
      <c r="E63" s="202">
        <f>SUM(E54:E58)</f>
        <v>0</v>
      </c>
      <c r="F63" s="202">
        <f t="shared" si="39"/>
        <v>0</v>
      </c>
      <c r="G63" s="437">
        <f t="shared" si="39"/>
        <v>558</v>
      </c>
      <c r="H63" s="433">
        <f>SUM(H54:H58)</f>
        <v>0</v>
      </c>
      <c r="I63" s="437">
        <f>SUM(I54:I58)</f>
        <v>8270</v>
      </c>
      <c r="J63" s="437">
        <f>SUM(J54:J58)</f>
        <v>0</v>
      </c>
      <c r="K63" s="484">
        <f t="shared" si="39"/>
        <v>2012</v>
      </c>
      <c r="L63" s="485">
        <f t="shared" si="39"/>
        <v>1288</v>
      </c>
      <c r="M63" s="485">
        <f t="shared" si="39"/>
        <v>0</v>
      </c>
      <c r="N63" s="486">
        <f t="shared" si="39"/>
        <v>0</v>
      </c>
      <c r="O63" s="484">
        <f>SUM(O54:O58)</f>
        <v>4444</v>
      </c>
      <c r="P63" s="484">
        <f t="shared" ref="P63:V63" si="40">SUM(P54:P58)</f>
        <v>518</v>
      </c>
      <c r="Q63" s="484">
        <f t="shared" si="40"/>
        <v>0</v>
      </c>
      <c r="R63" s="484">
        <f t="shared" si="40"/>
        <v>1553</v>
      </c>
      <c r="S63" s="484">
        <f t="shared" si="40"/>
        <v>0</v>
      </c>
      <c r="T63" s="484">
        <f t="shared" si="40"/>
        <v>0</v>
      </c>
      <c r="U63" s="484">
        <f t="shared" si="40"/>
        <v>0</v>
      </c>
      <c r="V63" s="491">
        <f t="shared" si="40"/>
        <v>0</v>
      </c>
      <c r="W63" s="495">
        <f>SUM(W54:W58)</f>
        <v>19284</v>
      </c>
    </row>
    <row r="64" spans="1:23" s="3" customFormat="1" ht="15.75" outlineLevel="1" thickBot="1" x14ac:dyDescent="0.3">
      <c r="A64" s="26" t="s">
        <v>21</v>
      </c>
      <c r="B64" s="648"/>
      <c r="C64" s="37">
        <f t="shared" ref="C64:N64" si="41">AVERAGE(C54:C58)</f>
        <v>85.4</v>
      </c>
      <c r="D64" s="196">
        <f t="shared" si="41"/>
        <v>42.8</v>
      </c>
      <c r="E64" s="196" t="e">
        <f>AVERAGE(E54:E58)</f>
        <v>#DIV/0!</v>
      </c>
      <c r="F64" s="196" t="e">
        <f t="shared" si="41"/>
        <v>#DIV/0!</v>
      </c>
      <c r="G64" s="438">
        <f t="shared" si="41"/>
        <v>111.6</v>
      </c>
      <c r="H64" s="148" t="e">
        <f>AVERAGE(H54:H58)</f>
        <v>#DIV/0!</v>
      </c>
      <c r="I64" s="438">
        <f>AVERAGE(I54:I58)</f>
        <v>1654</v>
      </c>
      <c r="J64" s="438" t="e">
        <f>AVERAGE(J54:J58)</f>
        <v>#DIV/0!</v>
      </c>
      <c r="K64" s="37">
        <f t="shared" si="41"/>
        <v>402.4</v>
      </c>
      <c r="L64" s="196">
        <f t="shared" si="41"/>
        <v>257.60000000000002</v>
      </c>
      <c r="M64" s="196" t="e">
        <f t="shared" si="41"/>
        <v>#DIV/0!</v>
      </c>
      <c r="N64" s="438" t="e">
        <f t="shared" si="41"/>
        <v>#DIV/0!</v>
      </c>
      <c r="O64" s="37">
        <f>AVERAGE(O54:O58)</f>
        <v>888.8</v>
      </c>
      <c r="P64" s="37">
        <f t="shared" ref="P64:W64" si="42">AVERAGE(P54:P58)</f>
        <v>103.6</v>
      </c>
      <c r="Q64" s="37" t="e">
        <f t="shared" si="42"/>
        <v>#DIV/0!</v>
      </c>
      <c r="R64" s="37">
        <f t="shared" si="42"/>
        <v>310.60000000000002</v>
      </c>
      <c r="S64" s="37" t="e">
        <f t="shared" si="42"/>
        <v>#DIV/0!</v>
      </c>
      <c r="T64" s="37" t="e">
        <f t="shared" si="42"/>
        <v>#DIV/0!</v>
      </c>
      <c r="U64" s="37" t="e">
        <f t="shared" si="42"/>
        <v>#DIV/0!</v>
      </c>
      <c r="V64" s="488" t="e">
        <f t="shared" si="42"/>
        <v>#DIV/0!</v>
      </c>
      <c r="W64" s="444">
        <f t="shared" si="42"/>
        <v>3856.8</v>
      </c>
    </row>
    <row r="65" spans="1:23" s="3" customFormat="1" ht="15.75" outlineLevel="1" thickBot="1" x14ac:dyDescent="0.3">
      <c r="A65" s="4"/>
      <c r="B65" s="12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46"/>
      <c r="P65" s="46"/>
      <c r="Q65" s="46"/>
      <c r="R65" s="46"/>
      <c r="S65" s="46"/>
      <c r="T65" s="46"/>
      <c r="U65" s="46"/>
      <c r="V65" s="46"/>
      <c r="W65" s="46"/>
    </row>
    <row r="66" spans="1:23" s="3" customFormat="1" ht="39" outlineLevel="1" thickBot="1" x14ac:dyDescent="0.3">
      <c r="A66" s="4"/>
      <c r="B66" s="122"/>
      <c r="C66" s="417"/>
      <c r="D66" s="294" t="s">
        <v>10</v>
      </c>
      <c r="E66" s="294" t="s">
        <v>83</v>
      </c>
      <c r="F66" s="294" t="s">
        <v>9</v>
      </c>
      <c r="G66" s="418" t="s">
        <v>8</v>
      </c>
      <c r="H66" s="455" t="s">
        <v>30</v>
      </c>
      <c r="I66" s="455" t="s">
        <v>126</v>
      </c>
      <c r="K66" s="55"/>
      <c r="L66" s="680" t="s">
        <v>55</v>
      </c>
      <c r="M66" s="681"/>
      <c r="N66" s="682"/>
      <c r="O66" s="55"/>
      <c r="P66" s="55"/>
      <c r="Q66" s="55"/>
    </row>
    <row r="67" spans="1:23" s="3" customFormat="1" ht="25.5" outlineLevel="1" x14ac:dyDescent="0.25">
      <c r="A67" s="1"/>
      <c r="B67" s="123"/>
      <c r="C67" s="409" t="s">
        <v>113</v>
      </c>
      <c r="D67" s="35">
        <f>SUM(C6:G6,C17:G17,C28:G28,C39:G39,C50:G50,C61:G61)</f>
        <v>4164</v>
      </c>
      <c r="E67" s="35">
        <f>SUM(,H50, H39, H28, H17, ,H61)</f>
        <v>0</v>
      </c>
      <c r="F67" s="35">
        <f>SUM(,K50:N50, K39:N39, K28:N28, K17:N17, K61:N61 )</f>
        <v>13904</v>
      </c>
      <c r="G67" s="456">
        <f>SUM(,O50:V50, O39:V39, O28:V28, O17:V17, O61:V61  )</f>
        <v>25002</v>
      </c>
      <c r="H67" s="394">
        <f>SUM(,I17,I28,I39,I50,I61)</f>
        <v>28945</v>
      </c>
      <c r="I67" s="394">
        <f>SUM(,J17,J28,J39,J50,J61)</f>
        <v>3240</v>
      </c>
      <c r="J67" s="1"/>
      <c r="K67" s="56"/>
      <c r="L67" s="683" t="s">
        <v>29</v>
      </c>
      <c r="M67" s="684"/>
      <c r="N67" s="422">
        <f>SUM(W19,W30,W41,W52,W63)</f>
        <v>60141</v>
      </c>
      <c r="O67" s="56"/>
      <c r="P67" s="56"/>
      <c r="Q67" s="56"/>
      <c r="R67" s="1"/>
      <c r="S67" s="1"/>
      <c r="T67" s="1"/>
      <c r="U67" s="1"/>
      <c r="V67" s="1"/>
      <c r="W67" s="1"/>
    </row>
    <row r="68" spans="1:23" s="3" customFormat="1" ht="26.25" thickBot="1" x14ac:dyDescent="0.3">
      <c r="A68" s="1"/>
      <c r="B68" s="123"/>
      <c r="C68" s="412" t="s">
        <v>29</v>
      </c>
      <c r="D68" s="420">
        <f>SUM(,C52:G52, C41:G41, C30:G30, C19:G19,, C63:G63)</f>
        <v>4164</v>
      </c>
      <c r="E68" s="420">
        <f>SUM(H52, H41, H30, H19, ,H63)</f>
        <v>0</v>
      </c>
      <c r="F68" s="420">
        <f>SUM(K52:N52, K41:N41, K30:N30, K19:N19,, K63:N63)</f>
        <v>13904</v>
      </c>
      <c r="G68" s="457">
        <f>SUM(O52:V52, O41:V41, O30:V30, O19:V19, O63:V63 )</f>
        <v>25002</v>
      </c>
      <c r="H68" s="395">
        <f>SUM(,I19,I30,I41,I52,I63,)</f>
        <v>17071</v>
      </c>
      <c r="I68" s="395">
        <f>SUM(,J19,J30,J41,J52,J63,)</f>
        <v>0</v>
      </c>
      <c r="J68" s="1"/>
      <c r="K68" s="56"/>
      <c r="L68" s="683" t="s">
        <v>113</v>
      </c>
      <c r="M68" s="684"/>
      <c r="N68" s="397">
        <f>SUM(W17,W28,W39,W50,W61)</f>
        <v>75255</v>
      </c>
      <c r="O68" s="56"/>
      <c r="P68" s="56"/>
      <c r="Q68" s="56"/>
      <c r="R68" s="1"/>
      <c r="S68" s="1"/>
      <c r="T68" s="1"/>
      <c r="U68" s="1"/>
      <c r="V68" s="1"/>
      <c r="W68" s="1"/>
    </row>
    <row r="69" spans="1:23" s="3" customFormat="1" x14ac:dyDescent="0.25">
      <c r="A69" s="1"/>
      <c r="B69" s="123"/>
      <c r="C69" s="1"/>
      <c r="D69" s="1"/>
      <c r="E69" s="1"/>
      <c r="F69" s="1"/>
      <c r="G69" s="1"/>
      <c r="H69" s="1"/>
      <c r="I69" s="1"/>
      <c r="J69" s="1"/>
      <c r="K69" s="11"/>
      <c r="L69" s="683" t="s">
        <v>21</v>
      </c>
      <c r="M69" s="684"/>
      <c r="N69" s="397">
        <f>AVERAGE(W20,W31,W53,W42,W64)</f>
        <v>2405.6400000000003</v>
      </c>
      <c r="O69" s="11"/>
      <c r="P69" s="11"/>
      <c r="Q69" s="11"/>
      <c r="R69" s="1"/>
      <c r="S69" s="1"/>
      <c r="T69" s="1"/>
      <c r="U69" s="1"/>
      <c r="V69" s="1"/>
      <c r="W69" s="1"/>
    </row>
    <row r="70" spans="1:23" s="3" customFormat="1" ht="15.75" thickBot="1" x14ac:dyDescent="0.3">
      <c r="A70" s="1"/>
      <c r="B70" s="123"/>
      <c r="C70" s="1"/>
      <c r="D70" s="1"/>
      <c r="E70" s="1"/>
      <c r="F70" s="1"/>
      <c r="G70" s="1"/>
      <c r="H70" s="1"/>
      <c r="I70" s="1"/>
      <c r="J70" s="1"/>
      <c r="K70" s="11"/>
      <c r="L70" s="685" t="s">
        <v>119</v>
      </c>
      <c r="M70" s="686"/>
      <c r="N70" s="302">
        <f>AVERAGE(W18,W29,W40,W51,W62)</f>
        <v>2241.9714285714285</v>
      </c>
      <c r="O70" s="11"/>
      <c r="P70" s="11"/>
      <c r="Q70" s="11"/>
      <c r="R70" s="1"/>
      <c r="S70" s="1"/>
      <c r="T70" s="1"/>
      <c r="U70" s="1"/>
      <c r="V70" s="1"/>
      <c r="W70" s="1"/>
    </row>
    <row r="71" spans="1:23" s="3" customFormat="1" x14ac:dyDescent="0.25">
      <c r="A71" s="1"/>
      <c r="B71" s="12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  <c r="P71" s="11"/>
      <c r="Q71" s="11"/>
      <c r="R71" s="11"/>
      <c r="S71" s="11"/>
      <c r="T71" s="11"/>
      <c r="U71" s="11"/>
      <c r="V71" s="11"/>
      <c r="W71" s="11"/>
    </row>
    <row r="72" spans="1:23" s="3" customFormat="1" x14ac:dyDescent="0.25">
      <c r="A72" s="1"/>
      <c r="B72" s="12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x14ac:dyDescent="0.25">
      <c r="A73" s="1"/>
      <c r="B73" s="12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25">
      <c r="A74" s="1"/>
      <c r="B74" s="12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outlineLevel="1" x14ac:dyDescent="0.25">
      <c r="A75" s="1"/>
      <c r="B75" s="12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outlineLevel="1" x14ac:dyDescent="0.25">
      <c r="A76" s="1"/>
      <c r="B76" s="12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outlineLevel="1" x14ac:dyDescent="0.25">
      <c r="A77" s="1"/>
      <c r="B77" s="12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s="3" customFormat="1" outlineLevel="1" x14ac:dyDescent="0.25">
      <c r="A78" s="1"/>
      <c r="B78" s="12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3" customFormat="1" x14ac:dyDescent="0.25">
      <c r="A79" s="1"/>
      <c r="B79" s="12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  <c r="P79" s="11"/>
      <c r="Q79" s="11"/>
      <c r="R79" s="11"/>
      <c r="S79" s="11"/>
      <c r="T79" s="11"/>
      <c r="U79" s="11"/>
      <c r="V79" s="11"/>
      <c r="W79" s="11"/>
    </row>
    <row r="80" spans="1:23" s="3" customFormat="1" x14ac:dyDescent="0.25">
      <c r="A80" s="1"/>
      <c r="B80" s="12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3" customFormat="1" ht="21" customHeight="1" x14ac:dyDescent="0.25">
      <c r="A81" s="1"/>
      <c r="B81" s="12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3" customFormat="1" ht="40.5" customHeight="1" x14ac:dyDescent="0.25">
      <c r="A82" s="1"/>
      <c r="B82" s="12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29.25" customHeight="1" x14ac:dyDescent="0.25"/>
    <row r="84" spans="1:23" ht="29.25" customHeight="1" x14ac:dyDescent="0.25"/>
    <row r="85" spans="1:23" ht="30" customHeight="1" x14ac:dyDescent="0.25"/>
    <row r="86" spans="1:23" ht="30" customHeight="1" x14ac:dyDescent="0.25"/>
    <row r="87" spans="1:23" ht="30" customHeight="1" x14ac:dyDescent="0.25"/>
  </sheetData>
  <mergeCells count="39">
    <mergeCell ref="L66:N66"/>
    <mergeCell ref="L67:M67"/>
    <mergeCell ref="L68:M68"/>
    <mergeCell ref="L69:M69"/>
    <mergeCell ref="L70:M70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C1:G2"/>
    <mergeCell ref="K1:N2"/>
    <mergeCell ref="H3:H4"/>
    <mergeCell ref="L3:L4"/>
    <mergeCell ref="K3:K4"/>
    <mergeCell ref="D3:D4"/>
    <mergeCell ref="M3:M4"/>
    <mergeCell ref="E3:E4"/>
    <mergeCell ref="C3:C4"/>
    <mergeCell ref="H1:I2"/>
    <mergeCell ref="I3:I4"/>
    <mergeCell ref="J1:J2"/>
    <mergeCell ref="B6:B9"/>
    <mergeCell ref="N3:N4"/>
    <mergeCell ref="F3:F4"/>
    <mergeCell ref="G3:G4"/>
    <mergeCell ref="A3:A4"/>
    <mergeCell ref="B3:B4"/>
    <mergeCell ref="J3:J4"/>
    <mergeCell ref="B28:B31"/>
    <mergeCell ref="B50:B53"/>
    <mergeCell ref="B61:B64"/>
    <mergeCell ref="B39:B42"/>
    <mergeCell ref="B17:B20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67" sqref="C67"/>
    </sheetView>
  </sheetViews>
  <sheetFormatPr defaultRowHeight="15" outlineLevelRow="1" x14ac:dyDescent="0.25"/>
  <cols>
    <col min="1" max="1" width="18.7109375" style="1" bestFit="1" customWidth="1"/>
    <col min="2" max="2" width="8.7109375" style="123" bestFit="1" customWidth="1"/>
    <col min="3" max="5" width="15.7109375" style="11" customWidth="1"/>
    <col min="6" max="6" width="18.570312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54"/>
      <c r="C1" s="652" t="s">
        <v>10</v>
      </c>
      <c r="D1" s="661"/>
      <c r="E1" s="652" t="s">
        <v>14</v>
      </c>
      <c r="F1" s="661"/>
      <c r="G1" s="667" t="s">
        <v>18</v>
      </c>
    </row>
    <row r="2" spans="1:8" ht="14.25" customHeight="1" thickBot="1" x14ac:dyDescent="0.3">
      <c r="A2" s="24"/>
      <c r="B2" s="155"/>
      <c r="C2" s="690"/>
      <c r="D2" s="691"/>
      <c r="E2" s="690"/>
      <c r="F2" s="691"/>
      <c r="G2" s="668"/>
    </row>
    <row r="3" spans="1:8" ht="14.25" customHeight="1" x14ac:dyDescent="0.25">
      <c r="A3" s="634" t="s">
        <v>50</v>
      </c>
      <c r="B3" s="695" t="s">
        <v>51</v>
      </c>
      <c r="C3" s="697" t="s">
        <v>40</v>
      </c>
      <c r="D3" s="699" t="s">
        <v>41</v>
      </c>
      <c r="E3" s="697" t="s">
        <v>52</v>
      </c>
      <c r="F3" s="699" t="s">
        <v>41</v>
      </c>
      <c r="G3" s="668"/>
    </row>
    <row r="4" spans="1:8" ht="14.25" thickBot="1" x14ac:dyDescent="0.3">
      <c r="A4" s="651"/>
      <c r="B4" s="696"/>
      <c r="C4" s="698"/>
      <c r="D4" s="700"/>
      <c r="E4" s="698"/>
      <c r="F4" s="700"/>
      <c r="G4" s="669"/>
    </row>
    <row r="5" spans="1:8" ht="14.25" thickBot="1" x14ac:dyDescent="0.3">
      <c r="A5" s="370"/>
      <c r="B5" s="367"/>
      <c r="C5" s="463"/>
      <c r="D5" s="464"/>
      <c r="E5" s="466"/>
      <c r="F5" s="464"/>
      <c r="G5" s="458"/>
    </row>
    <row r="6" spans="1:8" s="43" customFormat="1" ht="15" customHeight="1" outlineLevel="1" thickBot="1" x14ac:dyDescent="0.3">
      <c r="A6" s="147" t="s">
        <v>20</v>
      </c>
      <c r="B6" s="687" t="s">
        <v>118</v>
      </c>
      <c r="C6" s="246">
        <f>SUM(C5)</f>
        <v>0</v>
      </c>
      <c r="D6" s="267">
        <f>SUM(D5)</f>
        <v>0</v>
      </c>
      <c r="E6" s="467">
        <f>SUM(E5)</f>
        <v>0</v>
      </c>
      <c r="F6" s="267">
        <f>SUM(F5)</f>
        <v>0</v>
      </c>
      <c r="G6" s="459">
        <f>SUM(G5)</f>
        <v>0</v>
      </c>
    </row>
    <row r="7" spans="1:8" s="43" customFormat="1" ht="15" customHeight="1" outlineLevel="1" thickBot="1" x14ac:dyDescent="0.3">
      <c r="A7" s="102" t="s">
        <v>22</v>
      </c>
      <c r="B7" s="688"/>
      <c r="C7" s="246" t="e">
        <f>AVERAGE(C5)</f>
        <v>#DIV/0!</v>
      </c>
      <c r="D7" s="267" t="e">
        <f>AVERAGE(D5)</f>
        <v>#DIV/0!</v>
      </c>
      <c r="E7" s="467" t="e">
        <f>AVERAGE(E5)</f>
        <v>#DIV/0!</v>
      </c>
      <c r="F7" s="267" t="e">
        <f>AVERAGE(F5)</f>
        <v>#DIV/0!</v>
      </c>
      <c r="G7" s="459" t="e">
        <f>AVERAGE(G5)</f>
        <v>#DIV/0!</v>
      </c>
    </row>
    <row r="8" spans="1:8" s="43" customFormat="1" ht="15" customHeight="1" thickBot="1" x14ac:dyDescent="0.3">
      <c r="A8" s="26" t="s">
        <v>19</v>
      </c>
      <c r="B8" s="688"/>
      <c r="C8" s="247" t="e">
        <f>SUM(#REF!)</f>
        <v>#REF!</v>
      </c>
      <c r="D8" s="265" t="e">
        <f>SUM(#REF!)</f>
        <v>#REF!</v>
      </c>
      <c r="E8" s="468" t="e">
        <f>SUM(#REF!)</f>
        <v>#REF!</v>
      </c>
      <c r="F8" s="265" t="e">
        <f>SUM(#REF!)</f>
        <v>#REF!</v>
      </c>
      <c r="G8" s="460" t="e">
        <f>SUM(#REF!)</f>
        <v>#REF!</v>
      </c>
    </row>
    <row r="9" spans="1:8" s="43" customFormat="1" ht="15" customHeight="1" thickBot="1" x14ac:dyDescent="0.3">
      <c r="A9" s="26" t="s">
        <v>21</v>
      </c>
      <c r="B9" s="689"/>
      <c r="C9" s="247" t="e">
        <f>AVERAGE(#REF!)</f>
        <v>#REF!</v>
      </c>
      <c r="D9" s="265" t="e">
        <f>AVERAGE(#REF!)</f>
        <v>#REF!</v>
      </c>
      <c r="E9" s="468" t="e">
        <f>AVERAGE(#REF!)</f>
        <v>#REF!</v>
      </c>
      <c r="F9" s="265" t="e">
        <f>AVERAGE(#REF!)</f>
        <v>#REF!</v>
      </c>
      <c r="G9" s="460" t="e">
        <f>AVERAGE(#REF!)</f>
        <v>#REF!</v>
      </c>
    </row>
    <row r="10" spans="1:8" s="42" customFormat="1" ht="13.5" hidden="1" x14ac:dyDescent="0.25">
      <c r="A10" s="25" t="s">
        <v>3</v>
      </c>
      <c r="B10" s="317">
        <v>44011</v>
      </c>
      <c r="C10" s="18"/>
      <c r="D10" s="19"/>
      <c r="E10" s="131"/>
      <c r="F10" s="19"/>
      <c r="G10" s="461">
        <f t="shared" ref="G10:G16" si="0">SUM(C10:F10)</f>
        <v>0</v>
      </c>
    </row>
    <row r="11" spans="1:8" s="42" customFormat="1" ht="13.5" hidden="1" x14ac:dyDescent="0.25">
      <c r="A11" s="25" t="s">
        <v>4</v>
      </c>
      <c r="B11" s="220">
        <v>44012</v>
      </c>
      <c r="C11" s="245"/>
      <c r="D11" s="268"/>
      <c r="E11" s="469"/>
      <c r="F11" s="268"/>
      <c r="G11" s="461">
        <f t="shared" si="0"/>
        <v>0</v>
      </c>
    </row>
    <row r="12" spans="1:8" s="42" customFormat="1" ht="13.5" x14ac:dyDescent="0.25">
      <c r="A12" s="25" t="s">
        <v>5</v>
      </c>
      <c r="B12" s="220">
        <v>44013</v>
      </c>
      <c r="C12" s="245"/>
      <c r="D12" s="268">
        <v>273</v>
      </c>
      <c r="E12" s="469"/>
      <c r="F12" s="268">
        <v>276</v>
      </c>
      <c r="G12" s="461">
        <f t="shared" si="0"/>
        <v>549</v>
      </c>
    </row>
    <row r="13" spans="1:8" s="42" customFormat="1" ht="13.5" x14ac:dyDescent="0.25">
      <c r="A13" s="25" t="s">
        <v>6</v>
      </c>
      <c r="B13" s="220">
        <v>44014</v>
      </c>
      <c r="C13" s="245"/>
      <c r="D13" s="268">
        <v>345</v>
      </c>
      <c r="E13" s="469"/>
      <c r="F13" s="268">
        <v>418</v>
      </c>
      <c r="G13" s="461">
        <f t="shared" si="0"/>
        <v>763</v>
      </c>
      <c r="H13" s="140"/>
    </row>
    <row r="14" spans="1:8" s="42" customFormat="1" ht="13.5" x14ac:dyDescent="0.25">
      <c r="A14" s="25" t="s">
        <v>0</v>
      </c>
      <c r="B14" s="225">
        <v>44015</v>
      </c>
      <c r="C14" s="245"/>
      <c r="D14" s="268">
        <v>262</v>
      </c>
      <c r="E14" s="469"/>
      <c r="F14" s="268">
        <v>320</v>
      </c>
      <c r="G14" s="461">
        <f t="shared" si="0"/>
        <v>582</v>
      </c>
      <c r="H14" s="140"/>
    </row>
    <row r="15" spans="1:8" s="42" customFormat="1" ht="13.5" outlineLevel="1" x14ac:dyDescent="0.25">
      <c r="A15" s="25" t="s">
        <v>1</v>
      </c>
      <c r="B15" s="225">
        <v>44016</v>
      </c>
      <c r="C15" s="245"/>
      <c r="D15" s="268">
        <v>205</v>
      </c>
      <c r="E15" s="469"/>
      <c r="F15" s="268">
        <v>290</v>
      </c>
      <c r="G15" s="461">
        <f t="shared" si="0"/>
        <v>495</v>
      </c>
      <c r="H15" s="140"/>
    </row>
    <row r="16" spans="1:8" s="42" customFormat="1" ht="15" customHeight="1" outlineLevel="1" thickBot="1" x14ac:dyDescent="0.3">
      <c r="A16" s="139" t="s">
        <v>2</v>
      </c>
      <c r="B16" s="225">
        <v>44017</v>
      </c>
      <c r="C16" s="245"/>
      <c r="D16" s="268">
        <v>278</v>
      </c>
      <c r="E16" s="469"/>
      <c r="F16" s="268">
        <v>449</v>
      </c>
      <c r="G16" s="461">
        <f t="shared" si="0"/>
        <v>727</v>
      </c>
      <c r="H16" s="140"/>
    </row>
    <row r="17" spans="1:8" s="43" customFormat="1" ht="15" customHeight="1" outlineLevel="1" thickBot="1" x14ac:dyDescent="0.3">
      <c r="A17" s="147" t="s">
        <v>20</v>
      </c>
      <c r="B17" s="626" t="s">
        <v>23</v>
      </c>
      <c r="C17" s="246">
        <f>SUM(C10:C16)</f>
        <v>0</v>
      </c>
      <c r="D17" s="267">
        <f>SUM(D10:D16)</f>
        <v>1363</v>
      </c>
      <c r="E17" s="467">
        <f>SUM(E10:E16)</f>
        <v>0</v>
      </c>
      <c r="F17" s="267">
        <f>SUM(F10:F16)</f>
        <v>1753</v>
      </c>
      <c r="G17" s="459">
        <f>SUM(G10:G16)</f>
        <v>3116</v>
      </c>
    </row>
    <row r="18" spans="1:8" s="43" customFormat="1" ht="15" customHeight="1" outlineLevel="1" thickBot="1" x14ac:dyDescent="0.3">
      <c r="A18" s="102" t="s">
        <v>22</v>
      </c>
      <c r="B18" s="626"/>
      <c r="C18" s="246" t="e">
        <f>AVERAGE(C10:C16)</f>
        <v>#DIV/0!</v>
      </c>
      <c r="D18" s="267">
        <f>AVERAGE(D10:D16)</f>
        <v>272.60000000000002</v>
      </c>
      <c r="E18" s="467" t="e">
        <f>AVERAGE(E10:E16)</f>
        <v>#DIV/0!</v>
      </c>
      <c r="F18" s="267">
        <f>AVERAGE(F10:F16)</f>
        <v>350.6</v>
      </c>
      <c r="G18" s="459">
        <f>AVERAGE(G10:G16)</f>
        <v>445.14285714285717</v>
      </c>
    </row>
    <row r="19" spans="1:8" s="43" customFormat="1" ht="15" customHeight="1" thickBot="1" x14ac:dyDescent="0.3">
      <c r="A19" s="26" t="s">
        <v>19</v>
      </c>
      <c r="B19" s="626"/>
      <c r="C19" s="247">
        <f>SUM(C10:C14)</f>
        <v>0</v>
      </c>
      <c r="D19" s="265">
        <f>SUM(D10:D14)</f>
        <v>880</v>
      </c>
      <c r="E19" s="468">
        <f>SUM(E10:E14)</f>
        <v>0</v>
      </c>
      <c r="F19" s="265">
        <f>SUM(F10:F14)</f>
        <v>1014</v>
      </c>
      <c r="G19" s="460">
        <f>SUM(G10:G14)</f>
        <v>1894</v>
      </c>
    </row>
    <row r="20" spans="1:8" s="43" customFormat="1" ht="15" customHeight="1" thickBot="1" x14ac:dyDescent="0.3">
      <c r="A20" s="26" t="s">
        <v>21</v>
      </c>
      <c r="B20" s="626"/>
      <c r="C20" s="247" t="e">
        <f>AVERAGE(C10:C14)</f>
        <v>#DIV/0!</v>
      </c>
      <c r="D20" s="265">
        <f>AVERAGE(D10:D14)</f>
        <v>293.33333333333331</v>
      </c>
      <c r="E20" s="468" t="e">
        <f>AVERAGE(E10:E14)</f>
        <v>#DIV/0!</v>
      </c>
      <c r="F20" s="265">
        <f>AVERAGE(F10:F14)</f>
        <v>338</v>
      </c>
      <c r="G20" s="460">
        <f>AVERAGE(G10:G14)</f>
        <v>378.8</v>
      </c>
    </row>
    <row r="21" spans="1:8" s="43" customFormat="1" ht="15" customHeight="1" x14ac:dyDescent="0.25">
      <c r="A21" s="25" t="s">
        <v>3</v>
      </c>
      <c r="B21" s="220">
        <f>B16+1</f>
        <v>44018</v>
      </c>
      <c r="C21" s="238"/>
      <c r="D21" s="266">
        <v>309</v>
      </c>
      <c r="E21" s="470"/>
      <c r="F21" s="266">
        <v>347</v>
      </c>
      <c r="G21" s="461">
        <f>SUM(C21:F21)</f>
        <v>656</v>
      </c>
    </row>
    <row r="22" spans="1:8" s="43" customFormat="1" ht="15" customHeight="1" x14ac:dyDescent="0.25">
      <c r="A22" s="25" t="s">
        <v>4</v>
      </c>
      <c r="B22" s="220">
        <f t="shared" ref="B22:B27" si="1">B21+1</f>
        <v>44019</v>
      </c>
      <c r="C22" s="238"/>
      <c r="D22" s="266">
        <v>324</v>
      </c>
      <c r="E22" s="470"/>
      <c r="F22" s="266">
        <v>289</v>
      </c>
      <c r="G22" s="461">
        <f t="shared" ref="G22:G27" si="2">SUM(C22:F22)</f>
        <v>613</v>
      </c>
    </row>
    <row r="23" spans="1:8" s="43" customFormat="1" ht="15" customHeight="1" x14ac:dyDescent="0.25">
      <c r="A23" s="25" t="s">
        <v>5</v>
      </c>
      <c r="B23" s="220">
        <f t="shared" si="1"/>
        <v>44020</v>
      </c>
      <c r="C23" s="238"/>
      <c r="D23" s="266">
        <v>278</v>
      </c>
      <c r="E23" s="470"/>
      <c r="F23" s="266">
        <v>290</v>
      </c>
      <c r="G23" s="461">
        <f t="shared" si="2"/>
        <v>568</v>
      </c>
    </row>
    <row r="24" spans="1:8" s="43" customFormat="1" ht="15" customHeight="1" x14ac:dyDescent="0.25">
      <c r="A24" s="25" t="s">
        <v>6</v>
      </c>
      <c r="B24" s="220">
        <f t="shared" si="1"/>
        <v>44021</v>
      </c>
      <c r="C24" s="238"/>
      <c r="D24" s="266">
        <v>303</v>
      </c>
      <c r="E24" s="470"/>
      <c r="F24" s="266">
        <v>340</v>
      </c>
      <c r="G24" s="461">
        <f t="shared" si="2"/>
        <v>643</v>
      </c>
    </row>
    <row r="25" spans="1:8" s="43" customFormat="1" ht="15" customHeight="1" x14ac:dyDescent="0.25">
      <c r="A25" s="25" t="s">
        <v>0</v>
      </c>
      <c r="B25" s="220">
        <f t="shared" si="1"/>
        <v>44022</v>
      </c>
      <c r="C25" s="238"/>
      <c r="D25" s="266">
        <v>191</v>
      </c>
      <c r="E25" s="470"/>
      <c r="F25" s="266">
        <v>174</v>
      </c>
      <c r="G25" s="461">
        <f t="shared" si="2"/>
        <v>365</v>
      </c>
    </row>
    <row r="26" spans="1:8" s="43" customFormat="1" ht="15" customHeight="1" outlineLevel="1" x14ac:dyDescent="0.25">
      <c r="A26" s="25" t="s">
        <v>1</v>
      </c>
      <c r="B26" s="220">
        <f t="shared" si="1"/>
        <v>44023</v>
      </c>
      <c r="C26" s="238"/>
      <c r="D26" s="266">
        <v>112</v>
      </c>
      <c r="E26" s="470"/>
      <c r="F26" s="266">
        <v>141</v>
      </c>
      <c r="G26" s="461">
        <f t="shared" si="2"/>
        <v>253</v>
      </c>
      <c r="H26" s="143"/>
    </row>
    <row r="27" spans="1:8" s="43" customFormat="1" ht="15" customHeight="1" outlineLevel="1" thickBot="1" x14ac:dyDescent="0.3">
      <c r="A27" s="25" t="s">
        <v>2</v>
      </c>
      <c r="B27" s="220">
        <f t="shared" si="1"/>
        <v>44024</v>
      </c>
      <c r="C27" s="238"/>
      <c r="D27" s="266">
        <v>389</v>
      </c>
      <c r="E27" s="470"/>
      <c r="F27" s="266">
        <v>522</v>
      </c>
      <c r="G27" s="461">
        <f t="shared" si="2"/>
        <v>911</v>
      </c>
    </row>
    <row r="28" spans="1:8" s="43" customFormat="1" ht="15" customHeight="1" outlineLevel="1" thickBot="1" x14ac:dyDescent="0.3">
      <c r="A28" s="147" t="s">
        <v>20</v>
      </c>
      <c r="B28" s="626" t="s">
        <v>24</v>
      </c>
      <c r="C28" s="246">
        <f>SUM(C21:C27)</f>
        <v>0</v>
      </c>
      <c r="D28" s="267">
        <f>SUM(D21:D27)</f>
        <v>1906</v>
      </c>
      <c r="E28" s="467">
        <f>SUM(E21:E27)</f>
        <v>0</v>
      </c>
      <c r="F28" s="267">
        <f>SUM(F21:F27)</f>
        <v>2103</v>
      </c>
      <c r="G28" s="459">
        <f>SUM(G21:G27)</f>
        <v>4009</v>
      </c>
    </row>
    <row r="29" spans="1:8" s="43" customFormat="1" ht="15" customHeight="1" outlineLevel="1" thickBot="1" x14ac:dyDescent="0.3">
      <c r="A29" s="102" t="s">
        <v>22</v>
      </c>
      <c r="B29" s="626"/>
      <c r="C29" s="246" t="e">
        <f>AVERAGE(C21:C27)</f>
        <v>#DIV/0!</v>
      </c>
      <c r="D29" s="267">
        <f>AVERAGE(D21:D27)</f>
        <v>272.28571428571428</v>
      </c>
      <c r="E29" s="467" t="e">
        <f>AVERAGE(E21:E27)</f>
        <v>#DIV/0!</v>
      </c>
      <c r="F29" s="267">
        <f>AVERAGE(F21:F27)</f>
        <v>300.42857142857144</v>
      </c>
      <c r="G29" s="459">
        <f>AVERAGE(G21:G27)</f>
        <v>572.71428571428567</v>
      </c>
    </row>
    <row r="30" spans="1:8" s="43" customFormat="1" ht="15" customHeight="1" thickBot="1" x14ac:dyDescent="0.3">
      <c r="A30" s="26" t="s">
        <v>19</v>
      </c>
      <c r="B30" s="626"/>
      <c r="C30" s="247">
        <f>SUM(C21:C25)</f>
        <v>0</v>
      </c>
      <c r="D30" s="265">
        <f>SUM(D21:D25)</f>
        <v>1405</v>
      </c>
      <c r="E30" s="468">
        <f>SUM(E21:E25)</f>
        <v>0</v>
      </c>
      <c r="F30" s="265">
        <f>SUM(F21:F25)</f>
        <v>1440</v>
      </c>
      <c r="G30" s="460">
        <f>SUM(G21:G25)</f>
        <v>2845</v>
      </c>
    </row>
    <row r="31" spans="1:8" s="43" customFormat="1" ht="15" customHeight="1" thickBot="1" x14ac:dyDescent="0.3">
      <c r="A31" s="26" t="s">
        <v>21</v>
      </c>
      <c r="B31" s="626"/>
      <c r="C31" s="247" t="e">
        <f>AVERAGE(C21:C25)</f>
        <v>#DIV/0!</v>
      </c>
      <c r="D31" s="265">
        <f>AVERAGE(D21:D25)</f>
        <v>281</v>
      </c>
      <c r="E31" s="468" t="e">
        <f>AVERAGE(E21:E25)</f>
        <v>#DIV/0!</v>
      </c>
      <c r="F31" s="265">
        <f>AVERAGE(F21:F25)</f>
        <v>288</v>
      </c>
      <c r="G31" s="460">
        <f>AVERAGE(G21:G25)</f>
        <v>569</v>
      </c>
    </row>
    <row r="32" spans="1:8" s="43" customFormat="1" ht="15" customHeight="1" x14ac:dyDescent="0.25">
      <c r="A32" s="25" t="s">
        <v>3</v>
      </c>
      <c r="B32" s="214">
        <f>B27+1</f>
        <v>44025</v>
      </c>
      <c r="C32" s="238"/>
      <c r="D32" s="266">
        <v>283</v>
      </c>
      <c r="E32" s="470"/>
      <c r="F32" s="266">
        <v>306</v>
      </c>
      <c r="G32" s="461">
        <f>SUM(C32:F32)</f>
        <v>589</v>
      </c>
    </row>
    <row r="33" spans="1:8" s="43" customFormat="1" ht="15" customHeight="1" x14ac:dyDescent="0.25">
      <c r="A33" s="25" t="s">
        <v>4</v>
      </c>
      <c r="B33" s="214">
        <f t="shared" ref="B33:B38" si="3">B32+1</f>
        <v>44026</v>
      </c>
      <c r="C33" s="238"/>
      <c r="D33" s="266">
        <v>330</v>
      </c>
      <c r="E33" s="470"/>
      <c r="F33" s="266">
        <v>388</v>
      </c>
      <c r="G33" s="461">
        <f t="shared" ref="G33:G38" si="4">SUM(C33:F33)</f>
        <v>718</v>
      </c>
    </row>
    <row r="34" spans="1:8" s="43" customFormat="1" ht="15" customHeight="1" x14ac:dyDescent="0.25">
      <c r="A34" s="25" t="s">
        <v>5</v>
      </c>
      <c r="B34" s="214">
        <f t="shared" si="3"/>
        <v>44027</v>
      </c>
      <c r="C34" s="238"/>
      <c r="D34" s="266">
        <v>335</v>
      </c>
      <c r="E34" s="470"/>
      <c r="F34" s="266">
        <v>369</v>
      </c>
      <c r="G34" s="461">
        <f t="shared" si="4"/>
        <v>704</v>
      </c>
    </row>
    <row r="35" spans="1:8" s="43" customFormat="1" ht="15" customHeight="1" x14ac:dyDescent="0.25">
      <c r="A35" s="25" t="s">
        <v>6</v>
      </c>
      <c r="B35" s="214">
        <f t="shared" si="3"/>
        <v>44028</v>
      </c>
      <c r="C35" s="245"/>
      <c r="D35" s="266">
        <v>341</v>
      </c>
      <c r="E35" s="469"/>
      <c r="F35" s="266">
        <v>384</v>
      </c>
      <c r="G35" s="461">
        <f t="shared" si="4"/>
        <v>725</v>
      </c>
    </row>
    <row r="36" spans="1:8" s="43" customFormat="1" ht="15" customHeight="1" x14ac:dyDescent="0.25">
      <c r="A36" s="25" t="s">
        <v>0</v>
      </c>
      <c r="B36" s="214">
        <f t="shared" si="3"/>
        <v>44029</v>
      </c>
      <c r="C36" s="245"/>
      <c r="D36" s="266">
        <v>369</v>
      </c>
      <c r="E36" s="469"/>
      <c r="F36" s="266">
        <v>352</v>
      </c>
      <c r="G36" s="461">
        <f t="shared" si="4"/>
        <v>721</v>
      </c>
    </row>
    <row r="37" spans="1:8" s="43" customFormat="1" ht="15" customHeight="1" outlineLevel="1" x14ac:dyDescent="0.25">
      <c r="A37" s="25" t="s">
        <v>1</v>
      </c>
      <c r="B37" s="214">
        <f t="shared" si="3"/>
        <v>44030</v>
      </c>
      <c r="C37" s="245"/>
      <c r="D37" s="266">
        <v>396</v>
      </c>
      <c r="E37" s="469"/>
      <c r="F37" s="266">
        <v>444</v>
      </c>
      <c r="G37" s="461">
        <f t="shared" si="4"/>
        <v>840</v>
      </c>
    </row>
    <row r="38" spans="1:8" s="43" customFormat="1" ht="15" customHeight="1" outlineLevel="1" thickBot="1" x14ac:dyDescent="0.3">
      <c r="A38" s="25" t="s">
        <v>2</v>
      </c>
      <c r="B38" s="214">
        <f t="shared" si="3"/>
        <v>44031</v>
      </c>
      <c r="C38" s="245"/>
      <c r="D38" s="266">
        <v>431</v>
      </c>
      <c r="E38" s="469"/>
      <c r="F38" s="266">
        <v>469</v>
      </c>
      <c r="G38" s="461">
        <f t="shared" si="4"/>
        <v>900</v>
      </c>
      <c r="H38" s="143"/>
    </row>
    <row r="39" spans="1:8" s="43" customFormat="1" ht="15" customHeight="1" outlineLevel="1" thickBot="1" x14ac:dyDescent="0.3">
      <c r="A39" s="147" t="s">
        <v>20</v>
      </c>
      <c r="B39" s="626" t="s">
        <v>25</v>
      </c>
      <c r="C39" s="246">
        <f>SUM(C32:C38)</f>
        <v>0</v>
      </c>
      <c r="D39" s="267">
        <f>SUM(D32:D38)</f>
        <v>2485</v>
      </c>
      <c r="E39" s="467">
        <f>SUM(E32:E38)</f>
        <v>0</v>
      </c>
      <c r="F39" s="267">
        <f>SUM(F32:F38)</f>
        <v>2712</v>
      </c>
      <c r="G39" s="459">
        <f>SUM(G32:G38)</f>
        <v>5197</v>
      </c>
    </row>
    <row r="40" spans="1:8" s="43" customFormat="1" ht="15" customHeight="1" outlineLevel="1" thickBot="1" x14ac:dyDescent="0.3">
      <c r="A40" s="102" t="s">
        <v>22</v>
      </c>
      <c r="B40" s="626"/>
      <c r="C40" s="246" t="e">
        <f>AVERAGE(C32:C38)</f>
        <v>#DIV/0!</v>
      </c>
      <c r="D40" s="267">
        <f>AVERAGE(D32:D38)</f>
        <v>355</v>
      </c>
      <c r="E40" s="467" t="e">
        <f>AVERAGE(E32:E38)</f>
        <v>#DIV/0!</v>
      </c>
      <c r="F40" s="267">
        <f>AVERAGE(F32:F38)</f>
        <v>387.42857142857144</v>
      </c>
      <c r="G40" s="459">
        <f>AVERAGE(G32:G38)</f>
        <v>742.42857142857144</v>
      </c>
    </row>
    <row r="41" spans="1:8" s="43" customFormat="1" ht="15" customHeight="1" thickBot="1" x14ac:dyDescent="0.3">
      <c r="A41" s="26" t="s">
        <v>19</v>
      </c>
      <c r="B41" s="626"/>
      <c r="C41" s="247">
        <f>SUM(C32:C36)</f>
        <v>0</v>
      </c>
      <c r="D41" s="265">
        <f>SUM(D32:D36)</f>
        <v>1658</v>
      </c>
      <c r="E41" s="468">
        <f>SUM(E32:E36)</f>
        <v>0</v>
      </c>
      <c r="F41" s="265">
        <f>SUM(F32:F36)</f>
        <v>1799</v>
      </c>
      <c r="G41" s="460">
        <f>SUM(G32:G36)</f>
        <v>3457</v>
      </c>
    </row>
    <row r="42" spans="1:8" s="43" customFormat="1" ht="15" customHeight="1" thickBot="1" x14ac:dyDescent="0.3">
      <c r="A42" s="26" t="s">
        <v>21</v>
      </c>
      <c r="B42" s="626"/>
      <c r="C42" s="247" t="e">
        <f>AVERAGE(C32:C36)</f>
        <v>#DIV/0!</v>
      </c>
      <c r="D42" s="265">
        <f>AVERAGE(D32:D36)</f>
        <v>331.6</v>
      </c>
      <c r="E42" s="468" t="e">
        <f>AVERAGE(E32:E36)</f>
        <v>#DIV/0!</v>
      </c>
      <c r="F42" s="265">
        <f>AVERAGE(F32:F36)</f>
        <v>359.8</v>
      </c>
      <c r="G42" s="460">
        <f>AVERAGE(G32:G36)</f>
        <v>691.4</v>
      </c>
    </row>
    <row r="43" spans="1:8" s="43" customFormat="1" ht="15" customHeight="1" x14ac:dyDescent="0.25">
      <c r="A43" s="25" t="s">
        <v>3</v>
      </c>
      <c r="B43" s="224">
        <f>B38+1</f>
        <v>44032</v>
      </c>
      <c r="C43" s="245"/>
      <c r="D43" s="266">
        <v>314</v>
      </c>
      <c r="E43" s="469"/>
      <c r="F43" s="266">
        <v>358</v>
      </c>
      <c r="G43" s="461">
        <f t="shared" ref="G43:G49" si="5">SUM(C43:F43)</f>
        <v>672</v>
      </c>
      <c r="H43" s="143"/>
    </row>
    <row r="44" spans="1:8" s="43" customFormat="1" ht="15" customHeight="1" x14ac:dyDescent="0.25">
      <c r="A44" s="25" t="s">
        <v>4</v>
      </c>
      <c r="B44" s="224">
        <f t="shared" ref="B44:B49" si="6">B43+1</f>
        <v>44033</v>
      </c>
      <c r="C44" s="245"/>
      <c r="D44" s="266">
        <v>362</v>
      </c>
      <c r="E44" s="469"/>
      <c r="F44" s="266">
        <v>420</v>
      </c>
      <c r="G44" s="461">
        <f t="shared" si="5"/>
        <v>782</v>
      </c>
      <c r="H44" s="143"/>
    </row>
    <row r="45" spans="1:8" s="43" customFormat="1" ht="15" customHeight="1" x14ac:dyDescent="0.25">
      <c r="A45" s="25" t="s">
        <v>5</v>
      </c>
      <c r="B45" s="224">
        <f t="shared" si="6"/>
        <v>44034</v>
      </c>
      <c r="C45" s="245"/>
      <c r="D45" s="266">
        <v>324</v>
      </c>
      <c r="E45" s="469"/>
      <c r="F45" s="266">
        <v>315</v>
      </c>
      <c r="G45" s="461">
        <f t="shared" si="5"/>
        <v>639</v>
      </c>
      <c r="H45" s="143"/>
    </row>
    <row r="46" spans="1:8" s="43" customFormat="1" ht="15" customHeight="1" x14ac:dyDescent="0.25">
      <c r="A46" s="25" t="s">
        <v>6</v>
      </c>
      <c r="B46" s="224">
        <f t="shared" si="6"/>
        <v>44035</v>
      </c>
      <c r="C46" s="245"/>
      <c r="D46" s="266">
        <v>348</v>
      </c>
      <c r="E46" s="470"/>
      <c r="F46" s="266">
        <v>332</v>
      </c>
      <c r="G46" s="461">
        <f t="shared" si="5"/>
        <v>680</v>
      </c>
      <c r="H46" s="143"/>
    </row>
    <row r="47" spans="1:8" s="43" customFormat="1" ht="15" customHeight="1" x14ac:dyDescent="0.25">
      <c r="A47" s="25" t="s">
        <v>0</v>
      </c>
      <c r="B47" s="224">
        <f t="shared" si="6"/>
        <v>44036</v>
      </c>
      <c r="C47" s="245"/>
      <c r="D47" s="266">
        <v>337</v>
      </c>
      <c r="E47" s="470"/>
      <c r="F47" s="266">
        <v>344</v>
      </c>
      <c r="G47" s="461">
        <f t="shared" si="5"/>
        <v>681</v>
      </c>
      <c r="H47" s="143"/>
    </row>
    <row r="48" spans="1:8" s="43" customFormat="1" ht="15" customHeight="1" outlineLevel="1" x14ac:dyDescent="0.25">
      <c r="A48" s="25" t="s">
        <v>1</v>
      </c>
      <c r="B48" s="224">
        <f t="shared" si="6"/>
        <v>44037</v>
      </c>
      <c r="C48" s="245"/>
      <c r="D48" s="266">
        <v>373</v>
      </c>
      <c r="E48" s="469"/>
      <c r="F48" s="266">
        <v>535</v>
      </c>
      <c r="G48" s="461">
        <f t="shared" si="5"/>
        <v>908</v>
      </c>
      <c r="H48" s="143"/>
    </row>
    <row r="49" spans="1:8" s="43" customFormat="1" ht="15" customHeight="1" outlineLevel="1" thickBot="1" x14ac:dyDescent="0.3">
      <c r="A49" s="25" t="s">
        <v>2</v>
      </c>
      <c r="B49" s="224">
        <f t="shared" si="6"/>
        <v>44038</v>
      </c>
      <c r="C49" s="245"/>
      <c r="D49" s="266">
        <v>405</v>
      </c>
      <c r="E49" s="469"/>
      <c r="F49" s="266">
        <v>503</v>
      </c>
      <c r="G49" s="461">
        <f t="shared" si="5"/>
        <v>908</v>
      </c>
      <c r="H49" s="143"/>
    </row>
    <row r="50" spans="1:8" s="43" customFormat="1" ht="15" customHeight="1" outlineLevel="1" thickBot="1" x14ac:dyDescent="0.3">
      <c r="A50" s="147" t="s">
        <v>20</v>
      </c>
      <c r="B50" s="626" t="s">
        <v>26</v>
      </c>
      <c r="C50" s="246">
        <f>SUM(C43:C49)</f>
        <v>0</v>
      </c>
      <c r="D50" s="267">
        <f>SUM(D43:D49)</f>
        <v>2463</v>
      </c>
      <c r="E50" s="467">
        <f>SUM(E43:E49)</f>
        <v>0</v>
      </c>
      <c r="F50" s="267">
        <f>SUM(F43:F49)</f>
        <v>2807</v>
      </c>
      <c r="G50" s="459">
        <f>SUM(G43:G49)</f>
        <v>5270</v>
      </c>
    </row>
    <row r="51" spans="1:8" s="43" customFormat="1" ht="15" customHeight="1" outlineLevel="1" thickBot="1" x14ac:dyDescent="0.3">
      <c r="A51" s="102" t="s">
        <v>22</v>
      </c>
      <c r="B51" s="626"/>
      <c r="C51" s="246" t="e">
        <f>AVERAGE(C43:C49)</f>
        <v>#DIV/0!</v>
      </c>
      <c r="D51" s="267">
        <f>AVERAGE(D43:D49)</f>
        <v>351.85714285714283</v>
      </c>
      <c r="E51" s="467" t="e">
        <f>AVERAGE(E43:E49)</f>
        <v>#DIV/0!</v>
      </c>
      <c r="F51" s="267">
        <f>AVERAGE(F43:F49)</f>
        <v>401</v>
      </c>
      <c r="G51" s="459">
        <f>AVERAGE(G43:G49)</f>
        <v>752.85714285714289</v>
      </c>
    </row>
    <row r="52" spans="1:8" s="43" customFormat="1" ht="15" customHeight="1" thickBot="1" x14ac:dyDescent="0.3">
      <c r="A52" s="26" t="s">
        <v>19</v>
      </c>
      <c r="B52" s="626"/>
      <c r="C52" s="247">
        <f>SUM(C43:C47)</f>
        <v>0</v>
      </c>
      <c r="D52" s="265">
        <f>SUM(D43:D47)</f>
        <v>1685</v>
      </c>
      <c r="E52" s="468">
        <f>SUM(E43:E47)</f>
        <v>0</v>
      </c>
      <c r="F52" s="265">
        <f>SUM(F43:F47)</f>
        <v>1769</v>
      </c>
      <c r="G52" s="460">
        <f>SUM(G43:G47)</f>
        <v>3454</v>
      </c>
    </row>
    <row r="53" spans="1:8" s="43" customFormat="1" ht="15" customHeight="1" thickBot="1" x14ac:dyDescent="0.3">
      <c r="A53" s="26" t="s">
        <v>21</v>
      </c>
      <c r="B53" s="626"/>
      <c r="C53" s="247" t="e">
        <f>AVERAGE(C43:C47)</f>
        <v>#DIV/0!</v>
      </c>
      <c r="D53" s="265">
        <f>AVERAGE(D43:D47)</f>
        <v>337</v>
      </c>
      <c r="E53" s="468" t="e">
        <f>AVERAGE(E43:E47)</f>
        <v>#DIV/0!</v>
      </c>
      <c r="F53" s="265">
        <f>AVERAGE(F43:F47)</f>
        <v>353.8</v>
      </c>
      <c r="G53" s="460">
        <f>AVERAGE(G43:G47)</f>
        <v>690.8</v>
      </c>
    </row>
    <row r="54" spans="1:8" s="43" customFormat="1" ht="15" customHeight="1" x14ac:dyDescent="0.25">
      <c r="A54" s="25" t="s">
        <v>3</v>
      </c>
      <c r="B54" s="224">
        <f>B49+1</f>
        <v>44039</v>
      </c>
      <c r="C54" s="238"/>
      <c r="D54" s="266">
        <v>379</v>
      </c>
      <c r="E54" s="470"/>
      <c r="F54" s="266">
        <v>416</v>
      </c>
      <c r="G54" s="461">
        <f t="shared" ref="G54:G60" si="7">SUM(C54:F54)</f>
        <v>795</v>
      </c>
      <c r="H54" s="143"/>
    </row>
    <row r="55" spans="1:8" s="43" customFormat="1" ht="15" customHeight="1" x14ac:dyDescent="0.25">
      <c r="A55" s="139" t="s">
        <v>4</v>
      </c>
      <c r="B55" s="224">
        <f t="shared" ref="B55:B60" si="8">B54+1</f>
        <v>44040</v>
      </c>
      <c r="C55" s="238"/>
      <c r="D55" s="266">
        <v>301</v>
      </c>
      <c r="E55" s="470"/>
      <c r="F55" s="266">
        <v>323</v>
      </c>
      <c r="G55" s="461">
        <f t="shared" si="7"/>
        <v>624</v>
      </c>
      <c r="H55" s="143"/>
    </row>
    <row r="56" spans="1:8" s="43" customFormat="1" ht="15" customHeight="1" x14ac:dyDescent="0.25">
      <c r="A56" s="139" t="s">
        <v>5</v>
      </c>
      <c r="B56" s="224">
        <f t="shared" si="8"/>
        <v>44041</v>
      </c>
      <c r="C56" s="238"/>
      <c r="D56" s="266">
        <v>397</v>
      </c>
      <c r="E56" s="470"/>
      <c r="F56" s="266">
        <v>424</v>
      </c>
      <c r="G56" s="461">
        <f t="shared" si="7"/>
        <v>821</v>
      </c>
      <c r="H56" s="143"/>
    </row>
    <row r="57" spans="1:8" s="43" customFormat="1" ht="13.5" x14ac:dyDescent="0.25">
      <c r="A57" s="139" t="s">
        <v>6</v>
      </c>
      <c r="B57" s="224">
        <f t="shared" si="8"/>
        <v>44042</v>
      </c>
      <c r="C57" s="245"/>
      <c r="D57" s="268">
        <v>334</v>
      </c>
      <c r="E57" s="469"/>
      <c r="F57" s="268">
        <v>360</v>
      </c>
      <c r="G57" s="461">
        <f t="shared" si="7"/>
        <v>694</v>
      </c>
      <c r="H57" s="143"/>
    </row>
    <row r="58" spans="1:8" s="43" customFormat="1" ht="14.25" thickBot="1" x14ac:dyDescent="0.3">
      <c r="A58" s="25" t="s">
        <v>0</v>
      </c>
      <c r="B58" s="225">
        <f t="shared" si="8"/>
        <v>44043</v>
      </c>
      <c r="C58" s="245"/>
      <c r="D58" s="268">
        <v>302</v>
      </c>
      <c r="E58" s="469"/>
      <c r="F58" s="268">
        <v>346</v>
      </c>
      <c r="G58" s="461">
        <f t="shared" si="7"/>
        <v>648</v>
      </c>
      <c r="H58" s="143"/>
    </row>
    <row r="59" spans="1:8" s="43" customFormat="1" ht="13.5" hidden="1" outlineLevel="1" x14ac:dyDescent="0.25">
      <c r="A59" s="25" t="s">
        <v>1</v>
      </c>
      <c r="B59" s="225">
        <f t="shared" si="8"/>
        <v>44044</v>
      </c>
      <c r="C59" s="245"/>
      <c r="D59" s="268"/>
      <c r="E59" s="469"/>
      <c r="F59" s="268"/>
      <c r="G59" s="461">
        <f t="shared" si="7"/>
        <v>0</v>
      </c>
      <c r="H59" s="143"/>
    </row>
    <row r="60" spans="1:8" s="43" customFormat="1" ht="14.25" hidden="1" outlineLevel="1" thickBot="1" x14ac:dyDescent="0.3">
      <c r="A60" s="139" t="s">
        <v>2</v>
      </c>
      <c r="B60" s="465">
        <f t="shared" si="8"/>
        <v>44045</v>
      </c>
      <c r="C60" s="245"/>
      <c r="D60" s="268"/>
      <c r="E60" s="469"/>
      <c r="F60" s="268"/>
      <c r="G60" s="461">
        <f t="shared" si="7"/>
        <v>0</v>
      </c>
    </row>
    <row r="61" spans="1:8" s="43" customFormat="1" ht="15" customHeight="1" outlineLevel="1" thickBot="1" x14ac:dyDescent="0.3">
      <c r="A61" s="147" t="s">
        <v>20</v>
      </c>
      <c r="B61" s="647" t="s">
        <v>27</v>
      </c>
      <c r="C61" s="246">
        <f>SUM(C54:C60)</f>
        <v>0</v>
      </c>
      <c r="D61" s="267">
        <f>SUM(D54:D60)</f>
        <v>1713</v>
      </c>
      <c r="E61" s="467">
        <f>SUM(E54:E60)</f>
        <v>0</v>
      </c>
      <c r="F61" s="267">
        <f>SUM(F54:F60)</f>
        <v>1869</v>
      </c>
      <c r="G61" s="459">
        <f>SUM(G54:G60)</f>
        <v>3582</v>
      </c>
    </row>
    <row r="62" spans="1:8" s="43" customFormat="1" ht="15" customHeight="1" outlineLevel="1" thickBot="1" x14ac:dyDescent="0.3">
      <c r="A62" s="102" t="s">
        <v>22</v>
      </c>
      <c r="B62" s="647"/>
      <c r="C62" s="246" t="e">
        <f>AVERAGE(C54:C60)</f>
        <v>#DIV/0!</v>
      </c>
      <c r="D62" s="267">
        <f>AVERAGE(D54:D60)</f>
        <v>342.6</v>
      </c>
      <c r="E62" s="467" t="e">
        <f>AVERAGE(E54:E60)</f>
        <v>#DIV/0!</v>
      </c>
      <c r="F62" s="267">
        <f>AVERAGE(F54:F60)</f>
        <v>373.8</v>
      </c>
      <c r="G62" s="459">
        <f>AVERAGE(G54:G60)</f>
        <v>511.71428571428572</v>
      </c>
    </row>
    <row r="63" spans="1:8" s="43" customFormat="1" ht="15" customHeight="1" thickBot="1" x14ac:dyDescent="0.3">
      <c r="A63" s="26" t="s">
        <v>19</v>
      </c>
      <c r="B63" s="647"/>
      <c r="C63" s="247">
        <f>SUM(C54:C58)</f>
        <v>0</v>
      </c>
      <c r="D63" s="265">
        <f>SUM(D54:D58)</f>
        <v>1713</v>
      </c>
      <c r="E63" s="468">
        <f>SUM(E54:E58)</f>
        <v>0</v>
      </c>
      <c r="F63" s="265">
        <f>SUM(F54:F58)</f>
        <v>1869</v>
      </c>
      <c r="G63" s="460">
        <f>SUM(G54:G58)</f>
        <v>3582</v>
      </c>
    </row>
    <row r="64" spans="1:8" s="43" customFormat="1" ht="14.25" thickBot="1" x14ac:dyDescent="0.3">
      <c r="A64" s="26" t="s">
        <v>21</v>
      </c>
      <c r="B64" s="648"/>
      <c r="C64" s="237" t="e">
        <f>AVERAGE(C54:C58)</f>
        <v>#DIV/0!</v>
      </c>
      <c r="D64" s="269">
        <f>AVERAGE(D54:D58)</f>
        <v>342.6</v>
      </c>
      <c r="E64" s="471" t="e">
        <f>AVERAGE(E54:E58)</f>
        <v>#DIV/0!</v>
      </c>
      <c r="F64" s="269">
        <f>AVERAGE(F54:F58)</f>
        <v>373.8</v>
      </c>
      <c r="G64" s="462">
        <f>AVERAGE(G54:G58)</f>
        <v>716.4</v>
      </c>
    </row>
    <row r="65" spans="1:7" s="43" customFormat="1" ht="15" customHeight="1" thickBot="1" x14ac:dyDescent="0.3">
      <c r="A65" s="4"/>
      <c r="B65" s="122"/>
      <c r="C65" s="46"/>
      <c r="D65" s="46"/>
      <c r="E65" s="46"/>
      <c r="F65" s="46"/>
      <c r="G65" s="46"/>
    </row>
    <row r="66" spans="1:7" s="43" customFormat="1" ht="30" customHeight="1" thickBot="1" x14ac:dyDescent="0.3">
      <c r="A66" s="292"/>
      <c r="B66" s="294" t="s">
        <v>10</v>
      </c>
      <c r="C66" s="454" t="s">
        <v>14</v>
      </c>
      <c r="D66" s="46"/>
      <c r="E66" s="692" t="s">
        <v>56</v>
      </c>
      <c r="F66" s="693"/>
      <c r="G66" s="694"/>
    </row>
    <row r="67" spans="1:7" ht="30" customHeight="1" x14ac:dyDescent="0.25">
      <c r="A67" s="452" t="s">
        <v>113</v>
      </c>
      <c r="B67" s="173">
        <f xml:space="preserve"> SUM(,C6:D6,C61:D61, C50:D50, C39:D39, C28:D28, C17:D17,)</f>
        <v>9930</v>
      </c>
      <c r="C67" s="419">
        <f>SUM(,E6:F6,, E61:F61, E50:F50, E39:F39, E28:F28, E17:F17)</f>
        <v>11244</v>
      </c>
      <c r="D67" s="109"/>
      <c r="E67" s="701" t="s">
        <v>29</v>
      </c>
      <c r="F67" s="702"/>
      <c r="G67" s="396">
        <f xml:space="preserve"> SUM(G19, G30, G41, G52, G63,)</f>
        <v>15232</v>
      </c>
    </row>
    <row r="68" spans="1:7" ht="30" customHeight="1" thickBot="1" x14ac:dyDescent="0.3">
      <c r="A68" s="453" t="s">
        <v>29</v>
      </c>
      <c r="B68" s="299">
        <f xml:space="preserve"> SUM(C6:D6,C63:D63, C52:D52, C41:D41, C30:D30, C19:D19,)</f>
        <v>7341</v>
      </c>
      <c r="C68" s="421">
        <f>SUM( E63:F63, E52:F52, E41:F41, E30:F30, E19:F19)</f>
        <v>7891</v>
      </c>
      <c r="D68" s="109"/>
      <c r="E68" s="609" t="s">
        <v>113</v>
      </c>
      <c r="F68" s="610"/>
      <c r="G68" s="397">
        <f xml:space="preserve"> SUM(,G6,G61, G50, G39, G28, G17,)</f>
        <v>21174</v>
      </c>
    </row>
    <row r="69" spans="1:7" ht="30" customHeight="1" x14ac:dyDescent="0.25">
      <c r="E69" s="609" t="s">
        <v>21</v>
      </c>
      <c r="F69" s="610"/>
      <c r="G69" s="397">
        <f>AVERAGE(G20,G31,G42,G53,G64)</f>
        <v>609.28</v>
      </c>
    </row>
    <row r="70" spans="1:7" ht="26.25" customHeight="1" thickBot="1" x14ac:dyDescent="0.3">
      <c r="E70" s="611" t="s">
        <v>119</v>
      </c>
      <c r="F70" s="612"/>
      <c r="G70" s="302">
        <f>AVERAGE(G18,G29,G40,G51,G62)</f>
        <v>604.97142857142853</v>
      </c>
    </row>
    <row r="71" spans="1:7" x14ac:dyDescent="0.25">
      <c r="C71" s="141"/>
    </row>
  </sheetData>
  <mergeCells count="20">
    <mergeCell ref="E69:F69"/>
    <mergeCell ref="E70:F70"/>
    <mergeCell ref="B17:B20"/>
    <mergeCell ref="B28:B31"/>
    <mergeCell ref="B39:B42"/>
    <mergeCell ref="B50:B53"/>
    <mergeCell ref="B61:B64"/>
    <mergeCell ref="E68:F68"/>
    <mergeCell ref="E67:F67"/>
    <mergeCell ref="A3:A4"/>
    <mergeCell ref="B3:B4"/>
    <mergeCell ref="E3:E4"/>
    <mergeCell ref="F3:F4"/>
    <mergeCell ref="C3:C4"/>
    <mergeCell ref="D3:D4"/>
    <mergeCell ref="B6:B9"/>
    <mergeCell ref="G1:G4"/>
    <mergeCell ref="E1:F2"/>
    <mergeCell ref="C1:D2"/>
    <mergeCell ref="E66:G66"/>
  </mergeCells>
  <pageMargins left="0.7" right="0.7" top="0.75" bottom="0.75" header="0.3" footer="0.3"/>
  <pageSetup scale="73" orientation="portrait" r:id="rId1"/>
  <ignoredErrors>
    <ignoredError sqref="C29" emptyCellReference="1"/>
    <ignoredError sqref="C18 E18:F18" evalError="1" emptyCellReference="1"/>
    <ignoredError sqref="D39:F39 G29 C39 G31" formulaRange="1" emptyCellReference="1"/>
    <ignoredError sqref="G64 F31" formulaRange="1"/>
    <ignoredError sqref="E64:F64 D40:F40 G40 D51:F51 D62:F62 D20 G18 G51 C51 C62 C40 C64 G20 C42 D42:F42 G42 C53 D53:F53 G53" evalError="1" formulaRange="1" emptyCellReference="1"/>
    <ignoredError sqref="G62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1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9" sqref="A59:XFD60"/>
    </sheetView>
  </sheetViews>
  <sheetFormatPr defaultRowHeight="15" outlineLevelRow="1" x14ac:dyDescent="0.25"/>
  <cols>
    <col min="1" max="1" width="18.7109375" style="1" bestFit="1" customWidth="1"/>
    <col min="2" max="2" width="16.28515625" style="123" customWidth="1"/>
    <col min="3" max="3" width="16.28515625" style="286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54"/>
      <c r="C1" s="652" t="s">
        <v>93</v>
      </c>
      <c r="D1" s="653"/>
      <c r="E1" s="653"/>
      <c r="F1" s="653"/>
      <c r="G1" s="653"/>
      <c r="H1" s="652" t="s">
        <v>90</v>
      </c>
      <c r="I1" s="661"/>
      <c r="J1" s="653" t="s">
        <v>91</v>
      </c>
      <c r="K1" s="661"/>
      <c r="L1" s="667" t="s">
        <v>18</v>
      </c>
    </row>
    <row r="2" spans="1:13" ht="15" customHeight="1" thickBot="1" x14ac:dyDescent="0.3">
      <c r="A2" s="24"/>
      <c r="B2" s="155"/>
      <c r="C2" s="654"/>
      <c r="D2" s="655"/>
      <c r="E2" s="655"/>
      <c r="F2" s="655"/>
      <c r="G2" s="655"/>
      <c r="H2" s="654"/>
      <c r="I2" s="662"/>
      <c r="J2" s="655"/>
      <c r="K2" s="662"/>
      <c r="L2" s="668"/>
    </row>
    <row r="3" spans="1:13" ht="13.5" customHeight="1" x14ac:dyDescent="0.25">
      <c r="A3" s="634" t="s">
        <v>50</v>
      </c>
      <c r="B3" s="616" t="s">
        <v>51</v>
      </c>
      <c r="C3" s="707" t="s">
        <v>100</v>
      </c>
      <c r="D3" s="589" t="s">
        <v>7</v>
      </c>
      <c r="E3" s="589" t="s">
        <v>87</v>
      </c>
      <c r="F3" s="589" t="s">
        <v>88</v>
      </c>
      <c r="G3" s="642" t="s">
        <v>89</v>
      </c>
      <c r="H3" s="634" t="s">
        <v>84</v>
      </c>
      <c r="I3" s="410" t="s">
        <v>103</v>
      </c>
      <c r="J3" s="588" t="s">
        <v>10</v>
      </c>
      <c r="K3" s="590" t="s">
        <v>98</v>
      </c>
      <c r="L3" s="596"/>
    </row>
    <row r="4" spans="1:13" ht="15" customHeight="1" thickBot="1" x14ac:dyDescent="0.3">
      <c r="A4" s="651"/>
      <c r="B4" s="618"/>
      <c r="C4" s="708"/>
      <c r="D4" s="650"/>
      <c r="E4" s="650"/>
      <c r="F4" s="650"/>
      <c r="G4" s="706"/>
      <c r="H4" s="651"/>
      <c r="I4" s="411" t="s">
        <v>97</v>
      </c>
      <c r="J4" s="659"/>
      <c r="K4" s="649"/>
      <c r="L4" s="705"/>
    </row>
    <row r="5" spans="1:13" s="364" customFormat="1" ht="15" customHeight="1" thickBot="1" x14ac:dyDescent="0.3">
      <c r="A5" s="370"/>
      <c r="B5" s="367"/>
      <c r="C5" s="375"/>
      <c r="D5" s="376"/>
      <c r="E5" s="376"/>
      <c r="F5" s="376"/>
      <c r="G5" s="377"/>
      <c r="H5" s="378"/>
      <c r="I5" s="379"/>
      <c r="J5" s="380"/>
      <c r="K5" s="381"/>
      <c r="L5" s="383"/>
    </row>
    <row r="6" spans="1:13" s="43" customFormat="1" ht="15" customHeight="1" outlineLevel="1" thickBot="1" x14ac:dyDescent="0.3">
      <c r="A6" s="147" t="s">
        <v>20</v>
      </c>
      <c r="B6" s="646" t="s">
        <v>118</v>
      </c>
      <c r="C6" s="448" t="e">
        <f>SUM(#REF!)</f>
        <v>#REF!</v>
      </c>
      <c r="D6" s="107">
        <f>SUM(D5)</f>
        <v>0</v>
      </c>
      <c r="E6" s="107">
        <f t="shared" ref="E6:K6" si="0">SUM(E5)</f>
        <v>0</v>
      </c>
      <c r="F6" s="107">
        <f t="shared" si="0"/>
        <v>0</v>
      </c>
      <c r="G6" s="449">
        <f t="shared" si="0"/>
        <v>0</v>
      </c>
      <c r="H6" s="105">
        <f t="shared" si="0"/>
        <v>0</v>
      </c>
      <c r="I6" s="106">
        <f t="shared" si="0"/>
        <v>0</v>
      </c>
      <c r="J6" s="150">
        <f t="shared" si="0"/>
        <v>0</v>
      </c>
      <c r="K6" s="106">
        <f t="shared" si="0"/>
        <v>0</v>
      </c>
      <c r="L6" s="414">
        <f>SUM(L5)</f>
        <v>0</v>
      </c>
    </row>
    <row r="7" spans="1:13" s="43" customFormat="1" ht="15" customHeight="1" outlineLevel="1" thickBot="1" x14ac:dyDescent="0.3">
      <c r="A7" s="102" t="s">
        <v>22</v>
      </c>
      <c r="B7" s="647"/>
      <c r="C7" s="274" t="e">
        <f>AVERAGE(#REF!)</f>
        <v>#REF!</v>
      </c>
      <c r="D7" s="229" t="e">
        <f>AVERAGE(D5)</f>
        <v>#DIV/0!</v>
      </c>
      <c r="E7" s="229" t="e">
        <f t="shared" ref="E7:L7" si="1">AVERAGE(E5)</f>
        <v>#DIV/0!</v>
      </c>
      <c r="F7" s="229" t="e">
        <f t="shared" si="1"/>
        <v>#DIV/0!</v>
      </c>
      <c r="G7" s="313" t="e">
        <f t="shared" si="1"/>
        <v>#DIV/0!</v>
      </c>
      <c r="H7" s="232" t="e">
        <f t="shared" si="1"/>
        <v>#DIV/0!</v>
      </c>
      <c r="I7" s="233" t="e">
        <f t="shared" si="1"/>
        <v>#DIV/0!</v>
      </c>
      <c r="J7" s="415" t="e">
        <f t="shared" si="1"/>
        <v>#DIV/0!</v>
      </c>
      <c r="K7" s="233" t="e">
        <f t="shared" si="1"/>
        <v>#DIV/0!</v>
      </c>
      <c r="L7" s="415" t="e">
        <f t="shared" si="1"/>
        <v>#DIV/0!</v>
      </c>
    </row>
    <row r="8" spans="1:13" s="43" customFormat="1" ht="15" customHeight="1" thickBot="1" x14ac:dyDescent="0.3">
      <c r="A8" s="26" t="s">
        <v>19</v>
      </c>
      <c r="B8" s="647"/>
      <c r="C8" s="275" t="e">
        <f>SUM(#REF!)</f>
        <v>#REF!</v>
      </c>
      <c r="D8" s="230" t="e">
        <f>SUM(#REF!)</f>
        <v>#REF!</v>
      </c>
      <c r="E8" s="230" t="e">
        <f>SUM(#REF!)</f>
        <v>#REF!</v>
      </c>
      <c r="F8" s="230" t="e">
        <f>SUM(#REF!)</f>
        <v>#REF!</v>
      </c>
      <c r="G8" s="314" t="e">
        <f>SUM(#REF!)</f>
        <v>#REF!</v>
      </c>
      <c r="H8" s="234" t="e">
        <f>SUM(#REF!)</f>
        <v>#REF!</v>
      </c>
      <c r="I8" s="235" t="e">
        <f>SUM(#REF!)</f>
        <v>#REF!</v>
      </c>
      <c r="J8" s="259" t="e">
        <f>SUM(#REF!)</f>
        <v>#REF!</v>
      </c>
      <c r="K8" s="450" t="e">
        <f>SUM(#REF!)</f>
        <v>#REF!</v>
      </c>
      <c r="L8" s="445" t="e">
        <f>SUM(#REF!)</f>
        <v>#REF!</v>
      </c>
    </row>
    <row r="9" spans="1:13" s="43" customFormat="1" ht="15" customHeight="1" thickBot="1" x14ac:dyDescent="0.3">
      <c r="A9" s="26" t="s">
        <v>21</v>
      </c>
      <c r="B9" s="648"/>
      <c r="C9" s="279" t="e">
        <f>AVERAGE(#REF!)</f>
        <v>#REF!</v>
      </c>
      <c r="D9" s="31" t="e">
        <f>AVERAGE(#REF!)</f>
        <v>#REF!</v>
      </c>
      <c r="E9" s="31" t="e">
        <f>AVERAGE(#REF!)</f>
        <v>#REF!</v>
      </c>
      <c r="F9" s="31" t="e">
        <f>AVERAGE(#REF!)</f>
        <v>#REF!</v>
      </c>
      <c r="G9" s="315" t="e">
        <f>AVERAGE(#REF!)</f>
        <v>#REF!</v>
      </c>
      <c r="H9" s="29" t="e">
        <f>AVERAGE(#REF!)</f>
        <v>#REF!</v>
      </c>
      <c r="I9" s="30" t="e">
        <f>AVERAGE(I3)</f>
        <v>#DIV/0!</v>
      </c>
      <c r="J9" s="253" t="e">
        <f>AVERAGE(#REF!)</f>
        <v>#REF!</v>
      </c>
      <c r="K9" s="33" t="e">
        <f>AVERAGE(#REF!)</f>
        <v>#REF!</v>
      </c>
      <c r="L9" s="446" t="e">
        <f>AVERAGE(#REF!)</f>
        <v>#REF!</v>
      </c>
    </row>
    <row r="10" spans="1:13" s="42" customFormat="1" ht="14.25" thickBot="1" x14ac:dyDescent="0.3">
      <c r="A10" s="25" t="s">
        <v>3</v>
      </c>
      <c r="B10" s="447">
        <v>44011</v>
      </c>
      <c r="C10" s="365"/>
      <c r="D10" s="366"/>
      <c r="E10" s="366"/>
      <c r="F10" s="14"/>
      <c r="G10" s="57"/>
      <c r="H10" s="372"/>
      <c r="I10" s="373"/>
      <c r="J10" s="130"/>
      <c r="K10" s="13"/>
      <c r="L10" s="50">
        <f t="shared" ref="L10:L16" si="2">SUM(C10:K10)</f>
        <v>0</v>
      </c>
    </row>
    <row r="11" spans="1:13" s="42" customFormat="1" ht="14.25" thickBot="1" x14ac:dyDescent="0.3">
      <c r="A11" s="25" t="s">
        <v>4</v>
      </c>
      <c r="B11" s="218">
        <v>44012</v>
      </c>
      <c r="C11" s="273"/>
      <c r="D11" s="228"/>
      <c r="E11" s="228"/>
      <c r="F11" s="195"/>
      <c r="G11" s="203"/>
      <c r="H11" s="320"/>
      <c r="I11" s="236"/>
      <c r="J11" s="131"/>
      <c r="K11" s="19"/>
      <c r="L11" s="50">
        <f t="shared" si="2"/>
        <v>0</v>
      </c>
    </row>
    <row r="12" spans="1:13" s="42" customFormat="1" ht="14.25" thickBot="1" x14ac:dyDescent="0.3">
      <c r="A12" s="25" t="s">
        <v>5</v>
      </c>
      <c r="B12" s="218">
        <v>44013</v>
      </c>
      <c r="C12" s="273"/>
      <c r="D12" s="405"/>
      <c r="E12" s="228"/>
      <c r="F12" s="195"/>
      <c r="G12" s="203"/>
      <c r="H12" s="320">
        <v>166</v>
      </c>
      <c r="I12" s="236">
        <v>165</v>
      </c>
      <c r="J12" s="131"/>
      <c r="K12" s="19"/>
      <c r="L12" s="50">
        <f t="shared" si="2"/>
        <v>331</v>
      </c>
    </row>
    <row r="13" spans="1:13" s="42" customFormat="1" ht="14.25" thickBot="1" x14ac:dyDescent="0.3">
      <c r="A13" s="25" t="s">
        <v>6</v>
      </c>
      <c r="B13" s="218">
        <v>44014</v>
      </c>
      <c r="C13" s="273"/>
      <c r="D13" s="228"/>
      <c r="E13" s="227"/>
      <c r="F13" s="20"/>
      <c r="G13" s="58"/>
      <c r="H13" s="320">
        <v>145</v>
      </c>
      <c r="I13" s="236">
        <v>146</v>
      </c>
      <c r="J13" s="131"/>
      <c r="K13" s="19"/>
      <c r="L13" s="50">
        <f t="shared" si="2"/>
        <v>291</v>
      </c>
      <c r="M13" s="140"/>
    </row>
    <row r="14" spans="1:13" s="42" customFormat="1" ht="14.25" thickBot="1" x14ac:dyDescent="0.3">
      <c r="A14" s="25" t="s">
        <v>0</v>
      </c>
      <c r="B14" s="218">
        <v>44015</v>
      </c>
      <c r="C14" s="273"/>
      <c r="D14" s="226"/>
      <c r="E14" s="227"/>
      <c r="F14" s="20"/>
      <c r="G14" s="58"/>
      <c r="H14" s="320"/>
      <c r="I14" s="236"/>
      <c r="J14" s="131"/>
      <c r="K14" s="19"/>
      <c r="L14" s="50">
        <f t="shared" si="2"/>
        <v>0</v>
      </c>
      <c r="M14" s="140"/>
    </row>
    <row r="15" spans="1:13" s="42" customFormat="1" ht="14.25" outlineLevel="1" thickBot="1" x14ac:dyDescent="0.3">
      <c r="A15" s="25" t="s">
        <v>1</v>
      </c>
      <c r="B15" s="218">
        <v>44016</v>
      </c>
      <c r="C15" s="273"/>
      <c r="D15" s="226"/>
      <c r="E15" s="227"/>
      <c r="F15" s="20"/>
      <c r="G15" s="58"/>
      <c r="H15" s="406"/>
      <c r="I15" s="403"/>
      <c r="J15" s="131"/>
      <c r="K15" s="19"/>
      <c r="L15" s="50">
        <f t="shared" si="2"/>
        <v>0</v>
      </c>
      <c r="M15" s="140"/>
    </row>
    <row r="16" spans="1:13" s="42" customFormat="1" ht="15" customHeight="1" outlineLevel="1" thickBot="1" x14ac:dyDescent="0.3">
      <c r="A16" s="25" t="s">
        <v>2</v>
      </c>
      <c r="B16" s="218">
        <v>44017</v>
      </c>
      <c r="C16" s="325"/>
      <c r="D16" s="326"/>
      <c r="E16" s="327"/>
      <c r="F16" s="53"/>
      <c r="G16" s="252"/>
      <c r="H16" s="407"/>
      <c r="I16" s="404"/>
      <c r="J16" s="149"/>
      <c r="K16" s="52"/>
      <c r="L16" s="50">
        <f t="shared" si="2"/>
        <v>0</v>
      </c>
      <c r="M16" s="140"/>
    </row>
    <row r="17" spans="1:12" s="43" customFormat="1" ht="15" customHeight="1" outlineLevel="1" thickBot="1" x14ac:dyDescent="0.3">
      <c r="A17" s="147" t="s">
        <v>20</v>
      </c>
      <c r="B17" s="646" t="s">
        <v>23</v>
      </c>
      <c r="C17" s="321">
        <f t="shared" ref="C17:L17" si="3">SUM(C10:C16)</f>
        <v>0</v>
      </c>
      <c r="D17" s="322">
        <f t="shared" si="3"/>
        <v>0</v>
      </c>
      <c r="E17" s="322">
        <f t="shared" si="3"/>
        <v>0</v>
      </c>
      <c r="F17" s="322">
        <f t="shared" si="3"/>
        <v>0</v>
      </c>
      <c r="G17" s="323">
        <f t="shared" si="3"/>
        <v>0</v>
      </c>
      <c r="H17" s="248">
        <f t="shared" si="3"/>
        <v>311</v>
      </c>
      <c r="I17" s="262">
        <f t="shared" si="3"/>
        <v>311</v>
      </c>
      <c r="J17" s="264">
        <f t="shared" si="3"/>
        <v>0</v>
      </c>
      <c r="K17" s="254">
        <f t="shared" si="3"/>
        <v>0</v>
      </c>
      <c r="L17" s="108">
        <f t="shared" si="3"/>
        <v>622</v>
      </c>
    </row>
    <row r="18" spans="1:12" s="43" customFormat="1" ht="15" customHeight="1" outlineLevel="1" thickBot="1" x14ac:dyDescent="0.3">
      <c r="A18" s="102" t="s">
        <v>22</v>
      </c>
      <c r="B18" s="647"/>
      <c r="C18" s="274" t="e">
        <f>AVERAGE(C10:C16)</f>
        <v>#DIV/0!</v>
      </c>
      <c r="D18" s="229" t="e">
        <f t="shared" ref="D18:K18" si="4">AVERAGE(D10:D16)</f>
        <v>#DIV/0!</v>
      </c>
      <c r="E18" s="229" t="e">
        <f t="shared" si="4"/>
        <v>#DIV/0!</v>
      </c>
      <c r="F18" s="229" t="e">
        <f t="shared" si="4"/>
        <v>#DIV/0!</v>
      </c>
      <c r="G18" s="313" t="e">
        <f t="shared" si="4"/>
        <v>#DIV/0!</v>
      </c>
      <c r="H18" s="232">
        <f t="shared" si="4"/>
        <v>155.5</v>
      </c>
      <c r="I18" s="233" t="e">
        <f>AVERAGE(I14:I16)</f>
        <v>#DIV/0!</v>
      </c>
      <c r="J18" s="258" t="e">
        <f t="shared" si="4"/>
        <v>#DIV/0!</v>
      </c>
      <c r="K18" s="241" t="e">
        <f t="shared" si="4"/>
        <v>#DIV/0!</v>
      </c>
      <c r="L18" s="104">
        <f>AVERAGE(L10:L16)</f>
        <v>88.857142857142861</v>
      </c>
    </row>
    <row r="19" spans="1:12" s="43" customFormat="1" ht="15" customHeight="1" thickBot="1" x14ac:dyDescent="0.3">
      <c r="A19" s="26" t="s">
        <v>19</v>
      </c>
      <c r="B19" s="647"/>
      <c r="C19" s="275">
        <f t="shared" ref="C19:L19" si="5">SUM(C10:C14)</f>
        <v>0</v>
      </c>
      <c r="D19" s="230">
        <f t="shared" si="5"/>
        <v>0</v>
      </c>
      <c r="E19" s="230">
        <f t="shared" si="5"/>
        <v>0</v>
      </c>
      <c r="F19" s="230">
        <f t="shared" si="5"/>
        <v>0</v>
      </c>
      <c r="G19" s="314">
        <f t="shared" si="5"/>
        <v>0</v>
      </c>
      <c r="H19" s="234">
        <f t="shared" si="5"/>
        <v>311</v>
      </c>
      <c r="I19" s="235">
        <f t="shared" si="5"/>
        <v>311</v>
      </c>
      <c r="J19" s="259">
        <f t="shared" si="5"/>
        <v>0</v>
      </c>
      <c r="K19" s="242">
        <f t="shared" si="5"/>
        <v>0</v>
      </c>
      <c r="L19" s="28">
        <f t="shared" si="5"/>
        <v>622</v>
      </c>
    </row>
    <row r="20" spans="1:12" s="43" customFormat="1" ht="15" customHeight="1" thickBot="1" x14ac:dyDescent="0.3">
      <c r="A20" s="26" t="s">
        <v>21</v>
      </c>
      <c r="B20" s="647"/>
      <c r="C20" s="330" t="e">
        <f>AVERAGE(C10:C14)</f>
        <v>#DIV/0!</v>
      </c>
      <c r="D20" s="331" t="e">
        <f t="shared" ref="D20:K20" si="6">AVERAGE(D10:D14)</f>
        <v>#DIV/0!</v>
      </c>
      <c r="E20" s="331" t="e">
        <f t="shared" si="6"/>
        <v>#DIV/0!</v>
      </c>
      <c r="F20" s="331" t="e">
        <f t="shared" si="6"/>
        <v>#DIV/0!</v>
      </c>
      <c r="G20" s="332" t="e">
        <f t="shared" si="6"/>
        <v>#DIV/0!</v>
      </c>
      <c r="H20" s="333">
        <f t="shared" si="6"/>
        <v>155.5</v>
      </c>
      <c r="I20" s="334" t="e">
        <f>AVERAGE(I14)</f>
        <v>#DIV/0!</v>
      </c>
      <c r="J20" s="335" t="e">
        <f t="shared" si="6"/>
        <v>#DIV/0!</v>
      </c>
      <c r="K20" s="336" t="e">
        <f t="shared" si="6"/>
        <v>#DIV/0!</v>
      </c>
      <c r="L20" s="33">
        <f>AVERAGE(L10:L14)</f>
        <v>124.4</v>
      </c>
    </row>
    <row r="21" spans="1:12" s="43" customFormat="1" ht="15" customHeight="1" thickBot="1" x14ac:dyDescent="0.3">
      <c r="A21" s="25" t="s">
        <v>3</v>
      </c>
      <c r="B21" s="219">
        <f>B16+1</f>
        <v>44018</v>
      </c>
      <c r="C21" s="324"/>
      <c r="D21" s="231"/>
      <c r="E21" s="231"/>
      <c r="F21" s="337"/>
      <c r="G21" s="338"/>
      <c r="H21" s="318">
        <v>146</v>
      </c>
      <c r="I21" s="319">
        <v>134</v>
      </c>
      <c r="J21" s="339"/>
      <c r="K21" s="340"/>
      <c r="L21" s="16">
        <f t="shared" ref="L21:L27" si="7">SUM(C21:K21)</f>
        <v>280</v>
      </c>
    </row>
    <row r="22" spans="1:12" s="43" customFormat="1" ht="15" customHeight="1" thickBot="1" x14ac:dyDescent="0.3">
      <c r="A22" s="25" t="s">
        <v>4</v>
      </c>
      <c r="B22" s="220">
        <f t="shared" ref="B22:B27" si="8">B21+1</f>
        <v>44019</v>
      </c>
      <c r="C22" s="273"/>
      <c r="D22" s="228"/>
      <c r="E22" s="228"/>
      <c r="F22" s="172"/>
      <c r="G22" s="174"/>
      <c r="H22" s="320">
        <v>158</v>
      </c>
      <c r="I22" s="236">
        <v>163</v>
      </c>
      <c r="J22" s="260"/>
      <c r="K22" s="270"/>
      <c r="L22" s="17">
        <f t="shared" si="7"/>
        <v>321</v>
      </c>
    </row>
    <row r="23" spans="1:12" s="43" customFormat="1" ht="15" customHeight="1" thickBot="1" x14ac:dyDescent="0.3">
      <c r="A23" s="25" t="s">
        <v>5</v>
      </c>
      <c r="B23" s="220">
        <f t="shared" si="8"/>
        <v>44020</v>
      </c>
      <c r="C23" s="273"/>
      <c r="D23" s="228"/>
      <c r="E23" s="228"/>
      <c r="F23" s="172"/>
      <c r="G23" s="174"/>
      <c r="H23" s="320">
        <v>164</v>
      </c>
      <c r="I23" s="236">
        <v>148</v>
      </c>
      <c r="J23" s="260"/>
      <c r="K23" s="270"/>
      <c r="L23" s="17">
        <f t="shared" si="7"/>
        <v>312</v>
      </c>
    </row>
    <row r="24" spans="1:12" s="43" customFormat="1" ht="15" customHeight="1" thickBot="1" x14ac:dyDescent="0.3">
      <c r="A24" s="25" t="s">
        <v>6</v>
      </c>
      <c r="B24" s="221">
        <f t="shared" si="8"/>
        <v>44021</v>
      </c>
      <c r="C24" s="273"/>
      <c r="D24" s="226"/>
      <c r="E24" s="226"/>
      <c r="F24" s="217"/>
      <c r="G24" s="58"/>
      <c r="H24" s="369">
        <v>171</v>
      </c>
      <c r="I24" s="270">
        <v>167</v>
      </c>
      <c r="J24" s="126"/>
      <c r="K24" s="19"/>
      <c r="L24" s="17">
        <f t="shared" si="7"/>
        <v>338</v>
      </c>
    </row>
    <row r="25" spans="1:12" s="43" customFormat="1" ht="15" customHeight="1" thickBot="1" x14ac:dyDescent="0.3">
      <c r="A25" s="25" t="s">
        <v>0</v>
      </c>
      <c r="B25" s="221">
        <f t="shared" si="8"/>
        <v>44022</v>
      </c>
      <c r="C25" s="273"/>
      <c r="D25" s="226"/>
      <c r="E25" s="226"/>
      <c r="F25" s="217"/>
      <c r="G25" s="58"/>
      <c r="H25" s="369">
        <v>110</v>
      </c>
      <c r="I25" s="270">
        <v>110</v>
      </c>
      <c r="J25" s="126"/>
      <c r="K25" s="19"/>
      <c r="L25" s="17">
        <f t="shared" si="7"/>
        <v>220</v>
      </c>
    </row>
    <row r="26" spans="1:12" s="43" customFormat="1" ht="15" customHeight="1" outlineLevel="1" thickBot="1" x14ac:dyDescent="0.3">
      <c r="A26" s="25" t="s">
        <v>1</v>
      </c>
      <c r="B26" s="218">
        <f t="shared" si="8"/>
        <v>44023</v>
      </c>
      <c r="C26" s="273"/>
      <c r="D26" s="228"/>
      <c r="E26" s="226"/>
      <c r="F26" s="217"/>
      <c r="G26" s="58"/>
      <c r="H26" s="210"/>
      <c r="I26" s="206"/>
      <c r="J26" s="126"/>
      <c r="K26" s="19"/>
      <c r="L26" s="17">
        <f t="shared" si="7"/>
        <v>0</v>
      </c>
    </row>
    <row r="27" spans="1:12" s="43" customFormat="1" ht="15" customHeight="1" outlineLevel="1" thickBot="1" x14ac:dyDescent="0.3">
      <c r="A27" s="25" t="s">
        <v>2</v>
      </c>
      <c r="B27" s="220">
        <f t="shared" si="8"/>
        <v>44024</v>
      </c>
      <c r="C27" s="325"/>
      <c r="D27" s="326"/>
      <c r="E27" s="326"/>
      <c r="F27" s="341"/>
      <c r="G27" s="252"/>
      <c r="H27" s="407"/>
      <c r="I27" s="404"/>
      <c r="J27" s="216"/>
      <c r="K27" s="52"/>
      <c r="L27" s="17">
        <f t="shared" si="7"/>
        <v>0</v>
      </c>
    </row>
    <row r="28" spans="1:12" s="43" customFormat="1" ht="15" customHeight="1" outlineLevel="1" thickBot="1" x14ac:dyDescent="0.3">
      <c r="A28" s="147" t="s">
        <v>20</v>
      </c>
      <c r="B28" s="646" t="s">
        <v>24</v>
      </c>
      <c r="C28" s="321">
        <f t="shared" ref="C28:L28" si="9">SUM(C21:C27)</f>
        <v>0</v>
      </c>
      <c r="D28" s="322">
        <f t="shared" si="9"/>
        <v>0</v>
      </c>
      <c r="E28" s="322">
        <f t="shared" si="9"/>
        <v>0</v>
      </c>
      <c r="F28" s="322">
        <f t="shared" si="9"/>
        <v>0</v>
      </c>
      <c r="G28" s="323">
        <f t="shared" si="9"/>
        <v>0</v>
      </c>
      <c r="H28" s="248">
        <f t="shared" si="9"/>
        <v>749</v>
      </c>
      <c r="I28" s="262">
        <f t="shared" si="9"/>
        <v>722</v>
      </c>
      <c r="J28" s="264">
        <f t="shared" si="9"/>
        <v>0</v>
      </c>
      <c r="K28" s="254">
        <f t="shared" si="9"/>
        <v>0</v>
      </c>
      <c r="L28" s="108">
        <f t="shared" si="9"/>
        <v>1471</v>
      </c>
    </row>
    <row r="29" spans="1:12" s="43" customFormat="1" ht="15" customHeight="1" outlineLevel="1" thickBot="1" x14ac:dyDescent="0.3">
      <c r="A29" s="102" t="s">
        <v>22</v>
      </c>
      <c r="B29" s="647"/>
      <c r="C29" s="274" t="e">
        <f>AVERAGE(C21:C27)</f>
        <v>#DIV/0!</v>
      </c>
      <c r="D29" s="229" t="e">
        <f>AVERAGE(D21:D27)</f>
        <v>#DIV/0!</v>
      </c>
      <c r="E29" s="229" t="e">
        <f t="shared" ref="E29:J29" si="10">AVERAGE(E21:E27)</f>
        <v>#DIV/0!</v>
      </c>
      <c r="F29" s="229" t="e">
        <f>AVERAGE(F21:F27)</f>
        <v>#DIV/0!</v>
      </c>
      <c r="G29" s="313" t="e">
        <f>AVERAGE(G21:G27)</f>
        <v>#DIV/0!</v>
      </c>
      <c r="H29" s="232">
        <f t="shared" si="10"/>
        <v>149.80000000000001</v>
      </c>
      <c r="I29" s="233">
        <f>AVERAGE(I21:I27)</f>
        <v>144.4</v>
      </c>
      <c r="J29" s="258" t="e">
        <f t="shared" si="10"/>
        <v>#DIV/0!</v>
      </c>
      <c r="K29" s="241" t="e">
        <f>AVERAGE(K21:K27)</f>
        <v>#DIV/0!</v>
      </c>
      <c r="L29" s="104">
        <f>AVERAGE(L21:L27)</f>
        <v>210.14285714285714</v>
      </c>
    </row>
    <row r="30" spans="1:12" s="43" customFormat="1" ht="15" customHeight="1" thickBot="1" x14ac:dyDescent="0.3">
      <c r="A30" s="26" t="s">
        <v>19</v>
      </c>
      <c r="B30" s="647"/>
      <c r="C30" s="275">
        <f>SUM(C21:C25)</f>
        <v>0</v>
      </c>
      <c r="D30" s="230">
        <f t="shared" ref="D30:J30" si="11">SUM(D21:D25)</f>
        <v>0</v>
      </c>
      <c r="E30" s="230">
        <f t="shared" si="11"/>
        <v>0</v>
      </c>
      <c r="F30" s="230">
        <f t="shared" si="11"/>
        <v>0</v>
      </c>
      <c r="G30" s="314">
        <f t="shared" si="11"/>
        <v>0</v>
      </c>
      <c r="H30" s="234">
        <f t="shared" si="11"/>
        <v>749</v>
      </c>
      <c r="I30" s="235">
        <f>SUM(I21:I25)</f>
        <v>722</v>
      </c>
      <c r="J30" s="259">
        <f t="shared" si="11"/>
        <v>0</v>
      </c>
      <c r="K30" s="242">
        <f>SUM(K21:K25)</f>
        <v>0</v>
      </c>
      <c r="L30" s="28">
        <f>SUM(L21:L25)</f>
        <v>1471</v>
      </c>
    </row>
    <row r="31" spans="1:12" s="43" customFormat="1" ht="15" customHeight="1" thickBot="1" x14ac:dyDescent="0.3">
      <c r="A31" s="26" t="s">
        <v>21</v>
      </c>
      <c r="B31" s="648"/>
      <c r="C31" s="330" t="e">
        <f>AVERAGE(C21:C25)</f>
        <v>#DIV/0!</v>
      </c>
      <c r="D31" s="331" t="e">
        <f t="shared" ref="D31:J31" si="12">AVERAGE(D21:D25)</f>
        <v>#DIV/0!</v>
      </c>
      <c r="E31" s="331" t="e">
        <f t="shared" si="12"/>
        <v>#DIV/0!</v>
      </c>
      <c r="F31" s="331" t="e">
        <f t="shared" si="12"/>
        <v>#DIV/0!</v>
      </c>
      <c r="G31" s="332" t="e">
        <f t="shared" si="12"/>
        <v>#DIV/0!</v>
      </c>
      <c r="H31" s="333">
        <f t="shared" si="12"/>
        <v>149.80000000000001</v>
      </c>
      <c r="I31" s="334">
        <f>AVERAGE(I21:I25)</f>
        <v>144.4</v>
      </c>
      <c r="J31" s="335" t="e">
        <f t="shared" si="12"/>
        <v>#DIV/0!</v>
      </c>
      <c r="K31" s="336" t="e">
        <f>AVERAGE(K21:K25)</f>
        <v>#DIV/0!</v>
      </c>
      <c r="L31" s="257">
        <f>AVERAGE(L21:L25)</f>
        <v>294.2</v>
      </c>
    </row>
    <row r="32" spans="1:12" s="43" customFormat="1" ht="15" customHeight="1" thickBot="1" x14ac:dyDescent="0.3">
      <c r="A32" s="25" t="s">
        <v>3</v>
      </c>
      <c r="B32" s="222">
        <f>B27+1</f>
        <v>44025</v>
      </c>
      <c r="C32" s="342"/>
      <c r="D32" s="231"/>
      <c r="E32" s="231"/>
      <c r="F32" s="337"/>
      <c r="G32" s="340"/>
      <c r="H32" s="318">
        <v>156</v>
      </c>
      <c r="I32" s="319">
        <v>151</v>
      </c>
      <c r="J32" s="339"/>
      <c r="K32" s="340"/>
      <c r="L32" s="16">
        <f t="shared" ref="L32:L36" si="13">SUM(C32:K32)</f>
        <v>307</v>
      </c>
    </row>
    <row r="33" spans="1:13" s="43" customFormat="1" ht="15" customHeight="1" thickBot="1" x14ac:dyDescent="0.3">
      <c r="A33" s="25" t="s">
        <v>4</v>
      </c>
      <c r="B33" s="214">
        <f t="shared" ref="B33:B38" si="14">B32+1</f>
        <v>44026</v>
      </c>
      <c r="C33" s="276"/>
      <c r="D33" s="228"/>
      <c r="E33" s="228"/>
      <c r="F33" s="228"/>
      <c r="G33" s="403"/>
      <c r="H33" s="320">
        <v>183</v>
      </c>
      <c r="I33" s="236">
        <v>167</v>
      </c>
      <c r="J33" s="398"/>
      <c r="K33" s="206"/>
      <c r="L33" s="17">
        <f t="shared" si="13"/>
        <v>350</v>
      </c>
    </row>
    <row r="34" spans="1:13" s="43" customFormat="1" ht="15" customHeight="1" thickBot="1" x14ac:dyDescent="0.3">
      <c r="A34" s="25" t="s">
        <v>5</v>
      </c>
      <c r="B34" s="214">
        <f t="shared" si="14"/>
        <v>44027</v>
      </c>
      <c r="C34" s="276"/>
      <c r="D34" s="228"/>
      <c r="E34" s="228"/>
      <c r="F34" s="228"/>
      <c r="G34" s="403"/>
      <c r="H34" s="320">
        <v>171</v>
      </c>
      <c r="I34" s="236">
        <v>159</v>
      </c>
      <c r="J34" s="398"/>
      <c r="K34" s="206"/>
      <c r="L34" s="17">
        <f t="shared" si="13"/>
        <v>330</v>
      </c>
    </row>
    <row r="35" spans="1:13" s="43" customFormat="1" ht="15" customHeight="1" thickBot="1" x14ac:dyDescent="0.3">
      <c r="A35" s="25" t="s">
        <v>6</v>
      </c>
      <c r="B35" s="214">
        <f t="shared" si="14"/>
        <v>44028</v>
      </c>
      <c r="C35" s="276"/>
      <c r="D35" s="228"/>
      <c r="E35" s="228"/>
      <c r="F35" s="228"/>
      <c r="G35" s="403"/>
      <c r="H35" s="320">
        <v>179</v>
      </c>
      <c r="I35" s="236">
        <v>161</v>
      </c>
      <c r="J35" s="194"/>
      <c r="K35" s="204"/>
      <c r="L35" s="17">
        <f t="shared" si="13"/>
        <v>340</v>
      </c>
    </row>
    <row r="36" spans="1:13" s="43" customFormat="1" ht="15" customHeight="1" thickBot="1" x14ac:dyDescent="0.3">
      <c r="A36" s="25" t="s">
        <v>0</v>
      </c>
      <c r="B36" s="214">
        <f t="shared" si="14"/>
        <v>44029</v>
      </c>
      <c r="C36" s="276"/>
      <c r="D36" s="228"/>
      <c r="E36" s="228"/>
      <c r="F36" s="228"/>
      <c r="G36" s="403"/>
      <c r="H36" s="369">
        <v>132</v>
      </c>
      <c r="I36" s="270">
        <v>127</v>
      </c>
      <c r="J36" s="194"/>
      <c r="K36" s="204"/>
      <c r="L36" s="17">
        <f t="shared" si="13"/>
        <v>259</v>
      </c>
    </row>
    <row r="37" spans="1:13" s="43" customFormat="1" ht="15" customHeight="1" outlineLevel="1" thickBot="1" x14ac:dyDescent="0.3">
      <c r="A37" s="25" t="s">
        <v>1</v>
      </c>
      <c r="B37" s="214">
        <f t="shared" si="14"/>
        <v>44030</v>
      </c>
      <c r="C37" s="276"/>
      <c r="D37" s="228"/>
      <c r="E37" s="228"/>
      <c r="F37" s="228"/>
      <c r="G37" s="403"/>
      <c r="H37" s="320"/>
      <c r="I37" s="236"/>
      <c r="J37" s="194"/>
      <c r="K37" s="204"/>
      <c r="L37" s="17">
        <f>SUM(C37:K37)</f>
        <v>0</v>
      </c>
    </row>
    <row r="38" spans="1:13" s="43" customFormat="1" ht="15" customHeight="1" outlineLevel="1" thickBot="1" x14ac:dyDescent="0.3">
      <c r="A38" s="25" t="s">
        <v>2</v>
      </c>
      <c r="B38" s="214">
        <f t="shared" si="14"/>
        <v>44031</v>
      </c>
      <c r="C38" s="343"/>
      <c r="D38" s="487"/>
      <c r="E38" s="487"/>
      <c r="F38" s="487"/>
      <c r="G38" s="404"/>
      <c r="H38" s="328"/>
      <c r="I38" s="329"/>
      <c r="J38" s="356"/>
      <c r="K38" s="205"/>
      <c r="L38" s="59">
        <f>SUM(C38:K38)</f>
        <v>0</v>
      </c>
    </row>
    <row r="39" spans="1:13" s="43" customFormat="1" ht="15" customHeight="1" outlineLevel="1" thickBot="1" x14ac:dyDescent="0.3">
      <c r="A39" s="147" t="s">
        <v>20</v>
      </c>
      <c r="B39" s="646" t="s">
        <v>25</v>
      </c>
      <c r="C39" s="321">
        <f t="shared" ref="C39:L39" si="15">SUM(C32:C38)</f>
        <v>0</v>
      </c>
      <c r="D39" s="322">
        <f>SUM(D32:D38)</f>
        <v>0</v>
      </c>
      <c r="E39" s="322">
        <f>SUM(E32:E38)</f>
        <v>0</v>
      </c>
      <c r="F39" s="322">
        <f>SUM(F32:F38)</f>
        <v>0</v>
      </c>
      <c r="G39" s="323">
        <f>SUM(G32:G38)</f>
        <v>0</v>
      </c>
      <c r="H39" s="248">
        <f t="shared" si="15"/>
        <v>821</v>
      </c>
      <c r="I39" s="262">
        <f t="shared" si="15"/>
        <v>765</v>
      </c>
      <c r="J39" s="264">
        <f t="shared" si="15"/>
        <v>0</v>
      </c>
      <c r="K39" s="254">
        <f t="shared" si="15"/>
        <v>0</v>
      </c>
      <c r="L39" s="108">
        <f t="shared" si="15"/>
        <v>1586</v>
      </c>
    </row>
    <row r="40" spans="1:13" s="43" customFormat="1" ht="15" customHeight="1" outlineLevel="1" thickBot="1" x14ac:dyDescent="0.3">
      <c r="A40" s="102" t="s">
        <v>22</v>
      </c>
      <c r="B40" s="647"/>
      <c r="C40" s="274" t="e">
        <f t="shared" ref="C40:L40" si="16">AVERAGE(C32:C38)</f>
        <v>#DIV/0!</v>
      </c>
      <c r="D40" s="229" t="e">
        <f t="shared" si="16"/>
        <v>#DIV/0!</v>
      </c>
      <c r="E40" s="229" t="e">
        <f t="shared" si="16"/>
        <v>#DIV/0!</v>
      </c>
      <c r="F40" s="229" t="e">
        <f>AVERAGE(F32:F38)</f>
        <v>#DIV/0!</v>
      </c>
      <c r="G40" s="313" t="e">
        <f t="shared" si="16"/>
        <v>#DIV/0!</v>
      </c>
      <c r="H40" s="232">
        <f t="shared" si="16"/>
        <v>164.2</v>
      </c>
      <c r="I40" s="233">
        <f t="shared" si="16"/>
        <v>153</v>
      </c>
      <c r="J40" s="258" t="e">
        <f t="shared" si="16"/>
        <v>#DIV/0!</v>
      </c>
      <c r="K40" s="241" t="e">
        <f t="shared" si="16"/>
        <v>#DIV/0!</v>
      </c>
      <c r="L40" s="104">
        <f t="shared" si="16"/>
        <v>226.57142857142858</v>
      </c>
    </row>
    <row r="41" spans="1:13" s="43" customFormat="1" ht="15" customHeight="1" thickBot="1" x14ac:dyDescent="0.3">
      <c r="A41" s="26" t="s">
        <v>19</v>
      </c>
      <c r="B41" s="647"/>
      <c r="C41" s="275">
        <f t="shared" ref="C41:L41" si="17">SUM(C32:C36)</f>
        <v>0</v>
      </c>
      <c r="D41" s="230">
        <f t="shared" si="17"/>
        <v>0</v>
      </c>
      <c r="E41" s="230">
        <f>SUM(E32:E36)</f>
        <v>0</v>
      </c>
      <c r="F41" s="230">
        <f>SUM(F32:F36)</f>
        <v>0</v>
      </c>
      <c r="G41" s="314">
        <f>SUM(G32:G36)</f>
        <v>0</v>
      </c>
      <c r="H41" s="234">
        <f t="shared" si="17"/>
        <v>821</v>
      </c>
      <c r="I41" s="235">
        <f t="shared" si="17"/>
        <v>765</v>
      </c>
      <c r="J41" s="259">
        <f t="shared" si="17"/>
        <v>0</v>
      </c>
      <c r="K41" s="242">
        <f t="shared" si="17"/>
        <v>0</v>
      </c>
      <c r="L41" s="28">
        <f t="shared" si="17"/>
        <v>1586</v>
      </c>
    </row>
    <row r="42" spans="1:13" s="43" customFormat="1" ht="15" customHeight="1" thickBot="1" x14ac:dyDescent="0.3">
      <c r="A42" s="26" t="s">
        <v>21</v>
      </c>
      <c r="B42" s="648"/>
      <c r="C42" s="330" t="e">
        <f t="shared" ref="C42:L42" si="18">AVERAGE(C32:C36)</f>
        <v>#DIV/0!</v>
      </c>
      <c r="D42" s="331" t="e">
        <f t="shared" si="18"/>
        <v>#DIV/0!</v>
      </c>
      <c r="E42" s="331" t="e">
        <f t="shared" si="18"/>
        <v>#DIV/0!</v>
      </c>
      <c r="F42" s="331" t="e">
        <f t="shared" si="18"/>
        <v>#DIV/0!</v>
      </c>
      <c r="G42" s="332" t="e">
        <f t="shared" si="18"/>
        <v>#DIV/0!</v>
      </c>
      <c r="H42" s="333">
        <f t="shared" si="18"/>
        <v>164.2</v>
      </c>
      <c r="I42" s="334">
        <f t="shared" si="18"/>
        <v>153</v>
      </c>
      <c r="J42" s="335" t="e">
        <f t="shared" si="18"/>
        <v>#DIV/0!</v>
      </c>
      <c r="K42" s="336" t="e">
        <f t="shared" si="18"/>
        <v>#DIV/0!</v>
      </c>
      <c r="L42" s="33">
        <f t="shared" si="18"/>
        <v>317.2</v>
      </c>
    </row>
    <row r="43" spans="1:13" s="43" customFormat="1" ht="15" customHeight="1" thickBot="1" x14ac:dyDescent="0.3">
      <c r="A43" s="25" t="s">
        <v>3</v>
      </c>
      <c r="B43" s="161">
        <f>B38+1</f>
        <v>44032</v>
      </c>
      <c r="C43" s="344"/>
      <c r="D43" s="231"/>
      <c r="E43" s="231"/>
      <c r="F43" s="231"/>
      <c r="G43" s="413"/>
      <c r="H43" s="318">
        <v>158</v>
      </c>
      <c r="I43" s="319">
        <v>150</v>
      </c>
      <c r="J43" s="399"/>
      <c r="K43" s="402"/>
      <c r="L43" s="16">
        <f>SUM(C43:K43)</f>
        <v>308</v>
      </c>
    </row>
    <row r="44" spans="1:13" s="43" customFormat="1" ht="15" customHeight="1" thickBot="1" x14ac:dyDescent="0.3">
      <c r="A44" s="25" t="s">
        <v>4</v>
      </c>
      <c r="B44" s="162">
        <f t="shared" ref="B44:B49" si="19">B43+1</f>
        <v>44033</v>
      </c>
      <c r="C44" s="277"/>
      <c r="D44" s="226"/>
      <c r="E44" s="226"/>
      <c r="F44" s="226"/>
      <c r="G44" s="251"/>
      <c r="H44" s="320">
        <v>173</v>
      </c>
      <c r="I44" s="236">
        <v>168</v>
      </c>
      <c r="J44" s="400"/>
      <c r="K44" s="403"/>
      <c r="L44" s="17">
        <f t="shared" ref="L44:L48" si="20">SUM(C44:K44)</f>
        <v>341</v>
      </c>
    </row>
    <row r="45" spans="1:13" s="43" customFormat="1" ht="15" customHeight="1" thickBot="1" x14ac:dyDescent="0.3">
      <c r="A45" s="25" t="s">
        <v>5</v>
      </c>
      <c r="B45" s="162">
        <f t="shared" si="19"/>
        <v>44034</v>
      </c>
      <c r="C45" s="277"/>
      <c r="D45" s="226"/>
      <c r="E45" s="226"/>
      <c r="F45" s="226"/>
      <c r="G45" s="251"/>
      <c r="H45" s="320">
        <v>166</v>
      </c>
      <c r="I45" s="236">
        <v>153</v>
      </c>
      <c r="J45" s="400"/>
      <c r="K45" s="403"/>
      <c r="L45" s="17">
        <f t="shared" si="20"/>
        <v>319</v>
      </c>
    </row>
    <row r="46" spans="1:13" s="43" customFormat="1" ht="15" customHeight="1" thickBot="1" x14ac:dyDescent="0.3">
      <c r="A46" s="25" t="s">
        <v>6</v>
      </c>
      <c r="B46" s="162">
        <f t="shared" si="19"/>
        <v>44035</v>
      </c>
      <c r="C46" s="277"/>
      <c r="D46" s="226"/>
      <c r="E46" s="226"/>
      <c r="F46" s="228"/>
      <c r="G46" s="251"/>
      <c r="H46" s="369">
        <v>186</v>
      </c>
      <c r="I46" s="270">
        <v>166</v>
      </c>
      <c r="J46" s="398"/>
      <c r="K46" s="403"/>
      <c r="L46" s="17">
        <f t="shared" si="20"/>
        <v>352</v>
      </c>
    </row>
    <row r="47" spans="1:13" s="43" customFormat="1" ht="15" customHeight="1" thickBot="1" x14ac:dyDescent="0.3">
      <c r="A47" s="25" t="s">
        <v>0</v>
      </c>
      <c r="B47" s="162">
        <f t="shared" si="19"/>
        <v>44036</v>
      </c>
      <c r="C47" s="277"/>
      <c r="D47" s="226"/>
      <c r="E47" s="226"/>
      <c r="F47" s="226"/>
      <c r="G47" s="251"/>
      <c r="H47" s="369">
        <v>116</v>
      </c>
      <c r="I47" s="270">
        <v>124</v>
      </c>
      <c r="J47" s="398"/>
      <c r="K47" s="403"/>
      <c r="L47" s="17">
        <f t="shared" si="20"/>
        <v>240</v>
      </c>
    </row>
    <row r="48" spans="1:13" s="43" customFormat="1" ht="15" customHeight="1" outlineLevel="1" thickBot="1" x14ac:dyDescent="0.3">
      <c r="A48" s="25" t="s">
        <v>1</v>
      </c>
      <c r="B48" s="162">
        <f t="shared" si="19"/>
        <v>44037</v>
      </c>
      <c r="C48" s="277"/>
      <c r="D48" s="228"/>
      <c r="E48" s="226"/>
      <c r="F48" s="226"/>
      <c r="G48" s="251"/>
      <c r="H48" s="320"/>
      <c r="I48" s="236"/>
      <c r="J48" s="400"/>
      <c r="K48" s="403"/>
      <c r="L48" s="17">
        <f t="shared" si="20"/>
        <v>0</v>
      </c>
      <c r="M48" s="113"/>
    </row>
    <row r="49" spans="1:13" s="43" customFormat="1" ht="15" customHeight="1" outlineLevel="1" thickBot="1" x14ac:dyDescent="0.3">
      <c r="A49" s="25" t="s">
        <v>2</v>
      </c>
      <c r="B49" s="408">
        <f t="shared" si="19"/>
        <v>44038</v>
      </c>
      <c r="C49" s="346"/>
      <c r="D49" s="326"/>
      <c r="E49" s="326"/>
      <c r="F49" s="326"/>
      <c r="G49" s="263"/>
      <c r="H49" s="328"/>
      <c r="I49" s="329"/>
      <c r="J49" s="401"/>
      <c r="K49" s="404"/>
      <c r="L49" s="59">
        <f>SUM(C49:K49)</f>
        <v>0</v>
      </c>
      <c r="M49" s="113"/>
    </row>
    <row r="50" spans="1:13" s="43" customFormat="1" ht="15" customHeight="1" outlineLevel="1" thickBot="1" x14ac:dyDescent="0.3">
      <c r="A50" s="147" t="s">
        <v>20</v>
      </c>
      <c r="B50" s="646" t="s">
        <v>26</v>
      </c>
      <c r="C50" s="321">
        <f>SUM(C43:C49)</f>
        <v>0</v>
      </c>
      <c r="D50" s="322">
        <f t="shared" ref="D50:L50" si="21">SUM(D43:D49)</f>
        <v>0</v>
      </c>
      <c r="E50" s="322">
        <f t="shared" ref="E50:K50" si="22">SUM(E43:E49)</f>
        <v>0</v>
      </c>
      <c r="F50" s="322">
        <f t="shared" si="22"/>
        <v>0</v>
      </c>
      <c r="G50" s="323">
        <f t="shared" si="22"/>
        <v>0</v>
      </c>
      <c r="H50" s="248">
        <f>SUM(H43:H49)</f>
        <v>799</v>
      </c>
      <c r="I50" s="262">
        <f>SUM(I43:I49)</f>
        <v>761</v>
      </c>
      <c r="J50" s="264">
        <f t="shared" si="22"/>
        <v>0</v>
      </c>
      <c r="K50" s="254">
        <f t="shared" si="22"/>
        <v>0</v>
      </c>
      <c r="L50" s="108">
        <f t="shared" si="21"/>
        <v>1560</v>
      </c>
    </row>
    <row r="51" spans="1:13" s="43" customFormat="1" ht="15" customHeight="1" outlineLevel="1" thickBot="1" x14ac:dyDescent="0.3">
      <c r="A51" s="102" t="s">
        <v>22</v>
      </c>
      <c r="B51" s="647"/>
      <c r="C51" s="274" t="e">
        <f>AVERAGE(C43:C49)</f>
        <v>#DIV/0!</v>
      </c>
      <c r="D51" s="229" t="e">
        <f t="shared" ref="D51:L51" si="23">AVERAGE(D43:D49)</f>
        <v>#DIV/0!</v>
      </c>
      <c r="E51" s="229" t="e">
        <f t="shared" si="23"/>
        <v>#DIV/0!</v>
      </c>
      <c r="F51" s="229" t="e">
        <f t="shared" si="23"/>
        <v>#DIV/0!</v>
      </c>
      <c r="G51" s="313" t="e">
        <f t="shared" si="23"/>
        <v>#DIV/0!</v>
      </c>
      <c r="H51" s="232">
        <f>AVERAGE(H43:H49)</f>
        <v>159.80000000000001</v>
      </c>
      <c r="I51" s="233">
        <f>AVERAGE(I43:I49)</f>
        <v>152.19999999999999</v>
      </c>
      <c r="J51" s="258" t="e">
        <f t="shared" si="23"/>
        <v>#DIV/0!</v>
      </c>
      <c r="K51" s="241" t="e">
        <f t="shared" si="23"/>
        <v>#DIV/0!</v>
      </c>
      <c r="L51" s="104">
        <f t="shared" si="23"/>
        <v>222.85714285714286</v>
      </c>
    </row>
    <row r="52" spans="1:13" s="43" customFormat="1" ht="15" customHeight="1" thickBot="1" x14ac:dyDescent="0.3">
      <c r="A52" s="26" t="s">
        <v>19</v>
      </c>
      <c r="B52" s="647"/>
      <c r="C52" s="275">
        <f t="shared" ref="C52:L52" si="24">SUM(C43:C47)</f>
        <v>0</v>
      </c>
      <c r="D52" s="230">
        <f t="shared" si="24"/>
        <v>0</v>
      </c>
      <c r="E52" s="230">
        <f t="shared" si="24"/>
        <v>0</v>
      </c>
      <c r="F52" s="230">
        <f t="shared" si="24"/>
        <v>0</v>
      </c>
      <c r="G52" s="314">
        <f t="shared" si="24"/>
        <v>0</v>
      </c>
      <c r="H52" s="234">
        <f>SUM(H43:H47)</f>
        <v>799</v>
      </c>
      <c r="I52" s="235">
        <f>SUM(I43:I47)</f>
        <v>761</v>
      </c>
      <c r="J52" s="259">
        <f t="shared" si="24"/>
        <v>0</v>
      </c>
      <c r="K52" s="242">
        <f t="shared" si="24"/>
        <v>0</v>
      </c>
      <c r="L52" s="28">
        <f t="shared" si="24"/>
        <v>1560</v>
      </c>
    </row>
    <row r="53" spans="1:13" s="43" customFormat="1" ht="15" customHeight="1" thickBot="1" x14ac:dyDescent="0.3">
      <c r="A53" s="26" t="s">
        <v>21</v>
      </c>
      <c r="B53" s="648"/>
      <c r="C53" s="330" t="e">
        <f t="shared" ref="C53:L53" si="25">AVERAGE(C43:C47)</f>
        <v>#DIV/0!</v>
      </c>
      <c r="D53" s="331" t="e">
        <f t="shared" si="25"/>
        <v>#DIV/0!</v>
      </c>
      <c r="E53" s="331" t="e">
        <f t="shared" si="25"/>
        <v>#DIV/0!</v>
      </c>
      <c r="F53" s="331" t="e">
        <f t="shared" si="25"/>
        <v>#DIV/0!</v>
      </c>
      <c r="G53" s="332" t="e">
        <f t="shared" si="25"/>
        <v>#DIV/0!</v>
      </c>
      <c r="H53" s="333">
        <f>AVERAGE(H43:H47)</f>
        <v>159.80000000000001</v>
      </c>
      <c r="I53" s="334">
        <f>AVERAGE(I43:I47)</f>
        <v>152.19999999999999</v>
      </c>
      <c r="J53" s="335" t="e">
        <f t="shared" si="25"/>
        <v>#DIV/0!</v>
      </c>
      <c r="K53" s="336" t="e">
        <f t="shared" si="25"/>
        <v>#DIV/0!</v>
      </c>
      <c r="L53" s="33">
        <f t="shared" si="25"/>
        <v>312</v>
      </c>
    </row>
    <row r="54" spans="1:13" s="43" customFormat="1" ht="15" customHeight="1" thickBot="1" x14ac:dyDescent="0.3">
      <c r="A54" s="25" t="s">
        <v>3</v>
      </c>
      <c r="B54" s="223">
        <f>B49+1</f>
        <v>44039</v>
      </c>
      <c r="C54" s="344"/>
      <c r="D54" s="231"/>
      <c r="E54" s="231"/>
      <c r="F54" s="348"/>
      <c r="G54" s="349"/>
      <c r="H54" s="318">
        <v>148</v>
      </c>
      <c r="I54" s="319">
        <v>161</v>
      </c>
      <c r="J54" s="345"/>
      <c r="K54" s="319"/>
      <c r="L54" s="54">
        <f t="shared" ref="L54:L60" si="26">SUM(C54:K54)</f>
        <v>309</v>
      </c>
      <c r="M54" s="143"/>
    </row>
    <row r="55" spans="1:13" s="43" customFormat="1" ht="15" customHeight="1" thickBot="1" x14ac:dyDescent="0.3">
      <c r="A55" s="139" t="s">
        <v>4</v>
      </c>
      <c r="B55" s="224">
        <f t="shared" ref="B55:B60" si="27">B54+1</f>
        <v>44040</v>
      </c>
      <c r="C55" s="277"/>
      <c r="D55" s="226"/>
      <c r="E55" s="226"/>
      <c r="F55" s="226"/>
      <c r="G55" s="251"/>
      <c r="H55" s="320">
        <v>188</v>
      </c>
      <c r="I55" s="236">
        <v>174</v>
      </c>
      <c r="J55" s="261"/>
      <c r="K55" s="236"/>
      <c r="L55" s="54">
        <f t="shared" si="26"/>
        <v>362</v>
      </c>
      <c r="M55" s="143"/>
    </row>
    <row r="56" spans="1:13" s="43" customFormat="1" ht="14.25" customHeight="1" thickBot="1" x14ac:dyDescent="0.3">
      <c r="A56" s="139" t="s">
        <v>5</v>
      </c>
      <c r="B56" s="224">
        <f t="shared" si="27"/>
        <v>44041</v>
      </c>
      <c r="C56" s="277"/>
      <c r="D56" s="226"/>
      <c r="E56" s="226"/>
      <c r="F56" s="226"/>
      <c r="G56" s="251"/>
      <c r="H56" s="320">
        <v>191</v>
      </c>
      <c r="I56" s="236">
        <v>174</v>
      </c>
      <c r="J56" s="261"/>
      <c r="K56" s="236"/>
      <c r="L56" s="54">
        <f t="shared" si="26"/>
        <v>365</v>
      </c>
      <c r="M56" s="143"/>
    </row>
    <row r="57" spans="1:13" s="43" customFormat="1" ht="14.25" thickBot="1" x14ac:dyDescent="0.3">
      <c r="A57" s="139" t="s">
        <v>6</v>
      </c>
      <c r="B57" s="224">
        <f t="shared" si="27"/>
        <v>44042</v>
      </c>
      <c r="C57" s="277"/>
      <c r="D57" s="226"/>
      <c r="E57" s="226"/>
      <c r="F57" s="226"/>
      <c r="G57" s="251"/>
      <c r="H57" s="320">
        <v>191</v>
      </c>
      <c r="I57" s="236">
        <v>176</v>
      </c>
      <c r="J57" s="261"/>
      <c r="K57" s="236"/>
      <c r="L57" s="54">
        <f t="shared" si="26"/>
        <v>367</v>
      </c>
      <c r="M57" s="143"/>
    </row>
    <row r="58" spans="1:13" s="43" customFormat="1" ht="14.25" thickBot="1" x14ac:dyDescent="0.3">
      <c r="A58" s="25" t="s">
        <v>0</v>
      </c>
      <c r="B58" s="225">
        <f t="shared" si="27"/>
        <v>44043</v>
      </c>
      <c r="C58" s="278"/>
      <c r="D58" s="34"/>
      <c r="E58" s="226"/>
      <c r="F58" s="226"/>
      <c r="G58" s="251"/>
      <c r="H58" s="369">
        <v>145</v>
      </c>
      <c r="I58" s="270">
        <v>139</v>
      </c>
      <c r="J58" s="261"/>
      <c r="K58" s="236"/>
      <c r="L58" s="54">
        <f t="shared" si="26"/>
        <v>284</v>
      </c>
      <c r="M58" s="143"/>
    </row>
    <row r="59" spans="1:13" s="43" customFormat="1" ht="14.25" hidden="1" outlineLevel="1" thickBot="1" x14ac:dyDescent="0.3">
      <c r="A59" s="25" t="s">
        <v>1</v>
      </c>
      <c r="B59" s="225">
        <f t="shared" si="27"/>
        <v>44044</v>
      </c>
      <c r="C59" s="278"/>
      <c r="D59" s="34"/>
      <c r="E59" s="226"/>
      <c r="F59" s="226"/>
      <c r="G59" s="251"/>
      <c r="H59" s="320"/>
      <c r="I59" s="236"/>
      <c r="J59" s="261"/>
      <c r="K59" s="236"/>
      <c r="L59" s="54">
        <f t="shared" si="26"/>
        <v>0</v>
      </c>
      <c r="M59" s="143"/>
    </row>
    <row r="60" spans="1:13" s="43" customFormat="1" ht="14.25" hidden="1" outlineLevel="1" thickBot="1" x14ac:dyDescent="0.3">
      <c r="A60" s="139" t="s">
        <v>2</v>
      </c>
      <c r="B60" s="225">
        <f t="shared" si="27"/>
        <v>44045</v>
      </c>
      <c r="C60" s="350"/>
      <c r="D60" s="351"/>
      <c r="E60" s="326"/>
      <c r="F60" s="326"/>
      <c r="G60" s="263"/>
      <c r="H60" s="328"/>
      <c r="I60" s="329"/>
      <c r="J60" s="347"/>
      <c r="K60" s="329"/>
      <c r="L60" s="54">
        <f t="shared" si="26"/>
        <v>0</v>
      </c>
    </row>
    <row r="61" spans="1:13" s="43" customFormat="1" ht="15" customHeight="1" outlineLevel="1" thickBot="1" x14ac:dyDescent="0.3">
      <c r="A61" s="147" t="s">
        <v>20</v>
      </c>
      <c r="B61" s="646" t="s">
        <v>27</v>
      </c>
      <c r="C61" s="321">
        <f>SUM(C54:C60)</f>
        <v>0</v>
      </c>
      <c r="D61" s="322">
        <f t="shared" ref="D61:J61" si="28">SUM(D54:D60)</f>
        <v>0</v>
      </c>
      <c r="E61" s="322">
        <f t="shared" si="28"/>
        <v>0</v>
      </c>
      <c r="F61" s="322">
        <f t="shared" si="28"/>
        <v>0</v>
      </c>
      <c r="G61" s="323">
        <f t="shared" si="28"/>
        <v>0</v>
      </c>
      <c r="H61" s="248">
        <f t="shared" si="28"/>
        <v>863</v>
      </c>
      <c r="I61" s="262">
        <f t="shared" si="28"/>
        <v>824</v>
      </c>
      <c r="J61" s="264">
        <f t="shared" si="28"/>
        <v>0</v>
      </c>
      <c r="K61" s="254">
        <f>SUM(K54:K60)</f>
        <v>0</v>
      </c>
      <c r="L61" s="108">
        <f>SUM(L54:L60)</f>
        <v>1687</v>
      </c>
    </row>
    <row r="62" spans="1:13" s="43" customFormat="1" ht="15" customHeight="1" outlineLevel="1" thickBot="1" x14ac:dyDescent="0.3">
      <c r="A62" s="102" t="s">
        <v>22</v>
      </c>
      <c r="B62" s="647"/>
      <c r="C62" s="274" t="e">
        <f>AVERAGE(C54:C60)</f>
        <v>#DIV/0!</v>
      </c>
      <c r="D62" s="229" t="e">
        <f t="shared" ref="D62:K62" si="29">AVERAGE(D54:D60)</f>
        <v>#DIV/0!</v>
      </c>
      <c r="E62" s="229" t="e">
        <f t="shared" si="29"/>
        <v>#DIV/0!</v>
      </c>
      <c r="F62" s="229" t="e">
        <f t="shared" si="29"/>
        <v>#DIV/0!</v>
      </c>
      <c r="G62" s="313" t="e">
        <f t="shared" si="29"/>
        <v>#DIV/0!</v>
      </c>
      <c r="H62" s="232">
        <f t="shared" si="29"/>
        <v>172.6</v>
      </c>
      <c r="I62" s="233">
        <f t="shared" si="29"/>
        <v>164.8</v>
      </c>
      <c r="J62" s="258" t="e">
        <f t="shared" si="29"/>
        <v>#DIV/0!</v>
      </c>
      <c r="K62" s="241" t="e">
        <f t="shared" si="29"/>
        <v>#DIV/0!</v>
      </c>
      <c r="L62" s="104">
        <f>AVERAGE(L54:L60)</f>
        <v>241</v>
      </c>
    </row>
    <row r="63" spans="1:13" s="43" customFormat="1" ht="15" customHeight="1" thickBot="1" x14ac:dyDescent="0.3">
      <c r="A63" s="26" t="s">
        <v>19</v>
      </c>
      <c r="B63" s="647"/>
      <c r="C63" s="275">
        <f>SUM(C54:C58)</f>
        <v>0</v>
      </c>
      <c r="D63" s="230">
        <f t="shared" ref="D63:K63" si="30">SUM(D54:D58)</f>
        <v>0</v>
      </c>
      <c r="E63" s="230">
        <f t="shared" si="30"/>
        <v>0</v>
      </c>
      <c r="F63" s="230">
        <f t="shared" si="30"/>
        <v>0</v>
      </c>
      <c r="G63" s="314">
        <f t="shared" si="30"/>
        <v>0</v>
      </c>
      <c r="H63" s="234">
        <f t="shared" si="30"/>
        <v>863</v>
      </c>
      <c r="I63" s="235">
        <f t="shared" si="30"/>
        <v>824</v>
      </c>
      <c r="J63" s="259">
        <f t="shared" si="30"/>
        <v>0</v>
      </c>
      <c r="K63" s="242">
        <f t="shared" si="30"/>
        <v>0</v>
      </c>
      <c r="L63" s="28">
        <f>SUM(L54:L58)</f>
        <v>1687</v>
      </c>
    </row>
    <row r="64" spans="1:13" s="43" customFormat="1" ht="14.25" thickBot="1" x14ac:dyDescent="0.3">
      <c r="A64" s="26" t="s">
        <v>21</v>
      </c>
      <c r="B64" s="648"/>
      <c r="C64" s="279" t="e">
        <f>AVERAGE(C54:C58)</f>
        <v>#DIV/0!</v>
      </c>
      <c r="D64" s="31" t="e">
        <f t="shared" ref="D64:L64" si="31">AVERAGE(D54:D58)</f>
        <v>#DIV/0!</v>
      </c>
      <c r="E64" s="31" t="e">
        <f t="shared" si="31"/>
        <v>#DIV/0!</v>
      </c>
      <c r="F64" s="31" t="e">
        <f t="shared" si="31"/>
        <v>#DIV/0!</v>
      </c>
      <c r="G64" s="315" t="e">
        <f t="shared" si="31"/>
        <v>#DIV/0!</v>
      </c>
      <c r="H64" s="29">
        <f t="shared" si="31"/>
        <v>172.6</v>
      </c>
      <c r="I64" s="30">
        <f t="shared" si="31"/>
        <v>164.8</v>
      </c>
      <c r="J64" s="253" t="e">
        <f t="shared" si="31"/>
        <v>#DIV/0!</v>
      </c>
      <c r="K64" s="32" t="e">
        <f t="shared" si="31"/>
        <v>#DIV/0!</v>
      </c>
      <c r="L64" s="33">
        <f t="shared" si="31"/>
        <v>337.4</v>
      </c>
    </row>
    <row r="65" spans="1:14" s="43" customFormat="1" ht="14.25" hidden="1" thickBot="1" x14ac:dyDescent="0.3">
      <c r="A65" s="139" t="s">
        <v>3</v>
      </c>
      <c r="B65" s="223">
        <f>B60+1</f>
        <v>44046</v>
      </c>
      <c r="C65" s="280"/>
      <c r="D65" s="12"/>
      <c r="E65" s="14"/>
      <c r="F65" s="14"/>
      <c r="G65" s="14"/>
      <c r="H65" s="14"/>
      <c r="I65" s="57"/>
      <c r="J65" s="112"/>
      <c r="K65" s="20"/>
      <c r="L65" s="171">
        <f>SUM(D65:J65)</f>
        <v>0</v>
      </c>
    </row>
    <row r="66" spans="1:14" s="43" customFormat="1" ht="14.25" hidden="1" thickBot="1" x14ac:dyDescent="0.3">
      <c r="A66" s="139" t="s">
        <v>4</v>
      </c>
      <c r="B66" s="224">
        <f t="shared" ref="B66:B71" si="32">B65+1</f>
        <v>44047</v>
      </c>
      <c r="C66" s="281"/>
      <c r="D66" s="18"/>
      <c r="E66" s="20"/>
      <c r="F66" s="20"/>
      <c r="G66" s="20"/>
      <c r="H66" s="20"/>
      <c r="I66" s="58"/>
      <c r="J66" s="58"/>
      <c r="K66" s="20"/>
      <c r="L66" s="171">
        <f>SUM(D66:J66)</f>
        <v>0</v>
      </c>
    </row>
    <row r="67" spans="1:14" s="43" customFormat="1" ht="13.5" hidden="1" x14ac:dyDescent="0.25">
      <c r="A67" s="139"/>
      <c r="B67" s="224">
        <f t="shared" si="32"/>
        <v>44048</v>
      </c>
      <c r="C67" s="281"/>
      <c r="D67" s="18"/>
      <c r="E67" s="20"/>
      <c r="F67" s="20"/>
      <c r="G67" s="20"/>
      <c r="H67" s="20"/>
      <c r="I67" s="58"/>
      <c r="J67" s="58"/>
      <c r="K67" s="20"/>
      <c r="L67" s="50"/>
    </row>
    <row r="68" spans="1:14" s="43" customFormat="1" ht="13.5" hidden="1" x14ac:dyDescent="0.25">
      <c r="A68" s="139"/>
      <c r="B68" s="224">
        <f t="shared" si="32"/>
        <v>44049</v>
      </c>
      <c r="C68" s="281"/>
      <c r="D68" s="18"/>
      <c r="E68" s="20"/>
      <c r="F68" s="20"/>
      <c r="G68" s="20"/>
      <c r="H68" s="20"/>
      <c r="I68" s="58"/>
      <c r="J68" s="58"/>
      <c r="K68" s="20"/>
      <c r="L68" s="50"/>
    </row>
    <row r="69" spans="1:14" s="43" customFormat="1" ht="13.5" hidden="1" x14ac:dyDescent="0.25">
      <c r="A69" s="25"/>
      <c r="B69" s="224">
        <f t="shared" si="32"/>
        <v>44050</v>
      </c>
      <c r="C69" s="281"/>
      <c r="D69" s="18"/>
      <c r="E69" s="20"/>
      <c r="F69" s="20"/>
      <c r="G69" s="20"/>
      <c r="H69" s="20"/>
      <c r="I69" s="58"/>
      <c r="J69" s="58"/>
      <c r="K69" s="20"/>
      <c r="L69" s="50"/>
    </row>
    <row r="70" spans="1:14" s="43" customFormat="1" ht="13.5" hidden="1" outlineLevel="1" x14ac:dyDescent="0.25">
      <c r="A70" s="25"/>
      <c r="B70" s="224">
        <f t="shared" si="32"/>
        <v>44051</v>
      </c>
      <c r="C70" s="281"/>
      <c r="D70" s="18"/>
      <c r="E70" s="20"/>
      <c r="F70" s="20"/>
      <c r="G70" s="20"/>
      <c r="H70" s="20"/>
      <c r="I70" s="58"/>
      <c r="J70" s="58"/>
      <c r="K70" s="20"/>
      <c r="L70" s="50"/>
    </row>
    <row r="71" spans="1:14" s="43" customFormat="1" ht="14.25" hidden="1" outlineLevel="1" thickBot="1" x14ac:dyDescent="0.3">
      <c r="A71" s="25"/>
      <c r="B71" s="224">
        <f t="shared" si="32"/>
        <v>44052</v>
      </c>
      <c r="C71" s="282"/>
      <c r="D71" s="51"/>
      <c r="E71" s="53"/>
      <c r="F71" s="53"/>
      <c r="G71" s="53"/>
      <c r="H71" s="53"/>
      <c r="I71" s="252"/>
      <c r="J71" s="252"/>
      <c r="K71" s="20"/>
      <c r="L71" s="127"/>
    </row>
    <row r="72" spans="1:14" s="43" customFormat="1" ht="14.25" hidden="1" outlineLevel="1" thickBot="1" x14ac:dyDescent="0.3">
      <c r="A72" s="147" t="s">
        <v>20</v>
      </c>
      <c r="B72" s="709" t="s">
        <v>31</v>
      </c>
      <c r="C72" s="283"/>
      <c r="D72" s="248">
        <f>SUM(D65:D71)</f>
        <v>0</v>
      </c>
      <c r="E72" s="248">
        <f t="shared" ref="E72:L72" si="33">SUM(E65:E71)</f>
        <v>0</v>
      </c>
      <c r="F72" s="248">
        <f t="shared" si="33"/>
        <v>0</v>
      </c>
      <c r="G72" s="248"/>
      <c r="H72" s="248">
        <f t="shared" si="33"/>
        <v>0</v>
      </c>
      <c r="I72" s="248">
        <f>SUM(I65:I71)</f>
        <v>0</v>
      </c>
      <c r="J72" s="254">
        <f t="shared" si="33"/>
        <v>0</v>
      </c>
      <c r="K72" s="254">
        <f>SUM(K65:K71)</f>
        <v>0</v>
      </c>
      <c r="L72" s="150">
        <f t="shared" si="33"/>
        <v>0</v>
      </c>
    </row>
    <row r="73" spans="1:14" s="43" customFormat="1" ht="14.25" hidden="1" outlineLevel="1" thickBot="1" x14ac:dyDescent="0.3">
      <c r="A73" s="102" t="s">
        <v>22</v>
      </c>
      <c r="B73" s="688"/>
      <c r="C73" s="283"/>
      <c r="D73" s="103" t="e">
        <f>AVERAGE(D65:D71)</f>
        <v>#DIV/0!</v>
      </c>
      <c r="E73" s="103" t="e">
        <f t="shared" ref="E73:L73" si="34">AVERAGE(E65:E71)</f>
        <v>#DIV/0!</v>
      </c>
      <c r="F73" s="103" t="e">
        <f t="shared" si="34"/>
        <v>#DIV/0!</v>
      </c>
      <c r="G73" s="103"/>
      <c r="H73" s="103" t="e">
        <f t="shared" si="34"/>
        <v>#DIV/0!</v>
      </c>
      <c r="I73" s="103" t="e">
        <f>AVERAGE(I65:I71)</f>
        <v>#DIV/0!</v>
      </c>
      <c r="J73" s="255" t="e">
        <f t="shared" si="34"/>
        <v>#DIV/0!</v>
      </c>
      <c r="K73" s="255" t="e">
        <f>AVERAGE(K65:K71)</f>
        <v>#DIV/0!</v>
      </c>
      <c r="L73" s="151">
        <f t="shared" si="34"/>
        <v>0</v>
      </c>
    </row>
    <row r="74" spans="1:14" s="43" customFormat="1" ht="14.25" hidden="1" thickBot="1" x14ac:dyDescent="0.3">
      <c r="A74" s="26" t="s">
        <v>19</v>
      </c>
      <c r="B74" s="688"/>
      <c r="C74" s="283"/>
      <c r="D74" s="27">
        <f>SUM(D65:D69)</f>
        <v>0</v>
      </c>
      <c r="E74" s="27">
        <f t="shared" ref="E74:L74" si="35">SUM(E65:E69)</f>
        <v>0</v>
      </c>
      <c r="F74" s="27">
        <f t="shared" si="35"/>
        <v>0</v>
      </c>
      <c r="G74" s="27"/>
      <c r="H74" s="27">
        <f t="shared" si="35"/>
        <v>0</v>
      </c>
      <c r="I74" s="27">
        <f>SUM(I65:I69)</f>
        <v>0</v>
      </c>
      <c r="J74" s="256">
        <f t="shared" si="35"/>
        <v>0</v>
      </c>
      <c r="K74" s="256">
        <f>SUM(K65:K69)</f>
        <v>0</v>
      </c>
      <c r="L74" s="152">
        <f t="shared" si="35"/>
        <v>0</v>
      </c>
    </row>
    <row r="75" spans="1:14" s="43" customFormat="1" ht="14.25" hidden="1" thickBot="1" x14ac:dyDescent="0.3">
      <c r="A75" s="26" t="s">
        <v>21</v>
      </c>
      <c r="B75" s="689"/>
      <c r="C75" s="284"/>
      <c r="D75" s="29" t="e">
        <f>AVERAGE(D65:D69)</f>
        <v>#DIV/0!</v>
      </c>
      <c r="E75" s="29" t="e">
        <f t="shared" ref="E75:L75" si="36">AVERAGE(E65:E69)</f>
        <v>#DIV/0!</v>
      </c>
      <c r="F75" s="29" t="e">
        <f t="shared" si="36"/>
        <v>#DIV/0!</v>
      </c>
      <c r="G75" s="29"/>
      <c r="H75" s="29" t="e">
        <f t="shared" si="36"/>
        <v>#DIV/0!</v>
      </c>
      <c r="I75" s="29" t="e">
        <f>AVERAGE(I65:I69)</f>
        <v>#DIV/0!</v>
      </c>
      <c r="J75" s="32" t="e">
        <f t="shared" si="36"/>
        <v>#DIV/0!</v>
      </c>
      <c r="K75" s="32" t="e">
        <f>AVERAGE(K65:K69)</f>
        <v>#DIV/0!</v>
      </c>
      <c r="L75" s="153">
        <f t="shared" si="36"/>
        <v>0</v>
      </c>
    </row>
    <row r="76" spans="1:14" s="43" customFormat="1" ht="15" customHeight="1" thickBot="1" x14ac:dyDescent="0.3">
      <c r="A76" s="4"/>
      <c r="B76" s="122"/>
      <c r="C76" s="285"/>
      <c r="D76" s="46"/>
      <c r="E76" s="46"/>
      <c r="F76" s="46"/>
      <c r="G76" s="46"/>
      <c r="H76" s="46"/>
      <c r="I76" s="46"/>
      <c r="J76" s="46"/>
      <c r="K76" s="46"/>
      <c r="L76" s="46"/>
    </row>
    <row r="77" spans="1:14" s="43" customFormat="1" ht="39" thickBot="1" x14ac:dyDescent="0.3">
      <c r="A77" s="292"/>
      <c r="B77" s="287"/>
      <c r="C77" s="293" t="s">
        <v>100</v>
      </c>
      <c r="D77" s="294" t="s">
        <v>7</v>
      </c>
      <c r="E77" s="294" t="s">
        <v>87</v>
      </c>
      <c r="F77" s="294" t="s">
        <v>88</v>
      </c>
      <c r="G77" s="294" t="s">
        <v>89</v>
      </c>
      <c r="H77" s="294" t="s">
        <v>94</v>
      </c>
      <c r="I77" s="294" t="s">
        <v>109</v>
      </c>
      <c r="J77" s="294" t="s">
        <v>10</v>
      </c>
      <c r="K77" s="295" t="s">
        <v>99</v>
      </c>
      <c r="L77" s="703" t="s">
        <v>54</v>
      </c>
      <c r="M77" s="704"/>
    </row>
    <row r="78" spans="1:14" ht="14.25" thickBot="1" x14ac:dyDescent="0.3">
      <c r="A78" s="297" t="s">
        <v>113</v>
      </c>
      <c r="B78" s="305">
        <f>SUM(L6+L61+L50+L39+L28+L17)</f>
        <v>6926</v>
      </c>
      <c r="C78" s="298">
        <f>C17+C28+C39+C50+C61</f>
        <v>0</v>
      </c>
      <c r="D78" s="299">
        <f>SUM(D6,D17+D28+D39+D50+D61)</f>
        <v>0</v>
      </c>
      <c r="E78" s="299">
        <f>SUM(E6,E17+E28+E39+E50+E61)</f>
        <v>0</v>
      </c>
      <c r="F78" s="299">
        <f>SUM(F6, F17+F28+F39+F50+F61)</f>
        <v>0</v>
      </c>
      <c r="G78" s="299">
        <f>SUM(G6,G17+G28+G39+G50+G61)</f>
        <v>0</v>
      </c>
      <c r="H78" s="299">
        <f>SUM(H6,H17+H28+H39+H50+H61)</f>
        <v>3543</v>
      </c>
      <c r="I78" s="299">
        <f>SUM(I61,I50,I28,I39,I17,I6)</f>
        <v>3383</v>
      </c>
      <c r="J78" s="299">
        <f>SUM(J6,J17+J28+J39+J50+J61)</f>
        <v>0</v>
      </c>
      <c r="K78" s="300">
        <f>SUM(K61,K50,K39,K28,K17,K6)</f>
        <v>0</v>
      </c>
      <c r="L78" s="289" t="s">
        <v>29</v>
      </c>
      <c r="M78" s="303">
        <f>SUM(C79:K79)</f>
        <v>6926</v>
      </c>
    </row>
    <row r="79" spans="1:14" ht="14.25" thickBot="1" x14ac:dyDescent="0.3">
      <c r="A79" s="296" t="s">
        <v>29</v>
      </c>
      <c r="B79" s="36">
        <f>L63+L52+L41+L30+L19</f>
        <v>6926</v>
      </c>
      <c r="C79" s="288">
        <f>C63+C52+C41+C30+C19</f>
        <v>0</v>
      </c>
      <c r="D79" s="173">
        <f>SUM(D19+D30+D41+D52+D63)</f>
        <v>0</v>
      </c>
      <c r="E79" s="173">
        <f>SUM(E19+E30+E41+E52+E63)</f>
        <v>0</v>
      </c>
      <c r="F79" s="173">
        <f>SUM(F19+F30+F41+F52+F63)</f>
        <v>0</v>
      </c>
      <c r="G79" s="173">
        <f>SUM(G19+G30+G41+G52+G63)</f>
        <v>0</v>
      </c>
      <c r="H79" s="173">
        <f>SUM(H19+H30+H41+H52+H63)</f>
        <v>3543</v>
      </c>
      <c r="I79" s="173">
        <f>SUM(I63,I52,I41,I30,I19)</f>
        <v>3383</v>
      </c>
      <c r="J79" s="173">
        <f>SUM(J19+J30+J41+J52+J63)</f>
        <v>0</v>
      </c>
      <c r="K79" s="199">
        <f>SUM(K63,K52,K41,K30,K19)</f>
        <v>0</v>
      </c>
      <c r="L79" s="290" t="s">
        <v>113</v>
      </c>
      <c r="M79" s="304">
        <f>SUM(C78:K78)</f>
        <v>6926</v>
      </c>
      <c r="N79" s="109"/>
    </row>
    <row r="80" spans="1:14" x14ac:dyDescent="0.25">
      <c r="K80" s="291"/>
      <c r="L80" s="423" t="s">
        <v>21</v>
      </c>
      <c r="M80" s="301">
        <f>AVERAGE(L20,L31,L42,L53,L64)</f>
        <v>277.03999999999996</v>
      </c>
    </row>
    <row r="81" spans="12:13" ht="15.75" thickBot="1" x14ac:dyDescent="0.3">
      <c r="L81" s="424" t="s">
        <v>119</v>
      </c>
      <c r="M81" s="302">
        <f>AVERAGE(L18,L29,L40,L51,L62)</f>
        <v>197.8857142857143</v>
      </c>
    </row>
  </sheetData>
  <mergeCells count="22">
    <mergeCell ref="B72:B75"/>
    <mergeCell ref="B17:B20"/>
    <mergeCell ref="B28:B31"/>
    <mergeCell ref="B39:B42"/>
    <mergeCell ref="B50:B53"/>
    <mergeCell ref="B61:B64"/>
    <mergeCell ref="B6:B9"/>
    <mergeCell ref="L77:M77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1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82" sqref="F82"/>
    </sheetView>
  </sheetViews>
  <sheetFormatPr defaultRowHeight="15" outlineLevelRow="1" x14ac:dyDescent="0.25"/>
  <cols>
    <col min="1" max="1" width="18.7109375" style="1" bestFit="1" customWidth="1"/>
    <col min="2" max="2" width="9.5703125" style="123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312"/>
      <c r="C1" s="665" t="s">
        <v>9</v>
      </c>
    </row>
    <row r="2" spans="1:15" ht="15" customHeight="1" thickBot="1" x14ac:dyDescent="0.3">
      <c r="A2" s="24"/>
      <c r="B2" s="311"/>
      <c r="C2" s="710"/>
    </row>
    <row r="3" spans="1:15" ht="15" customHeight="1" x14ac:dyDescent="0.25">
      <c r="A3" s="697" t="s">
        <v>50</v>
      </c>
      <c r="B3" s="616" t="s">
        <v>51</v>
      </c>
      <c r="C3" s="711" t="s">
        <v>32</v>
      </c>
    </row>
    <row r="4" spans="1:15" ht="13.5" customHeight="1" thickBot="1" x14ac:dyDescent="0.3">
      <c r="A4" s="651"/>
      <c r="B4" s="617"/>
      <c r="C4" s="614"/>
    </row>
    <row r="5" spans="1:15" ht="14.25" thickBot="1" x14ac:dyDescent="0.3">
      <c r="A5" s="370"/>
      <c r="B5" s="371"/>
      <c r="C5" s="416"/>
    </row>
    <row r="6" spans="1:15" s="43" customFormat="1" ht="15" customHeight="1" outlineLevel="1" thickBot="1" x14ac:dyDescent="0.3">
      <c r="A6" s="147" t="s">
        <v>20</v>
      </c>
      <c r="B6" s="626" t="s">
        <v>118</v>
      </c>
      <c r="C6" s="374">
        <f>SUM(C5)</f>
        <v>0</v>
      </c>
      <c r="O6" s="42"/>
    </row>
    <row r="7" spans="1:15" s="43" customFormat="1" ht="15" customHeight="1" outlineLevel="1" thickBot="1" x14ac:dyDescent="0.3">
      <c r="A7" s="102" t="s">
        <v>22</v>
      </c>
      <c r="B7" s="626"/>
      <c r="C7" s="308" t="e">
        <f>AVERAGE(C5)</f>
        <v>#DIV/0!</v>
      </c>
      <c r="F7" s="42"/>
      <c r="O7" s="42"/>
    </row>
    <row r="8" spans="1:15" s="43" customFormat="1" ht="15" customHeight="1" thickBot="1" x14ac:dyDescent="0.3">
      <c r="A8" s="26" t="s">
        <v>19</v>
      </c>
      <c r="B8" s="626"/>
      <c r="C8" s="187" t="e">
        <f>SUM(#REF!)</f>
        <v>#REF!</v>
      </c>
      <c r="F8" s="42"/>
      <c r="G8" s="42"/>
      <c r="O8" s="42"/>
    </row>
    <row r="9" spans="1:15" s="43" customFormat="1" ht="15" customHeight="1" thickBot="1" x14ac:dyDescent="0.3">
      <c r="A9" s="26" t="s">
        <v>21</v>
      </c>
      <c r="B9" s="626"/>
      <c r="C9" s="188" t="e">
        <f>AVERAGE(#REF!)</f>
        <v>#REF!</v>
      </c>
      <c r="F9" s="42"/>
      <c r="G9" s="42"/>
    </row>
    <row r="10" spans="1:15" s="42" customFormat="1" ht="13.5" hidden="1" x14ac:dyDescent="0.25">
      <c r="A10" s="25" t="s">
        <v>3</v>
      </c>
      <c r="B10" s="317">
        <v>44011</v>
      </c>
      <c r="C10" s="250"/>
    </row>
    <row r="11" spans="1:15" s="42" customFormat="1" ht="13.5" hidden="1" x14ac:dyDescent="0.25">
      <c r="A11" s="25" t="s">
        <v>4</v>
      </c>
      <c r="B11" s="220">
        <v>44012</v>
      </c>
      <c r="C11" s="250"/>
    </row>
    <row r="12" spans="1:15" s="42" customFormat="1" ht="13.5" x14ac:dyDescent="0.25">
      <c r="A12" s="25" t="s">
        <v>5</v>
      </c>
      <c r="B12" s="220">
        <v>44013</v>
      </c>
      <c r="C12" s="250"/>
    </row>
    <row r="13" spans="1:15" s="42" customFormat="1" ht="13.5" x14ac:dyDescent="0.25">
      <c r="A13" s="25" t="s">
        <v>6</v>
      </c>
      <c r="B13" s="220">
        <v>44014</v>
      </c>
      <c r="C13" s="250"/>
    </row>
    <row r="14" spans="1:15" s="42" customFormat="1" ht="13.5" x14ac:dyDescent="0.25">
      <c r="A14" s="25" t="s">
        <v>0</v>
      </c>
      <c r="B14" s="220">
        <v>44015</v>
      </c>
      <c r="C14" s="250"/>
    </row>
    <row r="15" spans="1:15" s="42" customFormat="1" ht="13.5" outlineLevel="1" x14ac:dyDescent="0.25">
      <c r="A15" s="25" t="s">
        <v>1</v>
      </c>
      <c r="B15" s="220">
        <v>44016</v>
      </c>
      <c r="C15" s="189"/>
    </row>
    <row r="16" spans="1:15" s="42" customFormat="1" ht="15" customHeight="1" outlineLevel="1" thickBot="1" x14ac:dyDescent="0.3">
      <c r="A16" s="25" t="s">
        <v>2</v>
      </c>
      <c r="B16" s="220">
        <v>44017</v>
      </c>
      <c r="C16" s="189"/>
    </row>
    <row r="17" spans="1:16" s="43" customFormat="1" ht="15" customHeight="1" outlineLevel="1" thickBot="1" x14ac:dyDescent="0.3">
      <c r="A17" s="147" t="s">
        <v>20</v>
      </c>
      <c r="B17" s="626" t="s">
        <v>23</v>
      </c>
      <c r="C17" s="374">
        <f>SUM(C10:C16)</f>
        <v>0</v>
      </c>
      <c r="E17" s="42"/>
      <c r="O17" s="42"/>
    </row>
    <row r="18" spans="1:16" s="43" customFormat="1" ht="15" customHeight="1" outlineLevel="1" thickBot="1" x14ac:dyDescent="0.3">
      <c r="A18" s="102" t="s">
        <v>22</v>
      </c>
      <c r="B18" s="626"/>
      <c r="C18" s="308" t="e">
        <f>AVERAGE(C10:C16)</f>
        <v>#DIV/0!</v>
      </c>
      <c r="E18" s="42"/>
      <c r="F18" s="42"/>
      <c r="O18" s="42"/>
    </row>
    <row r="19" spans="1:16" s="43" customFormat="1" ht="15" customHeight="1" thickBot="1" x14ac:dyDescent="0.3">
      <c r="A19" s="26" t="s">
        <v>19</v>
      </c>
      <c r="B19" s="626"/>
      <c r="C19" s="187">
        <f>SUM(C10:C14)</f>
        <v>0</v>
      </c>
      <c r="E19" s="42"/>
      <c r="F19" s="42"/>
      <c r="G19" s="42"/>
      <c r="N19" s="42"/>
      <c r="O19" s="42"/>
    </row>
    <row r="20" spans="1:16" s="43" customFormat="1" ht="15" customHeight="1" thickBot="1" x14ac:dyDescent="0.3">
      <c r="A20" s="26" t="s">
        <v>21</v>
      </c>
      <c r="B20" s="626"/>
      <c r="C20" s="188" t="e">
        <f>AVERAGE(C10:C14)</f>
        <v>#DIV/0!</v>
      </c>
      <c r="F20" s="42"/>
      <c r="G20" s="42"/>
      <c r="N20" s="42"/>
    </row>
    <row r="21" spans="1:16" s="43" customFormat="1" ht="15" customHeight="1" x14ac:dyDescent="0.25">
      <c r="A21" s="25" t="s">
        <v>3</v>
      </c>
      <c r="B21" s="220">
        <f>B16+1</f>
        <v>44018</v>
      </c>
      <c r="C21" s="309"/>
      <c r="F21" s="42"/>
    </row>
    <row r="22" spans="1:16" s="43" customFormat="1" ht="15" customHeight="1" x14ac:dyDescent="0.25">
      <c r="A22" s="25" t="s">
        <v>4</v>
      </c>
      <c r="B22" s="220">
        <f t="shared" ref="B22:B27" si="0">B21+1</f>
        <v>44019</v>
      </c>
      <c r="C22" s="309"/>
      <c r="F22" s="42"/>
    </row>
    <row r="23" spans="1:16" s="43" customFormat="1" ht="15" customHeight="1" x14ac:dyDescent="0.25">
      <c r="A23" s="25" t="s">
        <v>5</v>
      </c>
      <c r="B23" s="220">
        <f t="shared" si="0"/>
        <v>44020</v>
      </c>
      <c r="C23" s="309"/>
      <c r="F23" s="42"/>
    </row>
    <row r="24" spans="1:16" s="43" customFormat="1" ht="15" customHeight="1" x14ac:dyDescent="0.25">
      <c r="A24" s="25" t="s">
        <v>6</v>
      </c>
      <c r="B24" s="220">
        <f t="shared" si="0"/>
        <v>44021</v>
      </c>
      <c r="C24" s="309"/>
    </row>
    <row r="25" spans="1:16" s="43" customFormat="1" ht="15" customHeight="1" x14ac:dyDescent="0.25">
      <c r="A25" s="25" t="s">
        <v>0</v>
      </c>
      <c r="B25" s="220">
        <f t="shared" si="0"/>
        <v>44022</v>
      </c>
      <c r="C25" s="309"/>
    </row>
    <row r="26" spans="1:16" s="43" customFormat="1" ht="15" customHeight="1" outlineLevel="1" x14ac:dyDescent="0.25">
      <c r="A26" s="25" t="s">
        <v>1</v>
      </c>
      <c r="B26" s="220">
        <f t="shared" si="0"/>
        <v>44023</v>
      </c>
      <c r="C26" s="189"/>
      <c r="D26" s="143"/>
    </row>
    <row r="27" spans="1:16" s="43" customFormat="1" ht="15" customHeight="1" outlineLevel="1" thickBot="1" x14ac:dyDescent="0.3">
      <c r="A27" s="25" t="s">
        <v>2</v>
      </c>
      <c r="B27" s="220">
        <f t="shared" si="0"/>
        <v>44024</v>
      </c>
      <c r="C27" s="306"/>
      <c r="N27" s="42"/>
    </row>
    <row r="28" spans="1:16" s="43" customFormat="1" ht="15" customHeight="1" outlineLevel="1" thickBot="1" x14ac:dyDescent="0.3">
      <c r="A28" s="147" t="s">
        <v>20</v>
      </c>
      <c r="B28" s="626" t="s">
        <v>24</v>
      </c>
      <c r="C28" s="307">
        <f>SUM(C21:C27)</f>
        <v>0</v>
      </c>
    </row>
    <row r="29" spans="1:16" s="43" customFormat="1" ht="15" customHeight="1" outlineLevel="1" thickBot="1" x14ac:dyDescent="0.3">
      <c r="A29" s="102" t="s">
        <v>22</v>
      </c>
      <c r="B29" s="626"/>
      <c r="C29" s="308" t="e">
        <f>AVERAGE(C21:C27)</f>
        <v>#DIV/0!</v>
      </c>
      <c r="F29" s="42"/>
    </row>
    <row r="30" spans="1:16" s="43" customFormat="1" ht="15" customHeight="1" thickBot="1" x14ac:dyDescent="0.3">
      <c r="A30" s="26" t="s">
        <v>19</v>
      </c>
      <c r="B30" s="626"/>
      <c r="C30" s="187">
        <f>SUM(C21:C25)</f>
        <v>0</v>
      </c>
      <c r="F30" s="42"/>
    </row>
    <row r="31" spans="1:16" s="43" customFormat="1" ht="15" customHeight="1" thickBot="1" x14ac:dyDescent="0.3">
      <c r="A31" s="26" t="s">
        <v>21</v>
      </c>
      <c r="B31" s="626"/>
      <c r="C31" s="188" t="e">
        <f>AVERAGE(C21:C25)</f>
        <v>#DIV/0!</v>
      </c>
      <c r="F31" s="42"/>
      <c r="P31" s="42"/>
    </row>
    <row r="32" spans="1:16" s="43" customFormat="1" ht="15" customHeight="1" x14ac:dyDescent="0.25">
      <c r="A32" s="25" t="s">
        <v>3</v>
      </c>
      <c r="B32" s="214">
        <f>B27+1</f>
        <v>44025</v>
      </c>
      <c r="C32" s="309"/>
    </row>
    <row r="33" spans="1:6" s="43" customFormat="1" ht="15" customHeight="1" x14ac:dyDescent="0.25">
      <c r="A33" s="25" t="s">
        <v>4</v>
      </c>
      <c r="B33" s="214">
        <f t="shared" ref="B33:B38" si="1">B32+1</f>
        <v>44026</v>
      </c>
      <c r="C33" s="309"/>
    </row>
    <row r="34" spans="1:6" s="43" customFormat="1" ht="15" customHeight="1" x14ac:dyDescent="0.25">
      <c r="A34" s="25" t="s">
        <v>5</v>
      </c>
      <c r="B34" s="214">
        <f t="shared" si="1"/>
        <v>44027</v>
      </c>
      <c r="C34" s="309"/>
    </row>
    <row r="35" spans="1:6" s="43" customFormat="1" ht="15" customHeight="1" x14ac:dyDescent="0.25">
      <c r="A35" s="25" t="s">
        <v>6</v>
      </c>
      <c r="B35" s="214">
        <f t="shared" si="1"/>
        <v>44028</v>
      </c>
      <c r="C35" s="309"/>
    </row>
    <row r="36" spans="1:6" s="43" customFormat="1" ht="15" customHeight="1" x14ac:dyDescent="0.25">
      <c r="A36" s="25" t="s">
        <v>0</v>
      </c>
      <c r="B36" s="214">
        <f t="shared" si="1"/>
        <v>44029</v>
      </c>
      <c r="C36" s="309"/>
    </row>
    <row r="37" spans="1:6" s="43" customFormat="1" ht="15" customHeight="1" outlineLevel="1" x14ac:dyDescent="0.25">
      <c r="A37" s="25" t="s">
        <v>1</v>
      </c>
      <c r="B37" s="214">
        <f t="shared" si="1"/>
        <v>44030</v>
      </c>
      <c r="C37" s="189"/>
    </row>
    <row r="38" spans="1:6" s="43" customFormat="1" ht="15" customHeight="1" outlineLevel="1" thickBot="1" x14ac:dyDescent="0.3">
      <c r="A38" s="25" t="s">
        <v>2</v>
      </c>
      <c r="B38" s="214">
        <f t="shared" si="1"/>
        <v>44031</v>
      </c>
      <c r="C38" s="306"/>
    </row>
    <row r="39" spans="1:6" s="43" customFormat="1" ht="15" customHeight="1" outlineLevel="1" thickBot="1" x14ac:dyDescent="0.3">
      <c r="A39" s="147" t="s">
        <v>20</v>
      </c>
      <c r="B39" s="626" t="s">
        <v>25</v>
      </c>
      <c r="C39" s="307">
        <f>SUM(C32:C38)</f>
        <v>0</v>
      </c>
      <c r="F39" s="42"/>
    </row>
    <row r="40" spans="1:6" s="43" customFormat="1" ht="15" customHeight="1" outlineLevel="1" thickBot="1" x14ac:dyDescent="0.3">
      <c r="A40" s="102" t="s">
        <v>22</v>
      </c>
      <c r="B40" s="626"/>
      <c r="C40" s="308" t="e">
        <f>AVERAGE(C32:C38)</f>
        <v>#DIV/0!</v>
      </c>
      <c r="F40" s="42"/>
    </row>
    <row r="41" spans="1:6" s="43" customFormat="1" ht="15" customHeight="1" thickBot="1" x14ac:dyDescent="0.3">
      <c r="A41" s="26" t="s">
        <v>19</v>
      </c>
      <c r="B41" s="626"/>
      <c r="C41" s="187">
        <f>SUM(C32:C36)</f>
        <v>0</v>
      </c>
    </row>
    <row r="42" spans="1:6" s="43" customFormat="1" ht="15" customHeight="1" thickBot="1" x14ac:dyDescent="0.3">
      <c r="A42" s="26" t="s">
        <v>21</v>
      </c>
      <c r="B42" s="626"/>
      <c r="C42" s="188" t="e">
        <f>AVERAGE(C32:C36)</f>
        <v>#DIV/0!</v>
      </c>
    </row>
    <row r="43" spans="1:6" s="43" customFormat="1" ht="15" customHeight="1" x14ac:dyDescent="0.25">
      <c r="A43" s="25" t="s">
        <v>3</v>
      </c>
      <c r="B43" s="224">
        <f>B38+1</f>
        <v>44032</v>
      </c>
      <c r="C43" s="309">
        <v>97</v>
      </c>
    </row>
    <row r="44" spans="1:6" s="43" customFormat="1" ht="15" customHeight="1" x14ac:dyDescent="0.25">
      <c r="A44" s="25" t="s">
        <v>4</v>
      </c>
      <c r="B44" s="224">
        <f t="shared" ref="B44:B49" si="2">B43+1</f>
        <v>44033</v>
      </c>
      <c r="C44" s="309">
        <v>112</v>
      </c>
    </row>
    <row r="45" spans="1:6" s="43" customFormat="1" ht="15" customHeight="1" x14ac:dyDescent="0.25">
      <c r="A45" s="25" t="s">
        <v>5</v>
      </c>
      <c r="B45" s="224">
        <f t="shared" si="2"/>
        <v>44034</v>
      </c>
      <c r="C45" s="309">
        <v>144</v>
      </c>
    </row>
    <row r="46" spans="1:6" s="43" customFormat="1" ht="15" customHeight="1" x14ac:dyDescent="0.25">
      <c r="A46" s="25" t="s">
        <v>6</v>
      </c>
      <c r="B46" s="224">
        <f t="shared" si="2"/>
        <v>44035</v>
      </c>
      <c r="C46" s="309">
        <v>67</v>
      </c>
    </row>
    <row r="47" spans="1:6" s="43" customFormat="1" ht="15" customHeight="1" x14ac:dyDescent="0.25">
      <c r="A47" s="25" t="s">
        <v>0</v>
      </c>
      <c r="B47" s="224">
        <f t="shared" si="2"/>
        <v>44036</v>
      </c>
      <c r="C47" s="309">
        <v>114</v>
      </c>
    </row>
    <row r="48" spans="1:6" s="43" customFormat="1" ht="15" customHeight="1" outlineLevel="1" x14ac:dyDescent="0.25">
      <c r="A48" s="25" t="s">
        <v>1</v>
      </c>
      <c r="B48" s="224">
        <f t="shared" si="2"/>
        <v>44037</v>
      </c>
      <c r="C48" s="189">
        <v>0</v>
      </c>
      <c r="D48" s="143"/>
    </row>
    <row r="49" spans="1:4" s="43" customFormat="1" ht="15" customHeight="1" outlineLevel="1" thickBot="1" x14ac:dyDescent="0.3">
      <c r="A49" s="25" t="s">
        <v>2</v>
      </c>
      <c r="B49" s="224">
        <f t="shared" si="2"/>
        <v>44038</v>
      </c>
      <c r="C49" s="306">
        <v>0</v>
      </c>
      <c r="D49" s="143"/>
    </row>
    <row r="50" spans="1:4" s="43" customFormat="1" ht="15" customHeight="1" outlineLevel="1" thickBot="1" x14ac:dyDescent="0.3">
      <c r="A50" s="147" t="s">
        <v>20</v>
      </c>
      <c r="B50" s="626" t="s">
        <v>26</v>
      </c>
      <c r="C50" s="307">
        <f>SUM(C43:C49)</f>
        <v>534</v>
      </c>
      <c r="D50" s="143"/>
    </row>
    <row r="51" spans="1:4" s="43" customFormat="1" ht="15" customHeight="1" outlineLevel="1" thickBot="1" x14ac:dyDescent="0.3">
      <c r="A51" s="102" t="s">
        <v>22</v>
      </c>
      <c r="B51" s="626"/>
      <c r="C51" s="308">
        <f>AVERAGE(C43:C49)</f>
        <v>76.285714285714292</v>
      </c>
      <c r="D51" s="143"/>
    </row>
    <row r="52" spans="1:4" s="43" customFormat="1" ht="15" customHeight="1" thickBot="1" x14ac:dyDescent="0.3">
      <c r="A52" s="26" t="s">
        <v>19</v>
      </c>
      <c r="B52" s="626"/>
      <c r="C52" s="187">
        <f>SUM(C43:C47)</f>
        <v>534</v>
      </c>
      <c r="D52" s="143"/>
    </row>
    <row r="53" spans="1:4" s="43" customFormat="1" ht="15" customHeight="1" thickBot="1" x14ac:dyDescent="0.3">
      <c r="A53" s="26" t="s">
        <v>21</v>
      </c>
      <c r="B53" s="626"/>
      <c r="C53" s="188">
        <f>AVERAGE(C43:C47)</f>
        <v>106.8</v>
      </c>
      <c r="D53" s="143"/>
    </row>
    <row r="54" spans="1:4" s="43" customFormat="1" ht="15" customHeight="1" x14ac:dyDescent="0.25">
      <c r="A54" s="25" t="s">
        <v>3</v>
      </c>
      <c r="B54" s="224">
        <f>B49+1</f>
        <v>44039</v>
      </c>
      <c r="C54" s="310">
        <v>97</v>
      </c>
      <c r="D54" s="143"/>
    </row>
    <row r="55" spans="1:4" s="43" customFormat="1" ht="15" customHeight="1" x14ac:dyDescent="0.25">
      <c r="A55" s="139" t="s">
        <v>4</v>
      </c>
      <c r="B55" s="224">
        <f t="shared" ref="B55:B60" si="3">B54+1</f>
        <v>44040</v>
      </c>
      <c r="C55" s="309">
        <v>90</v>
      </c>
      <c r="D55" s="143"/>
    </row>
    <row r="56" spans="1:4" s="43" customFormat="1" ht="13.5" x14ac:dyDescent="0.25">
      <c r="A56" s="139" t="s">
        <v>5</v>
      </c>
      <c r="B56" s="224">
        <f t="shared" si="3"/>
        <v>44041</v>
      </c>
      <c r="C56" s="189">
        <v>138</v>
      </c>
      <c r="D56" s="143"/>
    </row>
    <row r="57" spans="1:4" s="43" customFormat="1" ht="13.5" x14ac:dyDescent="0.25">
      <c r="A57" s="139" t="s">
        <v>6</v>
      </c>
      <c r="B57" s="224">
        <f t="shared" si="3"/>
        <v>44042</v>
      </c>
      <c r="C57" s="309">
        <v>128</v>
      </c>
      <c r="D57" s="143"/>
    </row>
    <row r="58" spans="1:4" s="43" customFormat="1" ht="14.25" thickBot="1" x14ac:dyDescent="0.3">
      <c r="A58" s="25" t="s">
        <v>0</v>
      </c>
      <c r="B58" s="225">
        <f t="shared" si="3"/>
        <v>44043</v>
      </c>
      <c r="C58" s="309">
        <v>86</v>
      </c>
      <c r="D58" s="143"/>
    </row>
    <row r="59" spans="1:4" s="43" customFormat="1" ht="13.5" hidden="1" outlineLevel="1" x14ac:dyDescent="0.25">
      <c r="A59" s="25" t="s">
        <v>1</v>
      </c>
      <c r="B59" s="225">
        <f t="shared" si="3"/>
        <v>44044</v>
      </c>
      <c r="C59" s="189"/>
      <c r="D59" s="143"/>
    </row>
    <row r="60" spans="1:4" s="43" customFormat="1" ht="14.25" hidden="1" outlineLevel="1" thickBot="1" x14ac:dyDescent="0.3">
      <c r="A60" s="139" t="s">
        <v>2</v>
      </c>
      <c r="B60" s="225">
        <f t="shared" si="3"/>
        <v>44045</v>
      </c>
      <c r="C60" s="306"/>
    </row>
    <row r="61" spans="1:4" s="43" customFormat="1" ht="15" customHeight="1" outlineLevel="1" thickBot="1" x14ac:dyDescent="0.3">
      <c r="A61" s="147" t="s">
        <v>20</v>
      </c>
      <c r="B61" s="626" t="s">
        <v>27</v>
      </c>
      <c r="C61" s="307">
        <f>SUM(C54:C60)</f>
        <v>539</v>
      </c>
    </row>
    <row r="62" spans="1:4" s="43" customFormat="1" ht="15" customHeight="1" outlineLevel="1" thickBot="1" x14ac:dyDescent="0.3">
      <c r="A62" s="102" t="s">
        <v>22</v>
      </c>
      <c r="B62" s="626"/>
      <c r="C62" s="308">
        <f>AVERAGE(C54:C60)</f>
        <v>107.8</v>
      </c>
    </row>
    <row r="63" spans="1:4" s="43" customFormat="1" ht="15" customHeight="1" thickBot="1" x14ac:dyDescent="0.3">
      <c r="A63" s="26" t="s">
        <v>19</v>
      </c>
      <c r="B63" s="626"/>
      <c r="C63" s="187">
        <f>SUM(C54:C58)</f>
        <v>539</v>
      </c>
    </row>
    <row r="64" spans="1:4" s="43" customFormat="1" ht="14.25" thickBot="1" x14ac:dyDescent="0.3">
      <c r="A64" s="26" t="s">
        <v>21</v>
      </c>
      <c r="B64" s="627"/>
      <c r="C64" s="188">
        <f>AVERAGE(C54:C58)</f>
        <v>107.8</v>
      </c>
    </row>
    <row r="65" spans="1:6" s="43" customFormat="1" ht="13.5" hidden="1" x14ac:dyDescent="0.25">
      <c r="A65" s="139" t="s">
        <v>3</v>
      </c>
      <c r="B65" s="316">
        <f>B60+1</f>
        <v>44046</v>
      </c>
      <c r="C65" s="181"/>
      <c r="D65" s="17"/>
    </row>
    <row r="66" spans="1:6" s="43" customFormat="1" ht="13.5" hidden="1" x14ac:dyDescent="0.25">
      <c r="A66" s="139" t="s">
        <v>4</v>
      </c>
      <c r="B66" s="162">
        <f t="shared" ref="B66:B71" si="4">B65+1</f>
        <v>44047</v>
      </c>
      <c r="C66" s="181"/>
      <c r="D66" s="17"/>
    </row>
    <row r="67" spans="1:6" s="43" customFormat="1" ht="13.5" hidden="1" x14ac:dyDescent="0.25">
      <c r="A67" s="139" t="s">
        <v>5</v>
      </c>
      <c r="B67" s="162">
        <f t="shared" si="4"/>
        <v>44048</v>
      </c>
      <c r="C67" s="182"/>
      <c r="D67" s="17"/>
    </row>
    <row r="68" spans="1:6" s="43" customFormat="1" ht="13.5" hidden="1" x14ac:dyDescent="0.25">
      <c r="A68" s="139" t="s">
        <v>6</v>
      </c>
      <c r="B68" s="162">
        <f t="shared" si="4"/>
        <v>44049</v>
      </c>
      <c r="C68" s="182"/>
      <c r="D68" s="17"/>
    </row>
    <row r="69" spans="1:6" s="43" customFormat="1" ht="13.5" hidden="1" x14ac:dyDescent="0.25">
      <c r="A69" s="139" t="s">
        <v>0</v>
      </c>
      <c r="B69" s="162">
        <f t="shared" si="4"/>
        <v>44050</v>
      </c>
      <c r="C69" s="182"/>
      <c r="D69" s="17"/>
    </row>
    <row r="70" spans="1:6" s="43" customFormat="1" ht="13.5" hidden="1" outlineLevel="1" x14ac:dyDescent="0.25">
      <c r="A70" s="139" t="s">
        <v>1</v>
      </c>
      <c r="B70" s="162">
        <f t="shared" si="4"/>
        <v>44051</v>
      </c>
      <c r="C70" s="190"/>
      <c r="D70" s="17"/>
    </row>
    <row r="71" spans="1:6" s="43" customFormat="1" ht="13.5" hidden="1" outlineLevel="1" x14ac:dyDescent="0.25">
      <c r="A71" s="139" t="s">
        <v>2</v>
      </c>
      <c r="B71" s="162">
        <f t="shared" si="4"/>
        <v>44052</v>
      </c>
      <c r="C71" s="191"/>
      <c r="D71" s="17"/>
    </row>
    <row r="72" spans="1:6" s="43" customFormat="1" ht="14.25" hidden="1" outlineLevel="1" thickBot="1" x14ac:dyDescent="0.3">
      <c r="A72" s="147" t="s">
        <v>20</v>
      </c>
      <c r="B72" s="688" t="s">
        <v>31</v>
      </c>
      <c r="C72" s="183">
        <f>SUM(C65:C71)</f>
        <v>0</v>
      </c>
      <c r="D72" s="105">
        <f>SUM(C72)</f>
        <v>0</v>
      </c>
    </row>
    <row r="73" spans="1:6" s="43" customFormat="1" ht="14.25" hidden="1" outlineLevel="1" thickBot="1" x14ac:dyDescent="0.3">
      <c r="A73" s="102" t="s">
        <v>22</v>
      </c>
      <c r="B73" s="688"/>
      <c r="C73" s="184" t="e">
        <f>AVERAGE(C65:C71)</f>
        <v>#DIV/0!</v>
      </c>
      <c r="D73" s="103" t="e">
        <f>SUM(C73)</f>
        <v>#DIV/0!</v>
      </c>
    </row>
    <row r="74" spans="1:6" s="43" customFormat="1" ht="14.25" hidden="1" thickBot="1" x14ac:dyDescent="0.3">
      <c r="A74" s="26" t="s">
        <v>19</v>
      </c>
      <c r="B74" s="688"/>
      <c r="C74" s="185">
        <f>SUM(C65:C69)</f>
        <v>0</v>
      </c>
      <c r="D74" s="27">
        <f>SUM(C74)</f>
        <v>0</v>
      </c>
    </row>
    <row r="75" spans="1:6" s="43" customFormat="1" ht="14.25" hidden="1" thickBot="1" x14ac:dyDescent="0.3">
      <c r="A75" s="26" t="s">
        <v>21</v>
      </c>
      <c r="B75" s="689"/>
      <c r="C75" s="186" t="e">
        <f>AVERAGE(C65:C69)</f>
        <v>#DIV/0!</v>
      </c>
      <c r="D75" s="29" t="e">
        <f>SUM(C75)</f>
        <v>#DIV/0!</v>
      </c>
    </row>
    <row r="76" spans="1:6" s="43" customFormat="1" ht="15" customHeight="1" x14ac:dyDescent="0.25">
      <c r="A76" s="4"/>
      <c r="B76" s="122"/>
      <c r="C76" s="46"/>
      <c r="D76" s="46"/>
    </row>
    <row r="77" spans="1:6" s="43" customFormat="1" ht="42" customHeight="1" thickBot="1" x14ac:dyDescent="0.3">
      <c r="A77" s="172"/>
      <c r="B77" s="393" t="s">
        <v>9</v>
      </c>
      <c r="D77" s="692" t="s">
        <v>53</v>
      </c>
      <c r="E77" s="693"/>
      <c r="F77" s="694"/>
    </row>
    <row r="78" spans="1:6" ht="30" customHeight="1" x14ac:dyDescent="0.25">
      <c r="A78" s="392" t="s">
        <v>113</v>
      </c>
      <c r="B78" s="394">
        <f>SUM(C61:C61, C50:C50, C39:C39, C28:C28, C17:C17, C72:C72, C6:C6 )</f>
        <v>1073</v>
      </c>
      <c r="D78" s="701" t="s">
        <v>29</v>
      </c>
      <c r="E78" s="702"/>
      <c r="F78" s="396">
        <f>SUM(C19, C30, C41, C52, C63, C74)</f>
        <v>1073</v>
      </c>
    </row>
    <row r="79" spans="1:6" ht="30" customHeight="1" thickBot="1" x14ac:dyDescent="0.3">
      <c r="A79" s="392" t="s">
        <v>29</v>
      </c>
      <c r="B79" s="395">
        <f>SUM(C63:C63, C52:C52, C41:C41, C30:C30, C19:C19, C74:C74)</f>
        <v>1073</v>
      </c>
      <c r="D79" s="609" t="s">
        <v>113</v>
      </c>
      <c r="E79" s="610"/>
      <c r="F79" s="397">
        <f>SUM(C61, C50, C39, C28, C17, C72, C6)</f>
        <v>1073</v>
      </c>
    </row>
    <row r="80" spans="1:6" ht="30" customHeight="1" x14ac:dyDescent="0.25">
      <c r="D80" s="609" t="s">
        <v>21</v>
      </c>
      <c r="E80" s="610"/>
      <c r="F80" s="397">
        <f>AVERAGE(C53,C64)</f>
        <v>107.3</v>
      </c>
    </row>
    <row r="81" spans="4:6" ht="30" customHeight="1" thickBot="1" x14ac:dyDescent="0.3">
      <c r="D81" s="611" t="s">
        <v>119</v>
      </c>
      <c r="E81" s="612"/>
      <c r="F81" s="302">
        <f>AVERAGE(C51,C62)</f>
        <v>92.042857142857144</v>
      </c>
    </row>
  </sheetData>
  <mergeCells count="16">
    <mergeCell ref="D81:E81"/>
    <mergeCell ref="D80:E80"/>
    <mergeCell ref="B61:B64"/>
    <mergeCell ref="B50:B53"/>
    <mergeCell ref="B39:B42"/>
    <mergeCell ref="D79:E79"/>
    <mergeCell ref="D78:E78"/>
    <mergeCell ref="C1:C2"/>
    <mergeCell ref="A3:A4"/>
    <mergeCell ref="B3:B4"/>
    <mergeCell ref="B72:B75"/>
    <mergeCell ref="D77:F77"/>
    <mergeCell ref="B28:B31"/>
    <mergeCell ref="B17:B20"/>
    <mergeCell ref="C3:C4"/>
    <mergeCell ref="B6:B9"/>
  </mergeCells>
  <pageMargins left="0.7" right="0.7" top="0.75" bottom="0.75" header="0.3" footer="0.3"/>
  <pageSetup scale="59" orientation="portrait" r:id="rId1"/>
  <ignoredErrors>
    <ignoredError sqref="C4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3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54"/>
      <c r="C1" s="652" t="s">
        <v>65</v>
      </c>
      <c r="D1" s="652" t="s">
        <v>8</v>
      </c>
      <c r="E1" s="667" t="s">
        <v>18</v>
      </c>
    </row>
    <row r="2" spans="1:6" ht="14.25" customHeight="1" thickBot="1" x14ac:dyDescent="0.3">
      <c r="A2" s="24"/>
      <c r="B2" s="155"/>
      <c r="C2" s="690"/>
      <c r="D2" s="690"/>
      <c r="E2" s="668"/>
    </row>
    <row r="3" spans="1:6" ht="14.25" customHeight="1" x14ac:dyDescent="0.25">
      <c r="A3" s="634" t="s">
        <v>50</v>
      </c>
      <c r="B3" s="695" t="s">
        <v>51</v>
      </c>
      <c r="C3" s="714" t="s">
        <v>62</v>
      </c>
      <c r="D3" s="714" t="s">
        <v>8</v>
      </c>
      <c r="E3" s="668"/>
    </row>
    <row r="4" spans="1:6" ht="15" customHeight="1" thickBot="1" x14ac:dyDescent="0.3">
      <c r="A4" s="651"/>
      <c r="B4" s="696"/>
      <c r="C4" s="677"/>
      <c r="D4" s="677"/>
      <c r="E4" s="668"/>
    </row>
    <row r="5" spans="1:6" s="42" customFormat="1" ht="14.25" thickBot="1" x14ac:dyDescent="0.3">
      <c r="A5" s="25" t="s">
        <v>3</v>
      </c>
      <c r="B5" s="156">
        <v>42856</v>
      </c>
      <c r="C5" s="12"/>
      <c r="D5" s="18"/>
      <c r="E5" s="17">
        <f t="shared" ref="E5:E11" si="0">SUM(C5:D5)</f>
        <v>0</v>
      </c>
    </row>
    <row r="6" spans="1:6" s="42" customFormat="1" ht="14.25" thickBot="1" x14ac:dyDescent="0.3">
      <c r="A6" s="25" t="s">
        <v>4</v>
      </c>
      <c r="B6" s="170">
        <v>42948</v>
      </c>
      <c r="C6" s="12"/>
      <c r="D6" s="18"/>
      <c r="E6" s="17">
        <f t="shared" si="0"/>
        <v>0</v>
      </c>
    </row>
    <row r="7" spans="1:6" s="42" customFormat="1" ht="14.25" thickBot="1" x14ac:dyDescent="0.3">
      <c r="A7" s="25" t="s">
        <v>5</v>
      </c>
      <c r="B7" s="170">
        <f>B6+1</f>
        <v>42949</v>
      </c>
      <c r="C7" s="12"/>
      <c r="D7" s="18"/>
      <c r="E7" s="17">
        <f t="shared" si="0"/>
        <v>0</v>
      </c>
    </row>
    <row r="8" spans="1:6" s="42" customFormat="1" ht="14.25" thickBot="1" x14ac:dyDescent="0.3">
      <c r="A8" s="25" t="s">
        <v>6</v>
      </c>
      <c r="B8" s="170">
        <f>B7+1</f>
        <v>42950</v>
      </c>
      <c r="C8" s="12"/>
      <c r="D8" s="18"/>
      <c r="E8" s="17">
        <f t="shared" si="0"/>
        <v>0</v>
      </c>
      <c r="F8" s="140"/>
    </row>
    <row r="9" spans="1:6" s="42" customFormat="1" ht="14.25" thickBot="1" x14ac:dyDescent="0.3">
      <c r="A9" s="25" t="s">
        <v>0</v>
      </c>
      <c r="B9" s="170">
        <f>B8+1</f>
        <v>42951</v>
      </c>
      <c r="C9" s="12"/>
      <c r="D9" s="18"/>
      <c r="E9" s="17">
        <f t="shared" si="0"/>
        <v>0</v>
      </c>
      <c r="F9" s="140"/>
    </row>
    <row r="10" spans="1:6" s="42" customFormat="1" ht="14.25" customHeight="1" outlineLevel="1" thickBot="1" x14ac:dyDescent="0.3">
      <c r="A10" s="25" t="s">
        <v>1</v>
      </c>
      <c r="B10" s="170">
        <f>B9+1</f>
        <v>42952</v>
      </c>
      <c r="C10" s="18"/>
      <c r="D10" s="18"/>
      <c r="E10" s="17">
        <f t="shared" si="0"/>
        <v>0</v>
      </c>
      <c r="F10" s="140"/>
    </row>
    <row r="11" spans="1:6" s="42" customFormat="1" ht="15" customHeight="1" outlineLevel="1" thickBot="1" x14ac:dyDescent="0.3">
      <c r="A11" s="25" t="s">
        <v>2</v>
      </c>
      <c r="B11" s="170">
        <f>B10+1</f>
        <v>42953</v>
      </c>
      <c r="C11" s="21"/>
      <c r="D11" s="21"/>
      <c r="E11" s="17">
        <f t="shared" si="0"/>
        <v>0</v>
      </c>
      <c r="F11" s="140"/>
    </row>
    <row r="12" spans="1:6" s="43" customFormat="1" ht="15" customHeight="1" outlineLevel="1" thickBot="1" x14ac:dyDescent="0.3">
      <c r="A12" s="147" t="s">
        <v>20</v>
      </c>
      <c r="B12" s="709" t="s">
        <v>23</v>
      </c>
      <c r="C12" s="105">
        <f>SUM(C5:C11)</f>
        <v>0</v>
      </c>
      <c r="D12" s="105">
        <f>SUM(D5:D11)</f>
        <v>0</v>
      </c>
      <c r="E12" s="108">
        <f>SUM(E5:E11)</f>
        <v>0</v>
      </c>
    </row>
    <row r="13" spans="1:6" s="43" customFormat="1" ht="15" customHeight="1" outlineLevel="1" thickBot="1" x14ac:dyDescent="0.3">
      <c r="A13" s="102" t="s">
        <v>22</v>
      </c>
      <c r="B13" s="688"/>
      <c r="C13" s="103" t="e">
        <f>AVERAGE(C5:C11)</f>
        <v>#DIV/0!</v>
      </c>
      <c r="D13" s="103" t="e">
        <f>AVERAGE(D5:D11)</f>
        <v>#DIV/0!</v>
      </c>
      <c r="E13" s="104">
        <f>AVERAGE(E5:E11)</f>
        <v>0</v>
      </c>
    </row>
    <row r="14" spans="1:6" s="43" customFormat="1" ht="15" customHeight="1" thickBot="1" x14ac:dyDescent="0.3">
      <c r="A14" s="26" t="s">
        <v>19</v>
      </c>
      <c r="B14" s="688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21</v>
      </c>
      <c r="B15" s="688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6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7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7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8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8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70">
        <f t="shared" si="2"/>
        <v>42959</v>
      </c>
      <c r="C21" s="18"/>
      <c r="D21" s="19"/>
      <c r="E21" s="17">
        <f t="shared" si="1"/>
        <v>0</v>
      </c>
      <c r="F21" s="143"/>
    </row>
    <row r="22" spans="1:6" s="43" customFormat="1" ht="15" customHeight="1" outlineLevel="1" thickBot="1" x14ac:dyDescent="0.3">
      <c r="A22" s="25" t="s">
        <v>2</v>
      </c>
      <c r="B22" s="157">
        <f t="shared" si="2"/>
        <v>42960</v>
      </c>
      <c r="C22" s="21"/>
      <c r="D22" s="22"/>
      <c r="E22" s="59">
        <f t="shared" si="1"/>
        <v>0</v>
      </c>
    </row>
    <row r="23" spans="1:6" s="43" customFormat="1" ht="15" customHeight="1" outlineLevel="1" thickBot="1" x14ac:dyDescent="0.3">
      <c r="A23" s="147" t="s">
        <v>20</v>
      </c>
      <c r="B23" s="709" t="s">
        <v>24</v>
      </c>
      <c r="C23" s="105">
        <f>SUM(C16:C22)</f>
        <v>0</v>
      </c>
      <c r="D23" s="105">
        <f>SUM(D16:D22)</f>
        <v>0</v>
      </c>
      <c r="E23" s="105">
        <f>SUM(E16:E22)</f>
        <v>0</v>
      </c>
    </row>
    <row r="24" spans="1:6" s="43" customFormat="1" ht="15" customHeight="1" outlineLevel="1" thickBot="1" x14ac:dyDescent="0.3">
      <c r="A24" s="102" t="s">
        <v>22</v>
      </c>
      <c r="B24" s="688"/>
      <c r="C24" s="103" t="e">
        <f>AVERAGE(C16:C22)</f>
        <v>#DIV/0!</v>
      </c>
      <c r="D24" s="103" t="e">
        <f>AVERAGE(D16:D22)</f>
        <v>#DIV/0!</v>
      </c>
      <c r="E24" s="103">
        <f>AVERAGE(E16:E22)</f>
        <v>0</v>
      </c>
    </row>
    <row r="25" spans="1:6" s="43" customFormat="1" ht="15" customHeight="1" thickBot="1" x14ac:dyDescent="0.3">
      <c r="A25" s="26" t="s">
        <v>19</v>
      </c>
      <c r="B25" s="688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21</v>
      </c>
      <c r="B26" s="689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9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60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60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60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60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60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60">
        <f t="shared" si="4"/>
        <v>42967</v>
      </c>
      <c r="C33" s="21"/>
      <c r="D33" s="21"/>
      <c r="E33" s="59">
        <f t="shared" si="3"/>
        <v>0</v>
      </c>
      <c r="F33" s="143"/>
    </row>
    <row r="34" spans="1:6" s="43" customFormat="1" ht="15" customHeight="1" outlineLevel="1" thickBot="1" x14ac:dyDescent="0.3">
      <c r="A34" s="147" t="s">
        <v>20</v>
      </c>
      <c r="B34" s="709" t="s">
        <v>25</v>
      </c>
      <c r="C34" s="105">
        <f>SUM(C27:C33)</f>
        <v>0</v>
      </c>
      <c r="D34" s="105">
        <f>SUM(D27:D33)</f>
        <v>0</v>
      </c>
      <c r="E34" s="105">
        <f>SUM(E27:E33)</f>
        <v>0</v>
      </c>
    </row>
    <row r="35" spans="1:6" s="43" customFormat="1" ht="15" customHeight="1" outlineLevel="1" thickBot="1" x14ac:dyDescent="0.3">
      <c r="A35" s="102" t="s">
        <v>22</v>
      </c>
      <c r="B35" s="688"/>
      <c r="C35" s="103" t="e">
        <f>AVERAGE(C27:C33)</f>
        <v>#DIV/0!</v>
      </c>
      <c r="D35" s="103" t="e">
        <f>AVERAGE(D27:D33)</f>
        <v>#DIV/0!</v>
      </c>
      <c r="E35" s="103">
        <f>AVERAGE(E27:E33)</f>
        <v>0</v>
      </c>
    </row>
    <row r="36" spans="1:6" s="43" customFormat="1" ht="15" customHeight="1" thickBot="1" x14ac:dyDescent="0.3">
      <c r="A36" s="26" t="s">
        <v>19</v>
      </c>
      <c r="B36" s="688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21</v>
      </c>
      <c r="B37" s="689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61">
        <f>B33+1</f>
        <v>42968</v>
      </c>
      <c r="C38" s="12"/>
      <c r="D38" s="12"/>
      <c r="E38" s="16">
        <f t="shared" ref="E38:E44" si="5">SUM(C38:D38)</f>
        <v>0</v>
      </c>
      <c r="F38" s="143"/>
    </row>
    <row r="39" spans="1:6" s="43" customFormat="1" ht="15" customHeight="1" thickBot="1" x14ac:dyDescent="0.3">
      <c r="A39" s="25" t="s">
        <v>4</v>
      </c>
      <c r="B39" s="162">
        <f t="shared" ref="B39:B44" si="6">B38+1</f>
        <v>42969</v>
      </c>
      <c r="C39" s="12"/>
      <c r="D39" s="18"/>
      <c r="E39" s="17">
        <f t="shared" si="5"/>
        <v>0</v>
      </c>
      <c r="F39" s="143"/>
    </row>
    <row r="40" spans="1:6" s="43" customFormat="1" ht="15" customHeight="1" thickBot="1" x14ac:dyDescent="0.3">
      <c r="A40" s="25" t="s">
        <v>5</v>
      </c>
      <c r="B40" s="162">
        <f t="shared" si="6"/>
        <v>42970</v>
      </c>
      <c r="C40" s="12"/>
      <c r="D40" s="18"/>
      <c r="E40" s="17">
        <f t="shared" si="5"/>
        <v>0</v>
      </c>
      <c r="F40" s="143"/>
    </row>
    <row r="41" spans="1:6" s="43" customFormat="1" ht="15" customHeight="1" thickBot="1" x14ac:dyDescent="0.3">
      <c r="A41" s="25" t="s">
        <v>6</v>
      </c>
      <c r="B41" s="162">
        <f t="shared" si="6"/>
        <v>42971</v>
      </c>
      <c r="C41" s="12"/>
      <c r="D41" s="18"/>
      <c r="E41" s="17">
        <f t="shared" si="5"/>
        <v>0</v>
      </c>
      <c r="F41" s="143"/>
    </row>
    <row r="42" spans="1:6" s="43" customFormat="1" ht="15" customHeight="1" thickBot="1" x14ac:dyDescent="0.3">
      <c r="A42" s="25" t="s">
        <v>0</v>
      </c>
      <c r="B42" s="162">
        <f t="shared" si="6"/>
        <v>42972</v>
      </c>
      <c r="C42" s="12"/>
      <c r="D42" s="18"/>
      <c r="E42" s="17">
        <f t="shared" si="5"/>
        <v>0</v>
      </c>
      <c r="F42" s="143"/>
    </row>
    <row r="43" spans="1:6" s="43" customFormat="1" ht="15" customHeight="1" outlineLevel="1" thickBot="1" x14ac:dyDescent="0.3">
      <c r="A43" s="25" t="s">
        <v>1</v>
      </c>
      <c r="B43" s="162">
        <f t="shared" si="6"/>
        <v>42973</v>
      </c>
      <c r="C43" s="18"/>
      <c r="D43" s="18"/>
      <c r="E43" s="17">
        <f t="shared" si="5"/>
        <v>0</v>
      </c>
      <c r="F43" s="143"/>
    </row>
    <row r="44" spans="1:6" s="43" customFormat="1" ht="15" customHeight="1" outlineLevel="1" thickBot="1" x14ac:dyDescent="0.3">
      <c r="A44" s="25" t="s">
        <v>2</v>
      </c>
      <c r="B44" s="162">
        <f t="shared" si="6"/>
        <v>42974</v>
      </c>
      <c r="C44" s="21"/>
      <c r="D44" s="21"/>
      <c r="E44" s="59">
        <f t="shared" si="5"/>
        <v>0</v>
      </c>
      <c r="F44" s="143"/>
    </row>
    <row r="45" spans="1:6" s="43" customFormat="1" ht="15" customHeight="1" outlineLevel="1" thickBot="1" x14ac:dyDescent="0.3">
      <c r="A45" s="147" t="s">
        <v>20</v>
      </c>
      <c r="B45" s="709" t="s">
        <v>26</v>
      </c>
      <c r="C45" s="105">
        <f>SUM(C38:C44)</f>
        <v>0</v>
      </c>
      <c r="D45" s="105">
        <f>SUM(D38:D44)</f>
        <v>0</v>
      </c>
      <c r="E45" s="105">
        <f>SUM(E38:E44)</f>
        <v>0</v>
      </c>
    </row>
    <row r="46" spans="1:6" s="43" customFormat="1" ht="15" customHeight="1" outlineLevel="1" thickBot="1" x14ac:dyDescent="0.3">
      <c r="A46" s="102" t="s">
        <v>22</v>
      </c>
      <c r="B46" s="688"/>
      <c r="C46" s="103" t="e">
        <f>AVERAGE(C38:C44)</f>
        <v>#DIV/0!</v>
      </c>
      <c r="D46" s="103" t="e">
        <f>AVERAGE(D38:D44)</f>
        <v>#DIV/0!</v>
      </c>
      <c r="E46" s="103">
        <f>AVERAGE(E38:E44)</f>
        <v>0</v>
      </c>
    </row>
    <row r="47" spans="1:6" s="43" customFormat="1" ht="15" customHeight="1" thickBot="1" x14ac:dyDescent="0.3">
      <c r="A47" s="26" t="s">
        <v>19</v>
      </c>
      <c r="B47" s="688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21</v>
      </c>
      <c r="B48" s="689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61">
        <f>B44+1</f>
        <v>42975</v>
      </c>
      <c r="C49" s="47"/>
      <c r="D49" s="49"/>
      <c r="E49" s="17">
        <f t="shared" ref="E49:E55" si="7">SUM(C49:D49)</f>
        <v>0</v>
      </c>
      <c r="F49" s="143"/>
    </row>
    <row r="50" spans="1:6" s="43" customFormat="1" ht="15" customHeight="1" thickBot="1" x14ac:dyDescent="0.3">
      <c r="A50" s="139" t="s">
        <v>4</v>
      </c>
      <c r="B50" s="162">
        <f t="shared" ref="B50:B55" si="8">B49+1</f>
        <v>42976</v>
      </c>
      <c r="C50" s="12"/>
      <c r="D50" s="15"/>
      <c r="E50" s="17">
        <f t="shared" si="7"/>
        <v>0</v>
      </c>
      <c r="F50" s="143"/>
    </row>
    <row r="51" spans="1:6" s="43" customFormat="1" ht="13.5" customHeight="1" thickBot="1" x14ac:dyDescent="0.3">
      <c r="A51" s="139" t="s">
        <v>5</v>
      </c>
      <c r="B51" s="162">
        <f t="shared" si="8"/>
        <v>42977</v>
      </c>
      <c r="C51" s="12"/>
      <c r="D51" s="15"/>
      <c r="E51" s="17">
        <f t="shared" si="7"/>
        <v>0</v>
      </c>
      <c r="F51" s="143"/>
    </row>
    <row r="52" spans="1:6" s="43" customFormat="1" ht="15" customHeight="1" thickBot="1" x14ac:dyDescent="0.3">
      <c r="A52" s="139" t="s">
        <v>6</v>
      </c>
      <c r="B52" s="162">
        <f t="shared" si="8"/>
        <v>42978</v>
      </c>
      <c r="C52" s="12"/>
      <c r="D52" s="15"/>
      <c r="E52" s="17">
        <f t="shared" si="7"/>
        <v>0</v>
      </c>
      <c r="F52" s="143"/>
    </row>
    <row r="53" spans="1:6" s="43" customFormat="1" ht="14.25" thickBot="1" x14ac:dyDescent="0.3">
      <c r="A53" s="25" t="s">
        <v>0</v>
      </c>
      <c r="B53" s="164">
        <f t="shared" si="8"/>
        <v>42979</v>
      </c>
      <c r="C53" s="12"/>
      <c r="D53" s="15"/>
      <c r="E53" s="17">
        <f t="shared" si="7"/>
        <v>0</v>
      </c>
      <c r="F53" s="143"/>
    </row>
    <row r="54" spans="1:6" s="43" customFormat="1" ht="14.25" outlineLevel="1" thickBot="1" x14ac:dyDescent="0.3">
      <c r="A54" s="25" t="s">
        <v>1</v>
      </c>
      <c r="B54" s="164">
        <f t="shared" si="8"/>
        <v>42980</v>
      </c>
      <c r="C54" s="18"/>
      <c r="D54" s="18"/>
      <c r="E54" s="17">
        <f t="shared" si="7"/>
        <v>0</v>
      </c>
      <c r="F54" s="143"/>
    </row>
    <row r="55" spans="1:6" s="43" customFormat="1" ht="14.25" outlineLevel="1" thickBot="1" x14ac:dyDescent="0.3">
      <c r="A55" s="139" t="s">
        <v>2</v>
      </c>
      <c r="B55" s="164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7" t="s">
        <v>20</v>
      </c>
      <c r="B56" s="709" t="s">
        <v>27</v>
      </c>
      <c r="C56" s="105">
        <f>SUM(C49:C55)</f>
        <v>0</v>
      </c>
      <c r="D56" s="105">
        <f>SUM(D49:D55)</f>
        <v>0</v>
      </c>
      <c r="E56" s="108">
        <f>SUM(E49:E55)</f>
        <v>0</v>
      </c>
    </row>
    <row r="57" spans="1:6" s="43" customFormat="1" ht="15" customHeight="1" outlineLevel="1" thickBot="1" x14ac:dyDescent="0.3">
      <c r="A57" s="102" t="s">
        <v>22</v>
      </c>
      <c r="B57" s="688"/>
      <c r="C57" s="103" t="e">
        <f>AVERAGE(C49:C55)</f>
        <v>#DIV/0!</v>
      </c>
      <c r="D57" s="103" t="e">
        <f>AVERAGE(D49:D55)</f>
        <v>#DIV/0!</v>
      </c>
      <c r="E57" s="104">
        <f>AVERAGE(E49:E55)</f>
        <v>0</v>
      </c>
    </row>
    <row r="58" spans="1:6" s="43" customFormat="1" ht="15" customHeight="1" thickBot="1" x14ac:dyDescent="0.3">
      <c r="A58" s="26" t="s">
        <v>19</v>
      </c>
      <c r="B58" s="688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4.25" thickBot="1" x14ac:dyDescent="0.3">
      <c r="A59" s="26" t="s">
        <v>21</v>
      </c>
      <c r="B59" s="689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4.25" thickBot="1" x14ac:dyDescent="0.3">
      <c r="A60" s="139" t="s">
        <v>3</v>
      </c>
      <c r="B60" s="161">
        <f>B55+1</f>
        <v>42982</v>
      </c>
      <c r="C60" s="12"/>
      <c r="D60" s="12"/>
      <c r="E60" s="17">
        <f>SUM(C60:D60)</f>
        <v>0</v>
      </c>
    </row>
    <row r="61" spans="1:6" s="43" customFormat="1" ht="14.25" thickBot="1" x14ac:dyDescent="0.3">
      <c r="A61" s="139" t="s">
        <v>4</v>
      </c>
      <c r="B61" s="162">
        <f>B60+1</f>
        <v>42983</v>
      </c>
      <c r="C61" s="12"/>
      <c r="D61" s="18"/>
      <c r="E61" s="17"/>
    </row>
    <row r="62" spans="1:6" s="43" customFormat="1" ht="14.25" thickBot="1" x14ac:dyDescent="0.3">
      <c r="A62" s="139"/>
      <c r="B62" s="163"/>
      <c r="C62" s="12"/>
      <c r="D62" s="18"/>
      <c r="E62" s="17"/>
    </row>
    <row r="63" spans="1:6" s="43" customFormat="1" ht="14.25" thickBot="1" x14ac:dyDescent="0.3">
      <c r="A63" s="139"/>
      <c r="B63" s="163"/>
      <c r="C63" s="12"/>
      <c r="D63" s="18"/>
      <c r="E63" s="17"/>
    </row>
    <row r="64" spans="1:6" s="43" customFormat="1" ht="14.25" thickBot="1" x14ac:dyDescent="0.3">
      <c r="A64" s="25"/>
      <c r="B64" s="163"/>
      <c r="C64" s="12"/>
      <c r="D64" s="18"/>
      <c r="E64" s="17"/>
    </row>
    <row r="65" spans="1:6" s="43" customFormat="1" ht="14.25" thickBot="1" x14ac:dyDescent="0.3">
      <c r="A65" s="25"/>
      <c r="B65" s="163"/>
      <c r="C65" s="18"/>
      <c r="D65" s="18"/>
      <c r="E65" s="17"/>
    </row>
    <row r="66" spans="1:6" s="43" customFormat="1" ht="14.25" thickBot="1" x14ac:dyDescent="0.3">
      <c r="A66" s="25"/>
      <c r="B66" s="165"/>
      <c r="C66" s="21"/>
      <c r="D66" s="21"/>
      <c r="E66" s="59"/>
    </row>
    <row r="67" spans="1:6" s="43" customFormat="1" ht="14.25" thickBot="1" x14ac:dyDescent="0.3">
      <c r="A67" s="147" t="s">
        <v>20</v>
      </c>
      <c r="B67" s="709" t="s">
        <v>31</v>
      </c>
      <c r="C67" s="105">
        <f>SUM(C60:C66)</f>
        <v>0</v>
      </c>
      <c r="D67" s="105">
        <f>SUM(D60:D66)</f>
        <v>0</v>
      </c>
      <c r="E67" s="105">
        <f>SUM(E60:E66)</f>
        <v>0</v>
      </c>
    </row>
    <row r="68" spans="1:6" s="43" customFormat="1" ht="14.25" thickBot="1" x14ac:dyDescent="0.3">
      <c r="A68" s="102" t="s">
        <v>22</v>
      </c>
      <c r="B68" s="688"/>
      <c r="C68" s="103" t="e">
        <f>AVERAGE(C60:C66)</f>
        <v>#DIV/0!</v>
      </c>
      <c r="D68" s="103" t="e">
        <f>AVERAGE(D60:D66)</f>
        <v>#DIV/0!</v>
      </c>
      <c r="E68" s="103">
        <f>AVERAGE(E60:E66)</f>
        <v>0</v>
      </c>
    </row>
    <row r="69" spans="1:6" s="43" customFormat="1" ht="14.25" thickBot="1" x14ac:dyDescent="0.3">
      <c r="A69" s="26" t="s">
        <v>19</v>
      </c>
      <c r="B69" s="688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4.25" thickBot="1" x14ac:dyDescent="0.3">
      <c r="A70" s="26" t="s">
        <v>21</v>
      </c>
      <c r="B70" s="689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25">
      <c r="A71" s="4"/>
      <c r="B71" s="122"/>
      <c r="C71" s="46"/>
      <c r="D71" s="46"/>
      <c r="E71" s="46"/>
    </row>
    <row r="72" spans="1:6" s="43" customFormat="1" x14ac:dyDescent="0.25">
      <c r="B72" s="172"/>
      <c r="C72" s="36" t="s">
        <v>64</v>
      </c>
      <c r="D72" s="36" t="s">
        <v>8</v>
      </c>
      <c r="E72" s="712" t="s">
        <v>70</v>
      </c>
      <c r="F72" s="713"/>
    </row>
    <row r="73" spans="1:6" ht="25.5" x14ac:dyDescent="0.25">
      <c r="A73" s="11"/>
      <c r="B73" s="38" t="s">
        <v>29</v>
      </c>
      <c r="C73" s="173">
        <f>SUM(C58:C58, C47:C47, C36:C36, C25:C25, C14:C14, C69:C69)</f>
        <v>0</v>
      </c>
      <c r="D73" s="35">
        <f>SUM(D69:D69, D58:D58, D47:D47, D36:D36, D25:D25, D14:D14)</f>
        <v>0</v>
      </c>
      <c r="E73" s="193" t="s">
        <v>29</v>
      </c>
      <c r="F73" s="99">
        <f>SUM(E14, E25, E36, E47, E58, E69)</f>
        <v>0</v>
      </c>
    </row>
    <row r="74" spans="1:6" ht="25.5" x14ac:dyDescent="0.25">
      <c r="A74" s="11"/>
      <c r="B74" s="38" t="s">
        <v>28</v>
      </c>
      <c r="C74" s="173">
        <f>SUM(C56:C56, C45:C45, C34:C34, C23:C23, C12:C12, C67:C67)</f>
        <v>0</v>
      </c>
      <c r="D74" s="35">
        <f>SUM(D67:D67, D56:D56, D45:D45, D34:D34, D23:D23, D12:D12)</f>
        <v>0</v>
      </c>
      <c r="E74" s="193" t="s">
        <v>28</v>
      </c>
      <c r="F74" s="100">
        <f>SUM(E56, E45, E34, E23, E12, E67)</f>
        <v>0</v>
      </c>
    </row>
    <row r="75" spans="1:6" x14ac:dyDescent="0.25">
      <c r="C75" s="123"/>
      <c r="E75" s="193" t="s">
        <v>21</v>
      </c>
      <c r="F75" s="100">
        <f>AVERAGE(E14, E25, E36, E47, E58, E69)</f>
        <v>0</v>
      </c>
    </row>
    <row r="76" spans="1:6" x14ac:dyDescent="0.25">
      <c r="C76" s="123"/>
      <c r="E76" s="193" t="s">
        <v>58</v>
      </c>
      <c r="F76" s="99">
        <f>AVERAGE(E56, E45, E34, E23, E12, E67)</f>
        <v>0</v>
      </c>
    </row>
    <row r="78" spans="1:6" x14ac:dyDescent="0.25">
      <c r="C78" s="141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30DBD7-5CA7-45B5-B777-42BDA1ED5DF2}"/>
</file>

<file path=customXml/itemProps2.xml><?xml version="1.0" encoding="utf-8"?>
<ds:datastoreItem xmlns:ds="http://schemas.openxmlformats.org/officeDocument/2006/customXml" ds:itemID="{DB4ED178-1008-459D-9868-9BB768C5A5D5}"/>
</file>

<file path=customXml/itemProps3.xml><?xml version="1.0" encoding="utf-8"?>
<ds:datastoreItem xmlns:ds="http://schemas.openxmlformats.org/officeDocument/2006/customXml" ds:itemID="{105B48EA-00BF-4FFF-A5D5-8EA3548975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2020-09-09T14:43:55Z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