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20\"/>
    </mc:Choice>
  </mc:AlternateContent>
  <bookViews>
    <workbookView xWindow="0" yWindow="0" windowWidth="28800" windowHeight="1177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FC)'!$A$1:$N$71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Q18" i="6" l="1"/>
  <c r="Q13" i="6"/>
  <c r="W7" i="10" l="1"/>
  <c r="Y7" i="10"/>
  <c r="AA7" i="10"/>
  <c r="AB7" i="10"/>
  <c r="AC7" i="10"/>
  <c r="K56" i="6"/>
  <c r="B34" i="6"/>
  <c r="E34" i="6"/>
  <c r="K34" i="6"/>
  <c r="H34" i="6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W5" i="3"/>
  <c r="W7" i="3" s="1"/>
  <c r="W6" i="3"/>
  <c r="W8" i="3" s="1"/>
  <c r="J8" i="3"/>
  <c r="I8" i="3"/>
  <c r="I31" i="3"/>
  <c r="I42" i="3"/>
  <c r="I53" i="3"/>
  <c r="I64" i="3"/>
  <c r="J42" i="3"/>
  <c r="J51" i="3"/>
  <c r="J53" i="3"/>
  <c r="H53" i="3"/>
  <c r="I51" i="3"/>
  <c r="W53" i="3"/>
  <c r="W49" i="3"/>
  <c r="K62" i="6"/>
  <c r="C64" i="5"/>
  <c r="C53" i="5"/>
  <c r="C52" i="5"/>
  <c r="C42" i="5"/>
  <c r="C31" i="5"/>
  <c r="C20" i="5"/>
  <c r="I64" i="2"/>
  <c r="H64" i="2"/>
  <c r="I62" i="2"/>
  <c r="I79" i="2" s="1"/>
  <c r="H62" i="2"/>
  <c r="H79" i="2" s="1"/>
  <c r="L51" i="2"/>
  <c r="L53" i="2"/>
  <c r="I53" i="2"/>
  <c r="H53" i="2"/>
  <c r="L34" i="2"/>
  <c r="L33" i="2"/>
  <c r="L42" i="2" s="1"/>
  <c r="L37" i="2"/>
  <c r="I42" i="2"/>
  <c r="H42" i="2"/>
  <c r="I31" i="2"/>
  <c r="H31" i="2"/>
  <c r="I20" i="2"/>
  <c r="H20" i="2"/>
  <c r="H53" i="4"/>
  <c r="F53" i="4"/>
  <c r="F52" i="4"/>
  <c r="I4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H7" i="4"/>
  <c r="D7" i="4"/>
  <c r="I39" i="4"/>
  <c r="I38" i="4"/>
  <c r="I37" i="4"/>
  <c r="I36" i="4"/>
  <c r="I35" i="4"/>
  <c r="I34" i="4"/>
  <c r="I33" i="4"/>
  <c r="W50" i="3"/>
  <c r="W44" i="3"/>
  <c r="W48" i="3"/>
  <c r="W47" i="3"/>
  <c r="W46" i="3"/>
  <c r="W45" i="3"/>
  <c r="V53" i="3"/>
  <c r="U53" i="3"/>
  <c r="T53" i="3"/>
  <c r="S53" i="3"/>
  <c r="R53" i="3"/>
  <c r="Q53" i="3"/>
  <c r="P53" i="3"/>
  <c r="O53" i="3"/>
  <c r="N53" i="3"/>
  <c r="M53" i="3"/>
  <c r="L53" i="3"/>
  <c r="K53" i="3"/>
  <c r="G53" i="3"/>
  <c r="F53" i="3"/>
  <c r="E53" i="3"/>
  <c r="D53" i="3"/>
  <c r="C53" i="3"/>
  <c r="AM50" i="10"/>
  <c r="AM49" i="10"/>
  <c r="AM48" i="10"/>
  <c r="AM47" i="10"/>
  <c r="AM46" i="10"/>
  <c r="AM45" i="10"/>
  <c r="AM44" i="10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I7" i="4"/>
  <c r="C7" i="10"/>
  <c r="D7" i="10"/>
  <c r="F7" i="10"/>
  <c r="H7" i="10"/>
  <c r="AM7" i="10"/>
  <c r="AL7" i="10"/>
  <c r="AK7" i="10"/>
  <c r="AE7" i="10"/>
  <c r="U7" i="10"/>
  <c r="T7" i="10"/>
  <c r="J7" i="3"/>
  <c r="I7" i="3"/>
  <c r="K7" i="3"/>
  <c r="L7" i="3"/>
  <c r="M7" i="3"/>
  <c r="N7" i="3"/>
  <c r="O7" i="3"/>
  <c r="P7" i="3"/>
  <c r="Q7" i="3"/>
  <c r="R7" i="3"/>
  <c r="S7" i="3"/>
  <c r="T7" i="3"/>
  <c r="U7" i="3"/>
  <c r="V7" i="3"/>
  <c r="K8" i="3"/>
  <c r="L8" i="3"/>
  <c r="M8" i="3"/>
  <c r="N8" i="3"/>
  <c r="O8" i="3"/>
  <c r="P8" i="3"/>
  <c r="Q8" i="3"/>
  <c r="R8" i="3"/>
  <c r="S8" i="3"/>
  <c r="T8" i="3"/>
  <c r="U8" i="3"/>
  <c r="V8" i="3"/>
  <c r="H8" i="3"/>
  <c r="H7" i="3"/>
  <c r="AM5" i="10"/>
  <c r="AM6" i="10"/>
  <c r="AK51" i="10"/>
  <c r="AL51" i="10"/>
  <c r="W68" i="10" s="1"/>
  <c r="K50" i="6"/>
  <c r="AE51" i="10"/>
  <c r="Z51" i="10"/>
  <c r="AE42" i="10"/>
  <c r="AE40" i="10"/>
  <c r="Z42" i="10"/>
  <c r="Z40" i="10"/>
  <c r="H52" i="6"/>
  <c r="H22" i="6"/>
  <c r="N51" i="10"/>
  <c r="H54" i="6"/>
  <c r="E52" i="6"/>
  <c r="N50" i="6"/>
  <c r="H50" i="6"/>
  <c r="E50" i="6"/>
  <c r="B50" i="6"/>
  <c r="E54" i="6"/>
  <c r="K54" i="6"/>
  <c r="N54" i="6"/>
  <c r="B80" i="5"/>
  <c r="I8" i="4"/>
  <c r="AM40" i="10"/>
  <c r="AM29" i="10"/>
  <c r="AM18" i="10"/>
  <c r="C51" i="5"/>
  <c r="C40" i="5"/>
  <c r="C18" i="5"/>
  <c r="C29" i="5"/>
  <c r="C7" i="5"/>
  <c r="L20" i="2"/>
  <c r="L18" i="2"/>
  <c r="L44" i="2"/>
  <c r="I6" i="4"/>
  <c r="I5" i="4"/>
  <c r="I18" i="4"/>
  <c r="I29" i="4"/>
  <c r="I51" i="4"/>
  <c r="L36" i="2"/>
  <c r="I25" i="4"/>
  <c r="I22" i="4"/>
  <c r="I53" i="4"/>
  <c r="I46" i="4"/>
  <c r="I55" i="4"/>
  <c r="W37" i="3"/>
  <c r="W42" i="3"/>
  <c r="AM20" i="10"/>
  <c r="B12" i="6"/>
  <c r="AM25" i="10"/>
  <c r="AM37" i="10"/>
  <c r="AM42" i="10"/>
  <c r="AM16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T68" i="10" s="1"/>
  <c r="AE62" i="10"/>
  <c r="AF62" i="10"/>
  <c r="AG62" i="10"/>
  <c r="AH62" i="10"/>
  <c r="AI62" i="10"/>
  <c r="AJ62" i="10"/>
  <c r="AK62" i="10"/>
  <c r="AL62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N52" i="6" s="1"/>
  <c r="T64" i="10"/>
  <c r="U64" i="10"/>
  <c r="V64" i="10"/>
  <c r="W64" i="10"/>
  <c r="X64" i="10"/>
  <c r="Y64" i="10"/>
  <c r="Z64" i="10"/>
  <c r="AA64" i="10"/>
  <c r="AB64" i="10"/>
  <c r="AC64" i="10"/>
  <c r="S69" i="10" s="1"/>
  <c r="AD64" i="10"/>
  <c r="AE64" i="10"/>
  <c r="AF64" i="10"/>
  <c r="AG64" i="10"/>
  <c r="AH64" i="10"/>
  <c r="AI64" i="10"/>
  <c r="AJ64" i="10"/>
  <c r="AK64" i="10"/>
  <c r="AL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C62" i="10"/>
  <c r="C65" i="10"/>
  <c r="C64" i="10"/>
  <c r="C63" i="10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S68" i="10" s="1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C51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C29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19" i="10"/>
  <c r="C20" i="10"/>
  <c r="C18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N56" i="6" l="1"/>
  <c r="V69" i="10"/>
  <c r="V68" i="10"/>
  <c r="U68" i="10"/>
  <c r="U69" i="10"/>
  <c r="H69" i="3"/>
  <c r="K52" i="6"/>
  <c r="H80" i="2"/>
  <c r="I80" i="2"/>
  <c r="I40" i="4"/>
  <c r="AM52" i="10"/>
  <c r="AM51" i="10"/>
  <c r="AM53" i="10"/>
  <c r="K20" i="6"/>
  <c r="B52" i="6"/>
  <c r="E22" i="6"/>
  <c r="C69" i="4"/>
  <c r="E62" i="4"/>
  <c r="F62" i="4"/>
  <c r="E63" i="4"/>
  <c r="F63" i="4"/>
  <c r="E64" i="4"/>
  <c r="F64" i="4"/>
  <c r="E65" i="4"/>
  <c r="F65" i="4"/>
  <c r="E51" i="4"/>
  <c r="F51" i="4"/>
  <c r="C68" i="4" s="1"/>
  <c r="B22" i="14" s="1"/>
  <c r="E52" i="4"/>
  <c r="E53" i="4"/>
  <c r="K22" i="6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E21" i="4"/>
  <c r="F21" i="4"/>
  <c r="E7" i="4"/>
  <c r="F7" i="4"/>
  <c r="E8" i="4"/>
  <c r="F8" i="4"/>
  <c r="E9" i="4"/>
  <c r="F9" i="4"/>
  <c r="E10" i="4"/>
  <c r="F10" i="4"/>
  <c r="N62" i="6"/>
  <c r="E62" i="6"/>
  <c r="B62" i="6"/>
  <c r="J29" i="3"/>
  <c r="J30" i="3"/>
  <c r="J31" i="3"/>
  <c r="J32" i="3"/>
  <c r="J18" i="3"/>
  <c r="J19" i="3"/>
  <c r="J20" i="3"/>
  <c r="J21" i="3"/>
  <c r="AM8" i="10" l="1"/>
  <c r="W39" i="3"/>
  <c r="W35" i="3"/>
  <c r="W34" i="3"/>
  <c r="W33" i="3"/>
  <c r="W28" i="3"/>
  <c r="W27" i="3"/>
  <c r="W26" i="3"/>
  <c r="W24" i="3"/>
  <c r="W23" i="3"/>
  <c r="W22" i="3"/>
  <c r="W17" i="3"/>
  <c r="W16" i="3"/>
  <c r="W15" i="3"/>
  <c r="W14" i="3"/>
  <c r="W13" i="3"/>
  <c r="W12" i="3"/>
  <c r="W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W18" i="3" l="1"/>
  <c r="W20" i="3"/>
  <c r="C7" i="4"/>
  <c r="G7" i="4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W58" i="3" l="1"/>
  <c r="J65" i="3"/>
  <c r="J64" i="3"/>
  <c r="I69" i="3" s="1"/>
  <c r="J63" i="3"/>
  <c r="J62" i="3"/>
  <c r="I68" i="3" s="1"/>
  <c r="J54" i="3"/>
  <c r="J52" i="3"/>
  <c r="J43" i="3"/>
  <c r="J41" i="3"/>
  <c r="J40" i="3"/>
  <c r="I29" i="3" l="1"/>
  <c r="I30" i="3"/>
  <c r="I32" i="3"/>
  <c r="I18" i="3"/>
  <c r="I19" i="3"/>
  <c r="I20" i="3"/>
  <c r="I21" i="3"/>
  <c r="I65" i="3"/>
  <c r="I63" i="3"/>
  <c r="I62" i="3"/>
  <c r="H68" i="3" s="1"/>
  <c r="I54" i="3"/>
  <c r="I52" i="3"/>
  <c r="I43" i="3"/>
  <c r="H62" i="6"/>
  <c r="I41" i="3"/>
  <c r="I40" i="3"/>
  <c r="D65" i="4" l="1"/>
  <c r="V62" i="3" l="1"/>
  <c r="W56" i="3"/>
  <c r="W57" i="3"/>
  <c r="W59" i="3"/>
  <c r="W61" i="3"/>
  <c r="W55" i="3"/>
  <c r="W36" i="3"/>
  <c r="W38" i="3"/>
  <c r="W25" i="3"/>
  <c r="W64" i="3" l="1"/>
  <c r="W62" i="3"/>
  <c r="K4" i="6"/>
  <c r="W51" i="3"/>
  <c r="H4" i="6"/>
  <c r="W40" i="3"/>
  <c r="W43" i="3"/>
  <c r="W32" i="3"/>
  <c r="W30" i="3"/>
  <c r="W29" i="3"/>
  <c r="W31" i="3"/>
  <c r="W19" i="3"/>
  <c r="W41" i="3"/>
  <c r="B4" i="6"/>
  <c r="W54" i="3"/>
  <c r="W52" i="3"/>
  <c r="W21" i="3"/>
  <c r="D54" i="3"/>
  <c r="E54" i="3"/>
  <c r="F54" i="3"/>
  <c r="G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D52" i="3"/>
  <c r="E52" i="3"/>
  <c r="F52" i="3"/>
  <c r="G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D51" i="3"/>
  <c r="E51" i="3"/>
  <c r="F51" i="3"/>
  <c r="G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D43" i="3"/>
  <c r="E43" i="3"/>
  <c r="F43" i="3"/>
  <c r="G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K42" i="3"/>
  <c r="L42" i="3"/>
  <c r="M42" i="3"/>
  <c r="N42" i="3"/>
  <c r="O42" i="3"/>
  <c r="P42" i="3"/>
  <c r="Q42" i="3"/>
  <c r="R42" i="3"/>
  <c r="S42" i="3"/>
  <c r="T42" i="3"/>
  <c r="U42" i="3"/>
  <c r="V42" i="3"/>
  <c r="D41" i="3"/>
  <c r="E41" i="3"/>
  <c r="F41" i="3"/>
  <c r="G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D40" i="3"/>
  <c r="E40" i="3"/>
  <c r="F40" i="3"/>
  <c r="G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D32" i="3"/>
  <c r="E32" i="3"/>
  <c r="F32" i="3"/>
  <c r="G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D31" i="3"/>
  <c r="E31" i="3"/>
  <c r="F31" i="3"/>
  <c r="G31" i="3"/>
  <c r="H31" i="3"/>
  <c r="K31" i="3"/>
  <c r="L31" i="3"/>
  <c r="M31" i="3"/>
  <c r="N31" i="3"/>
  <c r="O31" i="3"/>
  <c r="P31" i="3"/>
  <c r="Q31" i="3"/>
  <c r="R31" i="3"/>
  <c r="S31" i="3"/>
  <c r="T31" i="3"/>
  <c r="U31" i="3"/>
  <c r="V31" i="3"/>
  <c r="D30" i="3"/>
  <c r="E30" i="3"/>
  <c r="F30" i="3"/>
  <c r="G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D29" i="3"/>
  <c r="E29" i="3"/>
  <c r="F29" i="3"/>
  <c r="G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D21" i="3"/>
  <c r="E21" i="3"/>
  <c r="F21" i="3"/>
  <c r="G21" i="3"/>
  <c r="H21" i="3"/>
  <c r="K21" i="3"/>
  <c r="L21" i="3"/>
  <c r="M21" i="3"/>
  <c r="N21" i="3"/>
  <c r="O21" i="3"/>
  <c r="P21" i="3"/>
  <c r="Q21" i="3"/>
  <c r="R21" i="3"/>
  <c r="S21" i="3"/>
  <c r="T21" i="3"/>
  <c r="U21" i="3"/>
  <c r="V21" i="3"/>
  <c r="D20" i="3"/>
  <c r="E20" i="3"/>
  <c r="F20" i="3"/>
  <c r="G20" i="3"/>
  <c r="H20" i="3"/>
  <c r="K20" i="3"/>
  <c r="L20" i="3"/>
  <c r="M20" i="3"/>
  <c r="N20" i="3"/>
  <c r="O20" i="3"/>
  <c r="P20" i="3"/>
  <c r="Q20" i="3"/>
  <c r="R20" i="3"/>
  <c r="S20" i="3"/>
  <c r="T20" i="3"/>
  <c r="U20" i="3"/>
  <c r="V20" i="3"/>
  <c r="D19" i="3"/>
  <c r="E19" i="3"/>
  <c r="F19" i="3"/>
  <c r="G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D18" i="3"/>
  <c r="E18" i="3"/>
  <c r="F18" i="3"/>
  <c r="G18" i="3"/>
  <c r="H18" i="3"/>
  <c r="K18" i="3"/>
  <c r="L18" i="3"/>
  <c r="M18" i="3"/>
  <c r="N18" i="3"/>
  <c r="O18" i="3"/>
  <c r="P18" i="3"/>
  <c r="Q18" i="3"/>
  <c r="R18" i="3"/>
  <c r="S18" i="3"/>
  <c r="T18" i="3"/>
  <c r="U18" i="3"/>
  <c r="V18" i="3"/>
  <c r="W65" i="3"/>
  <c r="V65" i="3"/>
  <c r="U65" i="3"/>
  <c r="T65" i="3"/>
  <c r="S65" i="3"/>
  <c r="R65" i="3"/>
  <c r="Q65" i="3"/>
  <c r="P65" i="3"/>
  <c r="O65" i="3"/>
  <c r="N4" i="6"/>
  <c r="V64" i="3"/>
  <c r="U64" i="3"/>
  <c r="T64" i="3"/>
  <c r="S64" i="3"/>
  <c r="R64" i="3"/>
  <c r="Q64" i="3"/>
  <c r="P64" i="3"/>
  <c r="O64" i="3"/>
  <c r="W63" i="3"/>
  <c r="V63" i="3"/>
  <c r="U63" i="3"/>
  <c r="T63" i="3"/>
  <c r="S63" i="3"/>
  <c r="R63" i="3"/>
  <c r="Q63" i="3"/>
  <c r="P63" i="3"/>
  <c r="O63" i="3"/>
  <c r="U62" i="3"/>
  <c r="T62" i="3"/>
  <c r="S62" i="3"/>
  <c r="R62" i="3"/>
  <c r="Q62" i="3"/>
  <c r="P62" i="3"/>
  <c r="O62" i="3"/>
  <c r="N69" i="3" l="1"/>
  <c r="N68" i="3"/>
  <c r="H24" i="6"/>
  <c r="E4" i="6"/>
  <c r="B22" i="6"/>
  <c r="G68" i="3"/>
  <c r="B24" i="14" s="1"/>
  <c r="B24" i="6"/>
  <c r="G69" i="3"/>
  <c r="N70" i="3"/>
  <c r="N71" i="3"/>
  <c r="K24" i="6"/>
  <c r="E24" i="6"/>
  <c r="N24" i="6"/>
  <c r="G51" i="2"/>
  <c r="G52" i="2"/>
  <c r="G53" i="2"/>
  <c r="G54" i="2"/>
  <c r="H54" i="2"/>
  <c r="B4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AM39" i="10" l="1"/>
  <c r="AM38" i="10"/>
  <c r="AM36" i="10"/>
  <c r="AM35" i="10"/>
  <c r="AM34" i="10"/>
  <c r="AM33" i="10"/>
  <c r="AM28" i="10"/>
  <c r="AM27" i="10"/>
  <c r="AM26" i="10"/>
  <c r="AM24" i="10"/>
  <c r="AM23" i="10"/>
  <c r="AM22" i="10"/>
  <c r="AM17" i="10"/>
  <c r="AM15" i="10"/>
  <c r="AM14" i="10"/>
  <c r="AM13" i="10"/>
  <c r="AM12" i="10"/>
  <c r="AM11" i="10"/>
  <c r="B14" i="14"/>
  <c r="AM55" i="10"/>
  <c r="AM62" i="10" s="1"/>
  <c r="E73" i="10" s="1"/>
  <c r="AM63" i="10" l="1"/>
  <c r="AM65" i="10"/>
  <c r="AM64" i="10"/>
  <c r="E74" i="10" s="1"/>
  <c r="AM21" i="10"/>
  <c r="AM19" i="10"/>
  <c r="AM41" i="10"/>
  <c r="AM43" i="10"/>
  <c r="AM31" i="10"/>
  <c r="AM30" i="10"/>
  <c r="AM32" i="10"/>
  <c r="C8" i="5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B40" i="14" s="1"/>
  <c r="C10" i="5"/>
  <c r="C9" i="5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L7" i="2" l="1"/>
  <c r="B60" i="6"/>
  <c r="F41" i="2" l="1"/>
  <c r="N66" i="6" l="1"/>
  <c r="N58" i="6"/>
  <c r="N44" i="6"/>
  <c r="N64" i="6"/>
  <c r="N72" i="6"/>
  <c r="N70" i="6"/>
  <c r="N68" i="6"/>
  <c r="N60" i="6"/>
  <c r="K66" i="6"/>
  <c r="K58" i="6"/>
  <c r="K64" i="6"/>
  <c r="K72" i="6"/>
  <c r="K70" i="6"/>
  <c r="K68" i="6"/>
  <c r="K60" i="6"/>
  <c r="H66" i="6"/>
  <c r="H58" i="6"/>
  <c r="H64" i="6"/>
  <c r="H72" i="6"/>
  <c r="H70" i="6"/>
  <c r="H68" i="6"/>
  <c r="H60" i="6"/>
  <c r="E66" i="6"/>
  <c r="E58" i="6"/>
  <c r="E64" i="6"/>
  <c r="E72" i="6"/>
  <c r="E70" i="6"/>
  <c r="E68" i="6"/>
  <c r="B58" i="6"/>
  <c r="B60" i="14" l="1"/>
  <c r="B56" i="6"/>
  <c r="B54" i="14"/>
  <c r="Q68" i="10"/>
  <c r="B70" i="14" s="1"/>
  <c r="M68" i="10"/>
  <c r="B62" i="14" s="1"/>
  <c r="B56" i="14"/>
  <c r="E68" i="10"/>
  <c r="N74" i="6"/>
  <c r="P68" i="10"/>
  <c r="B72" i="14" s="1"/>
  <c r="B58" i="14"/>
  <c r="B46" i="14"/>
  <c r="O68" i="10"/>
  <c r="B64" i="14" s="1"/>
  <c r="L68" i="10"/>
  <c r="B66" i="14" s="1"/>
  <c r="F68" i="10"/>
  <c r="B74" i="14" s="1"/>
  <c r="K68" i="10"/>
  <c r="R68" i="10"/>
  <c r="B68" i="14" s="1"/>
  <c r="N68" i="10"/>
  <c r="B48" i="14" s="1"/>
  <c r="C68" i="10"/>
  <c r="D68" i="10"/>
  <c r="B64" i="6"/>
  <c r="O69" i="10"/>
  <c r="E74" i="6"/>
  <c r="K74" i="6"/>
  <c r="B68" i="6"/>
  <c r="R69" i="10"/>
  <c r="N69" i="10"/>
  <c r="B72" i="6"/>
  <c r="P69" i="10"/>
  <c r="B70" i="6"/>
  <c r="Q69" i="10"/>
  <c r="M69" i="10"/>
  <c r="W69" i="10"/>
  <c r="B54" i="6"/>
  <c r="T69" i="10"/>
  <c r="B66" i="6"/>
  <c r="L69" i="10"/>
  <c r="K69" i="10"/>
  <c r="D69" i="10"/>
  <c r="B74" i="6"/>
  <c r="F69" i="10"/>
  <c r="H74" i="6"/>
  <c r="D65" i="2"/>
  <c r="E65" i="2"/>
  <c r="F65" i="2"/>
  <c r="G65" i="2"/>
  <c r="H65" i="2"/>
  <c r="I65" i="2"/>
  <c r="J65" i="2"/>
  <c r="K65" i="2"/>
  <c r="K64" i="2"/>
  <c r="N46" i="6" s="1"/>
  <c r="J64" i="2"/>
  <c r="N48" i="6"/>
  <c r="G64" i="2"/>
  <c r="N32" i="6" s="1"/>
  <c r="F64" i="2"/>
  <c r="N30" i="6" s="1"/>
  <c r="E64" i="2"/>
  <c r="D64" i="2"/>
  <c r="N28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K48" i="6"/>
  <c r="I54" i="2"/>
  <c r="K54" i="2"/>
  <c r="J54" i="2"/>
  <c r="K53" i="2"/>
  <c r="J53" i="2"/>
  <c r="J52" i="2"/>
  <c r="K52" i="2"/>
  <c r="F42" i="2"/>
  <c r="E42" i="2"/>
  <c r="D40" i="2"/>
  <c r="D54" i="2"/>
  <c r="D53" i="2"/>
  <c r="D52" i="2"/>
  <c r="D51" i="2"/>
  <c r="E54" i="2"/>
  <c r="E53" i="2"/>
  <c r="E52" i="2"/>
  <c r="F54" i="2"/>
  <c r="F53" i="2"/>
  <c r="F52" i="2"/>
  <c r="G42" i="2"/>
  <c r="G41" i="2"/>
  <c r="J18" i="2" l="1"/>
  <c r="C62" i="5"/>
  <c r="AM59" i="10"/>
  <c r="AM58" i="10"/>
  <c r="AM57" i="10"/>
  <c r="AM56" i="10"/>
  <c r="C73" i="5"/>
  <c r="B26" i="6"/>
  <c r="C75" i="5"/>
  <c r="D75" i="5" s="1"/>
  <c r="C63" i="5"/>
  <c r="C65" i="5"/>
  <c r="D73" i="5"/>
  <c r="C74" i="5"/>
  <c r="D74" i="5" s="1"/>
  <c r="C76" i="5"/>
  <c r="D76" i="5" s="1"/>
  <c r="AM60" i="10"/>
  <c r="E60" i="6"/>
  <c r="K18" i="2"/>
  <c r="L61" i="2"/>
  <c r="L60" i="2"/>
  <c r="L59" i="2"/>
  <c r="L58" i="2"/>
  <c r="L56" i="2"/>
  <c r="L55" i="2"/>
  <c r="L57" i="2"/>
  <c r="L49" i="2"/>
  <c r="L48" i="2"/>
  <c r="L47" i="2"/>
  <c r="L46" i="2"/>
  <c r="L45" i="2"/>
  <c r="L35" i="2"/>
  <c r="L28" i="2"/>
  <c r="L27" i="2"/>
  <c r="L26" i="2"/>
  <c r="L25" i="2"/>
  <c r="L24" i="2"/>
  <c r="L23" i="2"/>
  <c r="L22" i="2"/>
  <c r="L17" i="2"/>
  <c r="L16" i="2"/>
  <c r="L15" i="2"/>
  <c r="L14" i="2"/>
  <c r="L13" i="2"/>
  <c r="L11" i="2"/>
  <c r="K20" i="2"/>
  <c r="B46" i="6" s="1"/>
  <c r="J20" i="2"/>
  <c r="B48" i="6"/>
  <c r="I18" i="2"/>
  <c r="H18" i="2"/>
  <c r="G20" i="4"/>
  <c r="C20" i="4"/>
  <c r="I11" i="4"/>
  <c r="I12" i="4"/>
  <c r="I13" i="4"/>
  <c r="I14" i="4"/>
  <c r="I15" i="4"/>
  <c r="I16" i="4"/>
  <c r="I17" i="4"/>
  <c r="G18" i="4"/>
  <c r="C18" i="4"/>
  <c r="B44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C21" i="2"/>
  <c r="G21" i="4"/>
  <c r="H21" i="4"/>
  <c r="J40" i="2"/>
  <c r="K73" i="2"/>
  <c r="K74" i="2"/>
  <c r="K75" i="2"/>
  <c r="K76" i="2"/>
  <c r="I73" i="2"/>
  <c r="I74" i="2"/>
  <c r="I75" i="2"/>
  <c r="I76" i="2"/>
  <c r="K46" i="6"/>
  <c r="K40" i="2"/>
  <c r="K41" i="2"/>
  <c r="K42" i="2"/>
  <c r="H46" i="6" s="1"/>
  <c r="K43" i="2"/>
  <c r="I40" i="2"/>
  <c r="I41" i="2"/>
  <c r="H48" i="6"/>
  <c r="I43" i="2"/>
  <c r="K29" i="2"/>
  <c r="K30" i="2"/>
  <c r="K31" i="2"/>
  <c r="E46" i="6" s="1"/>
  <c r="K32" i="2"/>
  <c r="I29" i="2"/>
  <c r="I30" i="2"/>
  <c r="E48" i="6"/>
  <c r="I32" i="2"/>
  <c r="K21" i="2"/>
  <c r="K19" i="2"/>
  <c r="I21" i="2"/>
  <c r="I19" i="2"/>
  <c r="J29" i="2"/>
  <c r="J30" i="2"/>
  <c r="C62" i="4"/>
  <c r="D62" i="4"/>
  <c r="G62" i="4"/>
  <c r="H62" i="4"/>
  <c r="I61" i="4"/>
  <c r="I60" i="4"/>
  <c r="I59" i="4"/>
  <c r="I58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D53" i="4"/>
  <c r="C53" i="4"/>
  <c r="G42" i="4"/>
  <c r="C21" i="3"/>
  <c r="C20" i="3"/>
  <c r="C51" i="3"/>
  <c r="G68" i="10"/>
  <c r="B42" i="14" s="1"/>
  <c r="N42" i="6"/>
  <c r="N40" i="6"/>
  <c r="N34" i="6"/>
  <c r="N36" i="6"/>
  <c r="N38" i="6"/>
  <c r="I68" i="10"/>
  <c r="B38" i="14" s="1"/>
  <c r="C43" i="3"/>
  <c r="C42" i="3"/>
  <c r="K44" i="6"/>
  <c r="K42" i="6"/>
  <c r="K40" i="6"/>
  <c r="K38" i="6"/>
  <c r="K36" i="6"/>
  <c r="H44" i="6"/>
  <c r="H42" i="6"/>
  <c r="H40" i="6"/>
  <c r="H38" i="6"/>
  <c r="H36" i="6"/>
  <c r="H40" i="2"/>
  <c r="D42" i="4"/>
  <c r="C42" i="4"/>
  <c r="C31" i="3"/>
  <c r="C30" i="3"/>
  <c r="C29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B30" i="6" s="1"/>
  <c r="E20" i="2"/>
  <c r="D20" i="2"/>
  <c r="B28" i="6" s="1"/>
  <c r="E18" i="2"/>
  <c r="D18" i="2"/>
  <c r="E56" i="6"/>
  <c r="E44" i="6"/>
  <c r="E42" i="6"/>
  <c r="E40" i="6"/>
  <c r="E38" i="6"/>
  <c r="E36" i="6"/>
  <c r="J31" i="2"/>
  <c r="J32" i="2"/>
  <c r="H32" i="2"/>
  <c r="G32" i="2"/>
  <c r="G31" i="2"/>
  <c r="E32" i="6" s="1"/>
  <c r="F32" i="2"/>
  <c r="F31" i="2"/>
  <c r="E30" i="6" s="1"/>
  <c r="E31" i="2"/>
  <c r="E32" i="2"/>
  <c r="D32" i="2"/>
  <c r="D31" i="2"/>
  <c r="E28" i="6" s="1"/>
  <c r="D30" i="2"/>
  <c r="D29" i="2"/>
  <c r="J21" i="2"/>
  <c r="H21" i="2"/>
  <c r="F21" i="2"/>
  <c r="E21" i="2"/>
  <c r="D21" i="2"/>
  <c r="C32" i="10"/>
  <c r="K32" i="6"/>
  <c r="H32" i="6"/>
  <c r="G43" i="2"/>
  <c r="F19" i="2"/>
  <c r="G30" i="2"/>
  <c r="G29" i="2"/>
  <c r="J19" i="2"/>
  <c r="J41" i="2"/>
  <c r="J42" i="2"/>
  <c r="J43" i="2"/>
  <c r="J73" i="2"/>
  <c r="J74" i="2"/>
  <c r="J75" i="2"/>
  <c r="J76" i="2"/>
  <c r="H56" i="6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62" i="3"/>
  <c r="E68" i="3" s="1"/>
  <c r="H63" i="3"/>
  <c r="H64" i="3"/>
  <c r="H65" i="3"/>
  <c r="E62" i="3"/>
  <c r="E63" i="3"/>
  <c r="E64" i="3"/>
  <c r="E65" i="3"/>
  <c r="H19" i="2"/>
  <c r="D19" i="2"/>
  <c r="C19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58" i="4" s="1"/>
  <c r="B59" i="4" s="1"/>
  <c r="B60" i="4" s="1"/>
  <c r="B61" i="4" s="1"/>
  <c r="B22" i="5"/>
  <c r="B23" i="5" s="1"/>
  <c r="B24" i="5" s="1"/>
  <c r="B25" i="5" s="1"/>
  <c r="B26" i="5" s="1"/>
  <c r="B27" i="5" s="1"/>
  <c r="B28" i="5" s="1"/>
  <c r="B33" i="5" s="1"/>
  <c r="B34" i="5" s="1"/>
  <c r="B35" i="5" s="1"/>
  <c r="B36" i="5" s="1"/>
  <c r="B37" i="5" s="1"/>
  <c r="B38" i="5" s="1"/>
  <c r="B39" i="5" s="1"/>
  <c r="B44" i="5" s="1"/>
  <c r="B45" i="5" s="1"/>
  <c r="B46" i="5" s="1"/>
  <c r="B47" i="5" s="1"/>
  <c r="B48" i="5" s="1"/>
  <c r="B49" i="5" s="1"/>
  <c r="B50" i="5" s="1"/>
  <c r="B55" i="5" s="1"/>
  <c r="B56" i="5" s="1"/>
  <c r="B57" i="5" s="1"/>
  <c r="B58" i="5" s="1"/>
  <c r="B59" i="5" s="1"/>
  <c r="B60" i="5" s="1"/>
  <c r="B61" i="5" s="1"/>
  <c r="B66" i="5" s="1"/>
  <c r="B67" i="5" s="1"/>
  <c r="B68" i="5" s="1"/>
  <c r="B69" i="5" s="1"/>
  <c r="B70" i="5" s="1"/>
  <c r="B71" i="5" s="1"/>
  <c r="B72" i="5" s="1"/>
  <c r="B22" i="3"/>
  <c r="B23" i="3" s="1"/>
  <c r="B24" i="3" s="1"/>
  <c r="B25" i="3" s="1"/>
  <c r="B26" i="3" s="1"/>
  <c r="B27" i="3" s="1"/>
  <c r="B28" i="3" s="1"/>
  <c r="B33" i="3" s="1"/>
  <c r="B34" i="3" s="1"/>
  <c r="B35" i="3" s="1"/>
  <c r="B36" i="3" s="1"/>
  <c r="B37" i="3" s="1"/>
  <c r="B38" i="3" s="1"/>
  <c r="B39" i="3" s="1"/>
  <c r="B44" i="3" s="1"/>
  <c r="B45" i="3" s="1"/>
  <c r="B46" i="3" s="1"/>
  <c r="B47" i="3" s="1"/>
  <c r="B48" i="3" s="1"/>
  <c r="B49" i="3" s="1"/>
  <c r="B50" i="3" s="1"/>
  <c r="B55" i="3" s="1"/>
  <c r="B56" i="3" s="1"/>
  <c r="B57" i="3" s="1"/>
  <c r="B58" i="3" s="1"/>
  <c r="B59" i="3" s="1"/>
  <c r="B60" i="3" s="1"/>
  <c r="B61" i="3" s="1"/>
  <c r="D69" i="11"/>
  <c r="C64" i="3"/>
  <c r="D64" i="3"/>
  <c r="F75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2" i="3"/>
  <c r="D62" i="3"/>
  <c r="F73" i="2"/>
  <c r="C12" i="11"/>
  <c r="C67" i="11"/>
  <c r="C23" i="11"/>
  <c r="C34" i="11"/>
  <c r="C45" i="11"/>
  <c r="L67" i="2"/>
  <c r="L66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41" i="5"/>
  <c r="C43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K64" i="3"/>
  <c r="L64" i="3"/>
  <c r="M64" i="3"/>
  <c r="N64" i="3"/>
  <c r="K62" i="3"/>
  <c r="L62" i="3"/>
  <c r="M62" i="3"/>
  <c r="N62" i="3"/>
  <c r="C18" i="3"/>
  <c r="C40" i="3"/>
  <c r="G55" i="8"/>
  <c r="G56" i="8"/>
  <c r="G54" i="8"/>
  <c r="G10" i="8"/>
  <c r="B55" i="8"/>
  <c r="G33" i="8"/>
  <c r="G32" i="8"/>
  <c r="C54" i="3"/>
  <c r="C59" i="8"/>
  <c r="H29" i="2"/>
  <c r="C52" i="3"/>
  <c r="C37" i="8"/>
  <c r="C21" i="5"/>
  <c r="F74" i="2"/>
  <c r="F76" i="2"/>
  <c r="H41" i="2"/>
  <c r="H43" i="2"/>
  <c r="C54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H28" i="6" s="1"/>
  <c r="D43" i="2"/>
  <c r="K28" i="6"/>
  <c r="C19" i="3"/>
  <c r="D75" i="2"/>
  <c r="C32" i="5"/>
  <c r="C65" i="3"/>
  <c r="C63" i="3"/>
  <c r="C41" i="3"/>
  <c r="C32" i="3"/>
  <c r="D74" i="2"/>
  <c r="D73" i="2"/>
  <c r="D76" i="2"/>
  <c r="C30" i="5"/>
  <c r="N63" i="3"/>
  <c r="M63" i="3"/>
  <c r="L63" i="3"/>
  <c r="K63" i="3"/>
  <c r="G63" i="3"/>
  <c r="F63" i="3"/>
  <c r="D63" i="3"/>
  <c r="G62" i="3"/>
  <c r="F62" i="3"/>
  <c r="N65" i="3"/>
  <c r="M65" i="3"/>
  <c r="L65" i="3"/>
  <c r="K65" i="3"/>
  <c r="G65" i="3"/>
  <c r="F65" i="3"/>
  <c r="D65" i="3"/>
  <c r="G64" i="3"/>
  <c r="F64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B55" i="10" s="1"/>
  <c r="B56" i="10" s="1"/>
  <c r="B57" i="10" s="1"/>
  <c r="B58" i="10" s="1"/>
  <c r="B59" i="10" s="1"/>
  <c r="B6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B79" i="5" l="1"/>
  <c r="F80" i="5"/>
  <c r="E69" i="3"/>
  <c r="N22" i="6"/>
  <c r="L62" i="2"/>
  <c r="I62" i="4"/>
  <c r="I69" i="4" s="1"/>
  <c r="N18" i="6"/>
  <c r="AM54" i="10"/>
  <c r="K10" i="6"/>
  <c r="K26" i="6"/>
  <c r="F81" i="5"/>
  <c r="H10" i="6"/>
  <c r="H26" i="6"/>
  <c r="F82" i="5"/>
  <c r="E10" i="6"/>
  <c r="E26" i="6"/>
  <c r="K18" i="6"/>
  <c r="F69" i="3"/>
  <c r="F68" i="3"/>
  <c r="D69" i="3"/>
  <c r="E18" i="6"/>
  <c r="H18" i="6"/>
  <c r="B18" i="6"/>
  <c r="D68" i="3"/>
  <c r="N26" i="6"/>
  <c r="D69" i="4"/>
  <c r="D68" i="4"/>
  <c r="B69" i="4"/>
  <c r="B68" i="4"/>
  <c r="B61" i="10"/>
  <c r="N10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B58" i="2" s="1"/>
  <c r="B59" i="2" s="1"/>
  <c r="B60" i="2" s="1"/>
  <c r="B61" i="2" s="1"/>
  <c r="B66" i="2" s="1"/>
  <c r="B67" i="2" s="1"/>
  <c r="B68" i="2" s="1"/>
  <c r="B69" i="2" s="1"/>
  <c r="B70" i="2" s="1"/>
  <c r="B71" i="2" s="1"/>
  <c r="B72" i="2" s="1"/>
  <c r="N20" i="6"/>
  <c r="K79" i="2"/>
  <c r="H20" i="6"/>
  <c r="E20" i="6"/>
  <c r="H68" i="10"/>
  <c r="B44" i="14" s="1"/>
  <c r="E69" i="10"/>
  <c r="B10" i="14"/>
  <c r="D79" i="2"/>
  <c r="B30" i="14" s="1"/>
  <c r="B20" i="6"/>
  <c r="E79" i="2"/>
  <c r="B34" i="14" s="1"/>
  <c r="B52" i="14"/>
  <c r="J79" i="2"/>
  <c r="B10" i="6"/>
  <c r="B40" i="6"/>
  <c r="G69" i="10"/>
  <c r="E12" i="6"/>
  <c r="K12" i="6"/>
  <c r="B42" i="6"/>
  <c r="H69" i="10"/>
  <c r="C69" i="10"/>
  <c r="B38" i="6"/>
  <c r="J69" i="10"/>
  <c r="B36" i="6"/>
  <c r="I69" i="10"/>
  <c r="I64" i="4"/>
  <c r="N6" i="6" s="1"/>
  <c r="N12" i="6"/>
  <c r="I63" i="4"/>
  <c r="I65" i="4"/>
  <c r="I52" i="4"/>
  <c r="K6" i="6"/>
  <c r="I54" i="4"/>
  <c r="F79" i="5"/>
  <c r="I41" i="4"/>
  <c r="H6" i="6"/>
  <c r="I20" i="4"/>
  <c r="I21" i="4"/>
  <c r="I19" i="4"/>
  <c r="C79" i="2"/>
  <c r="L65" i="2"/>
  <c r="L73" i="2"/>
  <c r="L54" i="2"/>
  <c r="L52" i="2"/>
  <c r="L74" i="2"/>
  <c r="K8" i="6"/>
  <c r="J80" i="2"/>
  <c r="L76" i="2"/>
  <c r="L29" i="2"/>
  <c r="E80" i="2"/>
  <c r="L30" i="2"/>
  <c r="F80" i="2"/>
  <c r="L75" i="2"/>
  <c r="K80" i="2"/>
  <c r="D80" i="2"/>
  <c r="L31" i="2"/>
  <c r="E8" i="6" s="1"/>
  <c r="C80" i="2"/>
  <c r="L64" i="2"/>
  <c r="N8" i="6" s="1"/>
  <c r="L43" i="2"/>
  <c r="L32" i="2"/>
  <c r="H8" i="6"/>
  <c r="L63" i="2"/>
  <c r="L41" i="2"/>
  <c r="L40" i="2"/>
  <c r="I43" i="4"/>
  <c r="I30" i="4"/>
  <c r="I31" i="4"/>
  <c r="I32" i="4"/>
  <c r="K14" i="6" l="1"/>
  <c r="E76" i="6"/>
  <c r="B6" i="14"/>
  <c r="B6" i="6"/>
  <c r="I68" i="4"/>
  <c r="I71" i="4"/>
  <c r="E75" i="10"/>
  <c r="E76" i="10"/>
  <c r="I70" i="4"/>
  <c r="B20" i="14"/>
  <c r="B28" i="14"/>
  <c r="N76" i="6"/>
  <c r="N14" i="6"/>
  <c r="B50" i="14"/>
  <c r="B12" i="14"/>
  <c r="B26" i="14"/>
  <c r="H12" i="6"/>
  <c r="K76" i="6"/>
  <c r="H76" i="6"/>
  <c r="E6" i="6"/>
  <c r="E14" i="6" s="1"/>
  <c r="H14" i="6" l="1"/>
  <c r="F79" i="2"/>
  <c r="M80" i="2" l="1"/>
  <c r="B32" i="14"/>
  <c r="G19" i="2"/>
  <c r="G21" i="2"/>
  <c r="G18" i="2"/>
  <c r="G79" i="2" s="1"/>
  <c r="B36" i="14" s="1"/>
  <c r="G20" i="2"/>
  <c r="B32" i="6" s="1"/>
  <c r="B76" i="6" s="1"/>
  <c r="L12" i="2"/>
  <c r="L19" i="2" l="1"/>
  <c r="M82" i="2" s="1"/>
  <c r="L21" i="2"/>
  <c r="M81" i="2" s="1"/>
  <c r="B8" i="6"/>
  <c r="B14" i="6" s="1"/>
  <c r="B8" i="14"/>
  <c r="B16" i="14" s="1"/>
  <c r="G80" i="2"/>
  <c r="M79" i="2" s="1"/>
  <c r="Q22" i="6" s="1"/>
  <c r="Q28" i="6" s="1"/>
  <c r="B80" i="2" l="1"/>
  <c r="B79" i="2"/>
  <c r="B76" i="14"/>
</calcChain>
</file>

<file path=xl/sharedStrings.xml><?xml version="1.0" encoding="utf-8"?>
<sst xmlns="http://schemas.openxmlformats.org/spreadsheetml/2006/main" count="906" uniqueCount="131">
  <si>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</si>
  <si>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</si>
  <si>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</si>
  <si>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</si>
  <si>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</si>
  <si>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</si>
  <si>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</si>
  <si>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</si>
  <si>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</si>
  <si>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</si>
  <si>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</si>
  <si>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</si>
  <si>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</si>
  <si>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</si>
  <si>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</si>
  <si>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</si>
  <si>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</si>
  <si>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</si>
  <si>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</si>
  <si>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</si>
  <si>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</si>
  <si>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</si>
  <si>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</si>
  <si>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</si>
  <si>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</si>
  <si>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</si>
  <si>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</si>
  <si>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</si>
  <si>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</si>
  <si>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</si>
  <si>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</si>
  <si>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</si>
  <si>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</si>
  <si>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</si>
  <si>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</si>
  <si>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</si>
  <si>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</si>
  <si>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</si>
  <si>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</si>
  <si>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</si>
  <si>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</si>
  <si>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</si>
  <si>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</si>
  <si>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</si>
  <si>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</si>
  <si>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</si>
  <si>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</si>
  <si>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</si>
  <si>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</si>
  <si>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</si>
  <si>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</si>
  <si>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</si>
  <si>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</si>
  <si>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</si>
  <si>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</si>
  <si>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</si>
  <si>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</si>
  <si>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</si>
  <si>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</si>
  <si>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</si>
  <si>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</si>
  <si>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</si>
  <si>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</si>
  <si>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</si>
  <si>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</si>
  <si>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</si>
  <si>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</si>
  <si>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</si>
  <si>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</si>
  <si>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</si>
  <si>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</si>
  <si>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</si>
  <si>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</si>
  <si>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</si>
  <si>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</si>
  <si>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</si>
  <si>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</si>
  <si>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</si>
  <si>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</si>
  <si>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</si>
  <si>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</si>
  <si>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</si>
  <si>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</si>
  <si>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</si>
  <si>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</si>
  <si>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</si>
  <si>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</si>
  <si>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</si>
  <si>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</si>
  <si>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</si>
  <si>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</si>
  <si>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</si>
  <si>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</si>
  <si>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</si>
  <si>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</si>
  <si>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</si>
  <si>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</si>
  <si>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</si>
  <si>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</si>
  <si>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</si>
  <si>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</si>
  <si>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</si>
  <si>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</si>
  <si>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</si>
  <si>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</si>
  <si>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</si>
  <si>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</si>
  <si>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</si>
  <si>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</si>
  <si>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</si>
  <si>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</si>
  <si>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</si>
  <si>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</si>
  <si>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</si>
  <si>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</si>
  <si>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</si>
  <si>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</si>
  <si>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</si>
  <si>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</si>
  <si>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</si>
  <si>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</si>
  <si>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</si>
  <si>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</si>
  <si>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</si>
  <si>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8/3/2020--8/7/2020</t>
  </si>
  <si>
    <t>8/10/2020--8/14/2020</t>
  </si>
  <si>
    <t>8/17/2020--8/21/2020</t>
  </si>
  <si>
    <t>8/24/2020--8/28/2020</t>
  </si>
  <si>
    <t>Governors Island-Yankee Pier</t>
  </si>
  <si>
    <t>BMB-Governors Island Slip</t>
  </si>
  <si>
    <t>BMB Slip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</si>
</sst>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782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0" fontId="1" fillId="0" borderId="17" xfId="0" applyFont="1" applyFill="1" applyBorder="1" applyAlignment="1">
      <alignment horizontal="right" vertical="center" wrapText="1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164" fontId="1" fillId="0" borderId="25" xfId="0" applyNumberFormat="1" applyFont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164" fontId="19" fillId="0" borderId="48" xfId="0" applyNumberFormat="1" applyFont="1" applyFill="1" applyBorder="1" applyAlignment="1">
      <alignment horizontal="right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8" xfId="0" applyFont="1" applyFill="1" applyBorder="1" applyAlignment="1">
      <alignment horizontal="right" vertical="center" wrapText="1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0" fontId="1" fillId="0" borderId="40" xfId="0" applyFont="1" applyBorder="1"/>
    <xf numFmtId="0" fontId="1" fillId="0" borderId="8" xfId="0" applyFont="1" applyBorder="1"/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3" fontId="1" fillId="0" borderId="20" xfId="0" applyNumberFormat="1" applyFont="1" applyFill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0" fontId="1" fillId="0" borderId="37" xfId="0" applyFont="1" applyBorder="1"/>
    <xf numFmtId="0" fontId="1" fillId="0" borderId="18" xfId="0" applyFont="1" applyBorder="1"/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right" wrapText="1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1" fontId="1" fillId="0" borderId="43" xfId="0" applyNumberFormat="1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3" fontId="1" fillId="0" borderId="73" xfId="0" applyNumberFormat="1" applyFont="1" applyFill="1" applyBorder="1" applyAlignment="1">
      <alignment horizontal="right"/>
    </xf>
    <xf numFmtId="3" fontId="12" fillId="0" borderId="16" xfId="0" applyNumberFormat="1" applyFont="1" applyFill="1" applyBorder="1" applyAlignment="1">
      <alignment horizontal="right"/>
    </xf>
    <xf numFmtId="3" fontId="12" fillId="3" borderId="50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3" fillId="4" borderId="50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2" fillId="3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1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43" xfId="0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21" fillId="4" borderId="30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12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R12" sqref="R12:R22"/>
    </sheetView>
  </sheetViews>
  <sheetFormatPr defaultRowHeight="13.5" x14ac:dyDescent="0.25"/>
  <cols>
    <col min="1" max="1" width="26.5703125" style="96" bestFit="1" customWidth="1"/>
    <col min="2" max="2" width="8.85546875" style="96" customWidth="1"/>
    <col min="3" max="3" width="3.5703125" style="96" customWidth="1"/>
    <col min="4" max="4" width="26.5703125" style="96" bestFit="1" customWidth="1"/>
    <col min="5" max="5" width="8.28515625" style="96" bestFit="1" customWidth="1"/>
    <col min="6" max="6" width="3.7109375" style="96" customWidth="1"/>
    <col min="7" max="7" width="26.5703125" style="96" bestFit="1" customWidth="1"/>
    <col min="8" max="8" width="7.5703125" style="96" bestFit="1" customWidth="1"/>
    <col min="9" max="9" width="3.7109375" style="96" customWidth="1"/>
    <col min="10" max="10" width="26.5703125" style="96" bestFit="1" customWidth="1"/>
    <col min="11" max="11" width="11.140625" style="96" customWidth="1"/>
    <col min="12" max="12" width="3.7109375" style="96" customWidth="1"/>
    <col min="13" max="13" width="26.5703125" style="376" bestFit="1" customWidth="1"/>
    <col min="14" max="14" width="11.140625" style="376" customWidth="1"/>
    <col min="15" max="15" width="3.7109375" style="96" customWidth="1"/>
    <col min="16" max="16" width="36.5703125" style="96" bestFit="1" customWidth="1"/>
    <col min="17" max="17" width="9.140625" style="96" bestFit="1" customWidth="1"/>
    <col min="18" max="18" width="61.7109375" style="96" bestFit="1" customWidth="1"/>
    <col min="19" max="16384" width="9.140625" style="96"/>
  </cols>
  <sheetData>
    <row r="1" spans="1:17" x14ac:dyDescent="0.25">
      <c r="A1" s="599" t="s">
        <v>42</v>
      </c>
      <c r="B1" s="626"/>
      <c r="C1" s="80"/>
      <c r="D1" s="599" t="s">
        <v>42</v>
      </c>
      <c r="E1" s="626"/>
      <c r="F1" s="41"/>
      <c r="G1" s="599" t="s">
        <v>42</v>
      </c>
      <c r="H1" s="626"/>
      <c r="I1" s="81"/>
      <c r="J1" s="599" t="s">
        <v>42</v>
      </c>
      <c r="K1" s="626"/>
      <c r="L1" s="81"/>
      <c r="M1" s="599" t="s">
        <v>42</v>
      </c>
      <c r="N1" s="600"/>
    </row>
    <row r="2" spans="1:17" ht="15.75" customHeight="1" x14ac:dyDescent="0.25">
      <c r="A2" s="601" t="s">
        <v>124</v>
      </c>
      <c r="B2" s="627"/>
      <c r="C2" s="82"/>
      <c r="D2" s="601" t="s">
        <v>125</v>
      </c>
      <c r="E2" s="627"/>
      <c r="F2" s="82"/>
      <c r="G2" s="630" t="s">
        <v>126</v>
      </c>
      <c r="H2" s="631"/>
      <c r="I2" s="83"/>
      <c r="J2" s="630" t="s">
        <v>127</v>
      </c>
      <c r="K2" s="631"/>
      <c r="L2" s="81"/>
      <c r="M2" s="601">
        <v>44074</v>
      </c>
      <c r="N2" s="602"/>
    </row>
    <row r="3" spans="1:17" ht="14.25" thickBot="1" x14ac:dyDescent="0.3">
      <c r="A3" s="603" t="s">
        <v>43</v>
      </c>
      <c r="B3" s="628"/>
      <c r="C3" s="80"/>
      <c r="D3" s="603" t="s">
        <v>43</v>
      </c>
      <c r="E3" s="628"/>
      <c r="F3" s="81"/>
      <c r="G3" s="603" t="s">
        <v>43</v>
      </c>
      <c r="H3" s="628"/>
      <c r="I3" s="81"/>
      <c r="J3" s="603" t="s">
        <v>43</v>
      </c>
      <c r="K3" s="629"/>
      <c r="L3" s="81"/>
      <c r="M3" s="603" t="s">
        <v>43</v>
      </c>
      <c r="N3" s="604"/>
    </row>
    <row r="4" spans="1:17" s="97" customFormat="1" ht="12.95" customHeight="1" x14ac:dyDescent="0.25">
      <c r="A4" s="583" t="s">
        <v>44</v>
      </c>
      <c r="B4" s="581">
        <f>'NY Waterway-(Port Imperial FC)'!W20</f>
        <v>17735</v>
      </c>
      <c r="C4" s="7"/>
      <c r="D4" s="583" t="s">
        <v>44</v>
      </c>
      <c r="E4" s="581">
        <f>'NY Waterway-(Port Imperial FC)'!W31</f>
        <v>21096</v>
      </c>
      <c r="F4" s="84"/>
      <c r="G4" s="583" t="s">
        <v>44</v>
      </c>
      <c r="H4" s="581">
        <f>'NY Waterway-(Port Imperial FC)'!W42</f>
        <v>26618</v>
      </c>
      <c r="I4" s="84"/>
      <c r="J4" s="583" t="s">
        <v>44</v>
      </c>
      <c r="K4" s="581">
        <f>'NY Waterway-(Port Imperial FC)'!W53</f>
        <v>24335</v>
      </c>
      <c r="L4" s="84"/>
      <c r="M4" s="583" t="s">
        <v>44</v>
      </c>
      <c r="N4" s="581">
        <f>'NY Waterway-(Port Imperial FC)'!W64</f>
        <v>4609</v>
      </c>
    </row>
    <row r="5" spans="1:17" s="97" customFormat="1" ht="12.95" customHeight="1" thickBot="1" x14ac:dyDescent="0.3">
      <c r="A5" s="597"/>
      <c r="B5" s="582"/>
      <c r="C5" s="8"/>
      <c r="D5" s="597"/>
      <c r="E5" s="582"/>
      <c r="F5" s="84"/>
      <c r="G5" s="597"/>
      <c r="H5" s="598"/>
      <c r="I5" s="84"/>
      <c r="J5" s="597"/>
      <c r="K5" s="598"/>
      <c r="L5" s="84"/>
      <c r="M5" s="597"/>
      <c r="N5" s="598"/>
    </row>
    <row r="6" spans="1:17" s="97" customFormat="1" ht="12.95" customHeight="1" x14ac:dyDescent="0.25">
      <c r="A6" s="583" t="s">
        <v>45</v>
      </c>
      <c r="B6" s="581">
        <f>SUM(SeaStreak!I20)</f>
        <v>2972</v>
      </c>
      <c r="C6" s="7"/>
      <c r="D6" s="583" t="s">
        <v>45</v>
      </c>
      <c r="E6" s="581">
        <f>SUM(SeaStreak!I31)</f>
        <v>3637</v>
      </c>
      <c r="F6" s="84"/>
      <c r="G6" s="583" t="s">
        <v>45</v>
      </c>
      <c r="H6" s="581">
        <f>SUM(SeaStreak!I42)</f>
        <v>4097</v>
      </c>
      <c r="I6" s="84"/>
      <c r="J6" s="583" t="s">
        <v>45</v>
      </c>
      <c r="K6" s="581">
        <f>SUM(SeaStreak!I53)</f>
        <v>4012</v>
      </c>
      <c r="L6" s="84"/>
      <c r="M6" s="583" t="s">
        <v>45</v>
      </c>
      <c r="N6" s="581">
        <f>SeaStreak!I64</f>
        <v>756</v>
      </c>
    </row>
    <row r="7" spans="1:17" s="97" customFormat="1" ht="12.95" customHeight="1" thickBot="1" x14ac:dyDescent="0.3">
      <c r="A7" s="584"/>
      <c r="B7" s="582"/>
      <c r="C7" s="85"/>
      <c r="D7" s="584"/>
      <c r="E7" s="598"/>
      <c r="F7" s="84"/>
      <c r="G7" s="584"/>
      <c r="H7" s="598"/>
      <c r="I7" s="84"/>
      <c r="J7" s="584"/>
      <c r="K7" s="598"/>
      <c r="L7" s="84"/>
      <c r="M7" s="584"/>
      <c r="N7" s="598"/>
    </row>
    <row r="8" spans="1:17" s="97" customFormat="1" ht="12.95" customHeight="1" x14ac:dyDescent="0.25">
      <c r="A8" s="578" t="s">
        <v>46</v>
      </c>
      <c r="B8" s="581">
        <f>SUM('New York Water Taxi'!L20)</f>
        <v>1432</v>
      </c>
      <c r="C8" s="9"/>
      <c r="D8" s="578" t="s">
        <v>46</v>
      </c>
      <c r="E8" s="590">
        <f>SUM('New York Water Taxi'!L31)</f>
        <v>1671</v>
      </c>
      <c r="F8" s="84"/>
      <c r="G8" s="578" t="s">
        <v>46</v>
      </c>
      <c r="H8" s="590">
        <f>SUM('New York Water Taxi'!L42)</f>
        <v>1834</v>
      </c>
      <c r="I8" s="84"/>
      <c r="J8" s="578" t="s">
        <v>46</v>
      </c>
      <c r="K8" s="590">
        <f>SUM('New York Water Taxi'!L53)</f>
        <v>1688</v>
      </c>
      <c r="L8" s="84"/>
      <c r="M8" s="578" t="s">
        <v>46</v>
      </c>
      <c r="N8" s="590">
        <f>'New York Water Taxi'!L64</f>
        <v>316</v>
      </c>
    </row>
    <row r="9" spans="1:17" s="97" customFormat="1" ht="12.95" customHeight="1" thickBot="1" x14ac:dyDescent="0.3">
      <c r="A9" s="579"/>
      <c r="B9" s="582"/>
      <c r="C9" s="86"/>
      <c r="D9" s="579"/>
      <c r="E9" s="592"/>
      <c r="F9" s="84"/>
      <c r="G9" s="579"/>
      <c r="H9" s="591"/>
      <c r="I9" s="84"/>
      <c r="J9" s="579"/>
      <c r="K9" s="591"/>
      <c r="L9" s="84"/>
      <c r="M9" s="579"/>
      <c r="N9" s="591"/>
    </row>
    <row r="10" spans="1:17" s="97" customFormat="1" ht="12.95" customHeight="1" x14ac:dyDescent="0.25">
      <c r="A10" s="588" t="s">
        <v>32</v>
      </c>
      <c r="B10" s="581">
        <f>'Liberty Landing Ferry'!C20</f>
        <v>492</v>
      </c>
      <c r="C10" s="9"/>
      <c r="D10" s="588" t="s">
        <v>32</v>
      </c>
      <c r="E10" s="590">
        <f>'Liberty Landing Ferry'!C31</f>
        <v>584</v>
      </c>
      <c r="F10" s="84"/>
      <c r="G10" s="588" t="s">
        <v>32</v>
      </c>
      <c r="H10" s="590">
        <f>'Liberty Landing Ferry'!C42</f>
        <v>823</v>
      </c>
      <c r="I10" s="84"/>
      <c r="J10" s="588" t="s">
        <v>32</v>
      </c>
      <c r="K10" s="590">
        <f>'Liberty Landing Ferry'!C53</f>
        <v>826</v>
      </c>
      <c r="L10" s="84"/>
      <c r="M10" s="588" t="s">
        <v>32</v>
      </c>
      <c r="N10" s="590">
        <f>'Liberty Landing Ferry'!C64</f>
        <v>178</v>
      </c>
    </row>
    <row r="11" spans="1:17" s="97" customFormat="1" ht="12.95" customHeight="1" thickBot="1" x14ac:dyDescent="0.3">
      <c r="A11" s="589"/>
      <c r="B11" s="582"/>
      <c r="C11" s="86"/>
      <c r="D11" s="589"/>
      <c r="E11" s="592"/>
      <c r="F11" s="84"/>
      <c r="G11" s="589"/>
      <c r="H11" s="591"/>
      <c r="I11" s="84"/>
      <c r="J11" s="589"/>
      <c r="K11" s="591"/>
      <c r="L11" s="84"/>
      <c r="M11" s="589"/>
      <c r="N11" s="591"/>
    </row>
    <row r="12" spans="1:17" s="177" customFormat="1" ht="12.95" customHeight="1" thickBot="1" x14ac:dyDescent="0.3">
      <c r="A12" s="588" t="s">
        <v>68</v>
      </c>
      <c r="B12" s="590">
        <f>'NYC Ferry'!AM20</f>
        <v>50511</v>
      </c>
      <c r="C12" s="86"/>
      <c r="D12" s="588" t="s">
        <v>68</v>
      </c>
      <c r="E12" s="590">
        <f>'NYC Ferry'!AM31</f>
        <v>59759</v>
      </c>
      <c r="F12" s="176"/>
      <c r="G12" s="588" t="s">
        <v>68</v>
      </c>
      <c r="H12" s="590">
        <f>'NYC Ferry'!AM42</f>
        <v>72798</v>
      </c>
      <c r="I12" s="176"/>
      <c r="J12" s="588" t="s">
        <v>68</v>
      </c>
      <c r="K12" s="590">
        <f>'NYC Ferry'!AM53</f>
        <v>71633</v>
      </c>
      <c r="L12" s="176"/>
      <c r="M12" s="588" t="s">
        <v>68</v>
      </c>
      <c r="N12" s="590">
        <f>'NYC Ferry'!AM64</f>
        <v>11798</v>
      </c>
    </row>
    <row r="13" spans="1:17" s="177" customFormat="1" ht="12.95" customHeight="1" thickBot="1" x14ac:dyDescent="0.3">
      <c r="A13" s="589"/>
      <c r="B13" s="592"/>
      <c r="C13" s="86"/>
      <c r="D13" s="589"/>
      <c r="E13" s="592"/>
      <c r="F13" s="176"/>
      <c r="G13" s="589"/>
      <c r="H13" s="592"/>
      <c r="I13" s="176"/>
      <c r="J13" s="589"/>
      <c r="K13" s="592"/>
      <c r="L13" s="176"/>
      <c r="M13" s="589"/>
      <c r="N13" s="592"/>
      <c r="P13" s="593" t="s">
        <v>114</v>
      </c>
      <c r="Q13" s="572">
        <f>AVERAGE('NYC Ferry'!E76,'NY Waterway-(Port Imperial FC)'!N70,SeaStreak!I70,'New York Water Taxi'!M81,'Liberty Landing Ferry'!F81)</f>
        <v>3472.9119999999994</v>
      </c>
    </row>
    <row r="14" spans="1:17" s="88" customFormat="1" ht="12.95" customHeight="1" x14ac:dyDescent="0.2">
      <c r="A14" s="593" t="s">
        <v>18</v>
      </c>
      <c r="B14" s="572">
        <f>SUM(B4:B13)</f>
        <v>73142</v>
      </c>
      <c r="C14" s="10"/>
      <c r="D14" s="593" t="s">
        <v>18</v>
      </c>
      <c r="E14" s="572">
        <f>SUM(E4:E13)</f>
        <v>86747</v>
      </c>
      <c r="F14" s="87"/>
      <c r="G14" s="593" t="s">
        <v>18</v>
      </c>
      <c r="H14" s="572">
        <f>SUM(H4:H13)</f>
        <v>106170</v>
      </c>
      <c r="I14" s="87"/>
      <c r="J14" s="593" t="s">
        <v>18</v>
      </c>
      <c r="K14" s="572">
        <f>SUM(K4:K13)</f>
        <v>102494</v>
      </c>
      <c r="L14" s="87"/>
      <c r="M14" s="593" t="s">
        <v>18</v>
      </c>
      <c r="N14" s="572">
        <f>SUM(N4:N13)</f>
        <v>17657</v>
      </c>
      <c r="P14" s="605"/>
      <c r="Q14" s="607"/>
    </row>
    <row r="15" spans="1:17" s="88" customFormat="1" ht="12.95" customHeight="1" thickBot="1" x14ac:dyDescent="0.25">
      <c r="A15" s="594"/>
      <c r="B15" s="573"/>
      <c r="C15" s="89"/>
      <c r="D15" s="594"/>
      <c r="E15" s="573"/>
      <c r="F15" s="87"/>
      <c r="G15" s="594"/>
      <c r="H15" s="573"/>
      <c r="I15" s="87"/>
      <c r="J15" s="594"/>
      <c r="K15" s="573"/>
      <c r="L15" s="87"/>
      <c r="M15" s="594"/>
      <c r="N15" s="573"/>
      <c r="P15" s="605"/>
      <c r="Q15" s="607"/>
    </row>
    <row r="16" spans="1:17" s="97" customFormat="1" ht="14.25" thickBot="1" x14ac:dyDescent="0.3">
      <c r="A16" s="90"/>
      <c r="B16" s="91"/>
      <c r="C16" s="84"/>
      <c r="D16" s="90"/>
      <c r="E16" s="91"/>
      <c r="F16" s="84"/>
      <c r="G16" s="90"/>
      <c r="H16" s="91"/>
      <c r="I16" s="84"/>
      <c r="J16" s="92"/>
      <c r="K16" s="93"/>
      <c r="L16" s="84"/>
      <c r="M16" s="384"/>
      <c r="N16" s="385"/>
      <c r="P16" s="606"/>
      <c r="Q16" s="608"/>
    </row>
    <row r="17" spans="1:17" ht="14.25" thickBot="1" x14ac:dyDescent="0.3">
      <c r="A17" s="595" t="s">
        <v>47</v>
      </c>
      <c r="B17" s="624"/>
      <c r="C17" s="80"/>
      <c r="D17" s="595" t="s">
        <v>47</v>
      </c>
      <c r="E17" s="624"/>
      <c r="F17" s="81"/>
      <c r="G17" s="595" t="s">
        <v>47</v>
      </c>
      <c r="H17" s="624"/>
      <c r="I17" s="81"/>
      <c r="J17" s="595" t="s">
        <v>47</v>
      </c>
      <c r="K17" s="625"/>
      <c r="L17" s="81"/>
      <c r="M17" s="595" t="s">
        <v>47</v>
      </c>
      <c r="N17" s="596"/>
      <c r="P17" s="10"/>
      <c r="Q17" s="10"/>
    </row>
    <row r="18" spans="1:17" ht="12.95" customHeight="1" x14ac:dyDescent="0.25">
      <c r="A18" s="583" t="s">
        <v>10</v>
      </c>
      <c r="B18" s="581">
        <f>SUM('NY Waterway-(Port Imperial FC)'!C20:G20, 'New York Water Taxi'!J20:J20, SeaStreak!C20:D20,'NYC Ferry'!C20,'NYC Ferry'!J20,'NYC Ferry'!M20,'NYC Ferry'!T20,'NYC Ferry'!AA20,'NYC Ferry'!AF20,'NYC Ferry'!AK20)</f>
        <v>14490</v>
      </c>
      <c r="C18" s="7"/>
      <c r="D18" s="583" t="s">
        <v>10</v>
      </c>
      <c r="E18" s="581">
        <f>SUM('NY Waterway-(Port Imperial FC)'!C31:G31, 'New York Water Taxi'!J31:J31, SeaStreak!C31:D31,'NYC Ferry'!C31,'NYC Ferry'!J31,'NYC Ferry'!M31,'NYC Ferry'!T31,'NYC Ferry'!AA31,'NYC Ferry'!AF31,'NYC Ferry'!AK31)</f>
        <v>16819</v>
      </c>
      <c r="F18" s="81"/>
      <c r="G18" s="583" t="s">
        <v>10</v>
      </c>
      <c r="H18" s="581">
        <f>SUM('NY Waterway-(Port Imperial FC)'!C42:G42, 'New York Water Taxi'!J42:J42, SeaStreak!C42:D42,'NYC Ferry'!C42,'NYC Ferry'!J42,'NYC Ferry'!M42,'NYC Ferry'!T42,'NYC Ferry'!AA42,'NYC Ferry'!AF42,'NYC Ferry'!AK42)</f>
        <v>19160</v>
      </c>
      <c r="I18" s="81"/>
      <c r="J18" s="583" t="s">
        <v>10</v>
      </c>
      <c r="K18" s="581">
        <f>SUM('NY Waterway-(Port Imperial FC)'!C53:G53, 'New York Water Taxi'!J53:J53, SeaStreak!C53:D53,'NYC Ferry'!C53,'NYC Ferry'!J53,'NYC Ferry'!M53,'NYC Ferry'!T53,'NYC Ferry'!AA53,'NYC Ferry'!AF53,'NYC Ferry'!AK53)</f>
        <v>18504</v>
      </c>
      <c r="L18" s="81"/>
      <c r="M18" s="583" t="s">
        <v>10</v>
      </c>
      <c r="N18" s="581">
        <f>SUM('NY Waterway-(Port Imperial FC)'!C64:G64,'NYC Ferry'!C64,'NYC Ferry'!J64,'NYC Ferry'!M64,'NYC Ferry'!T64,'NYC Ferry'!AA64,'NYC Ferry'!AF64,'NYC Ferry'!AK64,'New York Water Taxi'!J64,SeaStreak!C64:D64)</f>
        <v>3000</v>
      </c>
      <c r="P18" s="609" t="s">
        <v>115</v>
      </c>
      <c r="Q18" s="612">
        <f>SUM('NYC Ferry'!E76,'NY Waterway-(Port Imperial FC)'!N70,SeaStreak!I70,'New York Water Taxi'!M81,'Liberty Landing Ferry'!F81)</f>
        <v>17364.559999999998</v>
      </c>
    </row>
    <row r="19" spans="1:17" ht="12.95" customHeight="1" thickBot="1" x14ac:dyDescent="0.3">
      <c r="A19" s="597"/>
      <c r="B19" s="598"/>
      <c r="C19" s="8"/>
      <c r="D19" s="597"/>
      <c r="E19" s="582"/>
      <c r="F19" s="81"/>
      <c r="G19" s="597"/>
      <c r="H19" s="582"/>
      <c r="I19" s="81"/>
      <c r="J19" s="597"/>
      <c r="K19" s="582"/>
      <c r="L19" s="81"/>
      <c r="M19" s="597"/>
      <c r="N19" s="598"/>
      <c r="P19" s="610"/>
      <c r="Q19" s="613"/>
    </row>
    <row r="20" spans="1:17" ht="12.95" customHeight="1" thickBot="1" x14ac:dyDescent="0.3">
      <c r="A20" s="583" t="s">
        <v>14</v>
      </c>
      <c r="B20" s="581">
        <f>SUM(SeaStreak!G20:H20,'New York Water Taxi'!H20,'NYC Ferry'!I20,'NYC Ferry'!V20,'NYC Ferry'!AB20,'NYC Ferry'!AI20)</f>
        <v>10744</v>
      </c>
      <c r="C20" s="7"/>
      <c r="D20" s="583" t="s">
        <v>14</v>
      </c>
      <c r="E20" s="581">
        <f>SUM(SeaStreak!G31:H31,'New York Water Taxi'!H31, 'NYC Ferry'!I31,'NYC Ferry'!V31,'NYC Ferry'!AB31,'NYC Ferry'!AI31)</f>
        <v>12626</v>
      </c>
      <c r="F20" s="81"/>
      <c r="G20" s="583" t="s">
        <v>14</v>
      </c>
      <c r="H20" s="581">
        <f>SUM(SeaStreak!G42:H42,'New York Water Taxi'!H42, 'NYC Ferry'!I42,'NYC Ferry'!V42,'NYC Ferry'!AB42,'NYC Ferry'!AI42)</f>
        <v>14694</v>
      </c>
      <c r="I20" s="81"/>
      <c r="J20" s="583" t="s">
        <v>14</v>
      </c>
      <c r="K20" s="581">
        <f>SUM(SeaStreak!G53:H53,'New York Water Taxi'!H53,'NYC Ferry'!I53,'NYC Ferry'!V53,'NYC Ferry'!AB53,'NYC Ferry'!AI53)</f>
        <v>13706</v>
      </c>
      <c r="L20" s="81"/>
      <c r="M20" s="583" t="s">
        <v>14</v>
      </c>
      <c r="N20" s="581">
        <f>SUM('NYC Ferry'!I64,'NYC Ferry'!V64,'NYC Ferry'!AB64,'NYC Ferry'!AI64,SeaStreak!G64:H64,'New York Water Taxi'!H64,)</f>
        <v>2599</v>
      </c>
      <c r="P20" s="611"/>
      <c r="Q20" s="614"/>
    </row>
    <row r="21" spans="1:17" ht="12.95" customHeight="1" thickBot="1" x14ac:dyDescent="0.3">
      <c r="A21" s="584"/>
      <c r="B21" s="598"/>
      <c r="C21" s="85"/>
      <c r="D21" s="584"/>
      <c r="E21" s="585"/>
      <c r="F21" s="81"/>
      <c r="G21" s="584"/>
      <c r="H21" s="585"/>
      <c r="I21" s="81"/>
      <c r="J21" s="584"/>
      <c r="K21" s="585"/>
      <c r="L21" s="81"/>
      <c r="M21" s="584"/>
      <c r="N21" s="585"/>
      <c r="P21" s="378"/>
      <c r="Q21" s="381"/>
    </row>
    <row r="22" spans="1:17" ht="12.95" customHeight="1" x14ac:dyDescent="0.25">
      <c r="A22" s="578" t="s">
        <v>64</v>
      </c>
      <c r="B22" s="581">
        <f xml:space="preserve"> 'NY Waterway-(Port Imperial FC)'!H20</f>
        <v>0</v>
      </c>
      <c r="C22" s="8"/>
      <c r="D22" s="578" t="s">
        <v>64</v>
      </c>
      <c r="E22" s="581">
        <f>SUM( 'NY Waterway-(Port Imperial FC)'!H20,SeaStreak!E31:F31)</f>
        <v>960</v>
      </c>
      <c r="F22" s="81"/>
      <c r="G22" s="578" t="s">
        <v>64</v>
      </c>
      <c r="H22" s="581">
        <f>SUM( 'NY Waterway-(Port Imperial FC)'!H31,SeaStreak!E42:F42)</f>
        <v>1742</v>
      </c>
      <c r="I22" s="81"/>
      <c r="J22" s="578" t="s">
        <v>64</v>
      </c>
      <c r="K22" s="581">
        <f>SUM('NY Waterway-(Port Imperial FC)'!H42,SeaStreak!E53:F53)</f>
        <v>1895</v>
      </c>
      <c r="L22" s="81"/>
      <c r="M22" s="578" t="s">
        <v>64</v>
      </c>
      <c r="N22" s="581">
        <f>SUM('NY Waterway-(Port Imperial FC)'!H64,SeaStreak!E64:F64)</f>
        <v>335</v>
      </c>
      <c r="P22" s="609" t="s">
        <v>116</v>
      </c>
      <c r="Q22" s="612">
        <f>SUM('NYC Ferry'!E74,'NY Waterway-(Port Imperial FC)'!N68,SeaStreak!I68,'New York Water Taxi'!M79,'Liberty Landing Ferry'!F79)</f>
        <v>386210</v>
      </c>
    </row>
    <row r="23" spans="1:17" ht="12.95" customHeight="1" thickBot="1" x14ac:dyDescent="0.3">
      <c r="A23" s="619"/>
      <c r="B23" s="598"/>
      <c r="C23" s="8"/>
      <c r="D23" s="619"/>
      <c r="E23" s="582"/>
      <c r="F23" s="81"/>
      <c r="G23" s="619"/>
      <c r="H23" s="582"/>
      <c r="I23" s="81"/>
      <c r="J23" s="619"/>
      <c r="K23" s="582"/>
      <c r="L23" s="81"/>
      <c r="M23" s="580"/>
      <c r="N23" s="582"/>
      <c r="P23" s="610"/>
      <c r="Q23" s="613"/>
    </row>
    <row r="24" spans="1:17" ht="12.95" customHeight="1" thickBot="1" x14ac:dyDescent="0.3">
      <c r="A24" s="578" t="s">
        <v>8</v>
      </c>
      <c r="B24" s="590">
        <f>SUM('NY Waterway-(Port Imperial FC)'!O20:V20)</f>
        <v>5884</v>
      </c>
      <c r="C24" s="9"/>
      <c r="D24" s="578" t="s">
        <v>8</v>
      </c>
      <c r="E24" s="590">
        <f>SUM('NY Waterway-(Port Imperial FC)'!O31:V31)</f>
        <v>6925</v>
      </c>
      <c r="F24" s="81"/>
      <c r="G24" s="578" t="s">
        <v>8</v>
      </c>
      <c r="H24" s="590">
        <f>SUM('NY Waterway-(Port Imperial FC)'!O42:V42)</f>
        <v>8256</v>
      </c>
      <c r="I24" s="81"/>
      <c r="J24" s="578" t="s">
        <v>8</v>
      </c>
      <c r="K24" s="590">
        <f>SUM('NY Waterway-(Port Imperial FC)'!O53:V53)</f>
        <v>7864</v>
      </c>
      <c r="L24" s="81"/>
      <c r="M24" s="578" t="s">
        <v>8</v>
      </c>
      <c r="N24" s="590">
        <f>SUM('NY Waterway-(Port Imperial FC)'!O64:V64)</f>
        <v>1538</v>
      </c>
      <c r="P24" s="611"/>
      <c r="Q24" s="614"/>
    </row>
    <row r="25" spans="1:17" ht="12.95" customHeight="1" thickBot="1" x14ac:dyDescent="0.3">
      <c r="A25" s="619"/>
      <c r="B25" s="591"/>
      <c r="C25" s="83"/>
      <c r="D25" s="619"/>
      <c r="E25" s="591"/>
      <c r="F25" s="81"/>
      <c r="G25" s="619"/>
      <c r="H25" s="618"/>
      <c r="I25" s="81"/>
      <c r="J25" s="619"/>
      <c r="K25" s="620"/>
      <c r="L25" s="81"/>
      <c r="M25" s="580"/>
      <c r="N25" s="618"/>
      <c r="P25" s="379"/>
      <c r="Q25" s="382"/>
    </row>
    <row r="26" spans="1:17" ht="12.95" customHeight="1" thickBot="1" x14ac:dyDescent="0.3">
      <c r="A26" s="578" t="s">
        <v>9</v>
      </c>
      <c r="B26" s="590">
        <f>SUM('NY Waterway-(Port Imperial FC)'!K20:N20, 'Liberty Landing Ferry'!C20, 'New York Water Taxi'!C20)</f>
        <v>3590</v>
      </c>
      <c r="C26" s="9"/>
      <c r="D26" s="578" t="s">
        <v>9</v>
      </c>
      <c r="E26" s="565">
        <f>SUM('NY Waterway-(Port Imperial FC)'!K31:N31, 'Liberty Landing Ferry'!C31, 'New York Water Taxi'!C31)</f>
        <v>4287</v>
      </c>
      <c r="F26" s="81"/>
      <c r="G26" s="578" t="s">
        <v>9</v>
      </c>
      <c r="H26" s="590">
        <f>SUM('NY Waterway-(Port Imperial FC)'!K42:N42, 'Liberty Landing Ferry'!C42, 'New York Water Taxi'!C42)</f>
        <v>4845</v>
      </c>
      <c r="I26" s="81"/>
      <c r="J26" s="578" t="s">
        <v>9</v>
      </c>
      <c r="K26" s="590">
        <f>SUM('NY Waterway-(Port Imperial FC)'!K53:N53, 'Liberty Landing Ferry'!C53, 'New York Water Taxi'!C53)</f>
        <v>4566</v>
      </c>
      <c r="L26" s="81"/>
      <c r="M26" s="578" t="s">
        <v>9</v>
      </c>
      <c r="N26" s="590">
        <f>SUM('NY Waterway-(Port Imperial FC)'!K64:N64,'Liberty Landing Ferry'!C64,'New York Water Taxi'!C64)</f>
        <v>918</v>
      </c>
      <c r="P26" s="380" t="s">
        <v>105</v>
      </c>
      <c r="Q26" s="383">
        <v>21</v>
      </c>
    </row>
    <row r="27" spans="1:17" ht="12.95" customHeight="1" thickBot="1" x14ac:dyDescent="0.3">
      <c r="A27" s="579"/>
      <c r="B27" s="591"/>
      <c r="C27" s="86"/>
      <c r="D27" s="579"/>
      <c r="E27" s="592"/>
      <c r="F27" s="81"/>
      <c r="G27" s="579"/>
      <c r="H27" s="592"/>
      <c r="I27" s="81"/>
      <c r="J27" s="579"/>
      <c r="K27" s="592"/>
      <c r="L27" s="81"/>
      <c r="M27" s="579"/>
      <c r="N27" s="592"/>
      <c r="P27" s="378"/>
      <c r="Q27" s="381"/>
    </row>
    <row r="28" spans="1:17" s="95" customFormat="1" ht="12.95" customHeight="1" x14ac:dyDescent="0.2">
      <c r="A28" s="578" t="s">
        <v>7</v>
      </c>
      <c r="B28" s="565">
        <f>SUM('New York Water Taxi'!D20)</f>
        <v>0</v>
      </c>
      <c r="C28" s="10"/>
      <c r="D28" s="578" t="s">
        <v>7</v>
      </c>
      <c r="E28" s="565">
        <f>SUM('New York Water Taxi'!D31)</f>
        <v>0</v>
      </c>
      <c r="F28" s="94"/>
      <c r="G28" s="578" t="s">
        <v>7</v>
      </c>
      <c r="H28" s="565">
        <f>SUM('New York Water Taxi'!D42)</f>
        <v>0</v>
      </c>
      <c r="I28" s="94"/>
      <c r="J28" s="578" t="s">
        <v>7</v>
      </c>
      <c r="K28" s="565">
        <f>SUM('New York Water Taxi'!D53)</f>
        <v>0</v>
      </c>
      <c r="L28" s="94"/>
      <c r="M28" s="578" t="s">
        <v>7</v>
      </c>
      <c r="N28" s="565">
        <f>SUM('New York Water Taxi'!D64)</f>
        <v>0</v>
      </c>
      <c r="P28" s="609" t="s">
        <v>106</v>
      </c>
      <c r="Q28" s="615">
        <f>Q22/Q26</f>
        <v>18390.952380952382</v>
      </c>
    </row>
    <row r="29" spans="1:17" s="95" customFormat="1" ht="12.95" customHeight="1" thickBot="1" x14ac:dyDescent="0.25">
      <c r="A29" s="579"/>
      <c r="B29" s="566"/>
      <c r="C29" s="89"/>
      <c r="D29" s="579"/>
      <c r="E29" s="586"/>
      <c r="F29" s="94"/>
      <c r="G29" s="579"/>
      <c r="H29" s="586"/>
      <c r="I29" s="94"/>
      <c r="J29" s="579"/>
      <c r="K29" s="586"/>
      <c r="L29" s="94"/>
      <c r="M29" s="579"/>
      <c r="N29" s="586"/>
      <c r="P29" s="610"/>
      <c r="Q29" s="616"/>
    </row>
    <row r="30" spans="1:17" ht="12.75" customHeight="1" thickBot="1" x14ac:dyDescent="0.3">
      <c r="A30" s="578" t="s">
        <v>92</v>
      </c>
      <c r="B30" s="565">
        <f>SUM('New York Water Taxi'!F20)</f>
        <v>0</v>
      </c>
      <c r="C30" s="81"/>
      <c r="D30" s="578" t="s">
        <v>92</v>
      </c>
      <c r="E30" s="565">
        <f>SUM('New York Water Taxi'!F31)</f>
        <v>0</v>
      </c>
      <c r="F30" s="81"/>
      <c r="G30" s="578" t="s">
        <v>92</v>
      </c>
      <c r="H30" s="565">
        <f>SUM('New York Water Taxi'!F42)</f>
        <v>0</v>
      </c>
      <c r="I30" s="81"/>
      <c r="J30" s="578" t="s">
        <v>92</v>
      </c>
      <c r="K30" s="565">
        <f>SUM('New York Water Taxi'!F53)</f>
        <v>0</v>
      </c>
      <c r="L30" s="81"/>
      <c r="M30" s="578" t="s">
        <v>92</v>
      </c>
      <c r="N30" s="565">
        <f>SUM('New York Water Taxi'!F64)</f>
        <v>0</v>
      </c>
      <c r="P30" s="611"/>
      <c r="Q30" s="617"/>
    </row>
    <row r="31" spans="1:17" ht="14.25" thickBot="1" x14ac:dyDescent="0.3">
      <c r="A31" s="579"/>
      <c r="B31" s="566"/>
      <c r="C31" s="81"/>
      <c r="D31" s="579"/>
      <c r="E31" s="622"/>
      <c r="F31" s="81"/>
      <c r="G31" s="579"/>
      <c r="H31" s="587"/>
      <c r="I31" s="81"/>
      <c r="J31" s="579"/>
      <c r="K31" s="622"/>
      <c r="L31" s="81"/>
      <c r="M31" s="579"/>
      <c r="N31" s="587"/>
    </row>
    <row r="32" spans="1:17" ht="12.75" customHeight="1" x14ac:dyDescent="0.25">
      <c r="A32" s="578" t="s">
        <v>89</v>
      </c>
      <c r="B32" s="565">
        <f>('New York Water Taxi'!G20)</f>
        <v>0</v>
      </c>
      <c r="C32" s="81"/>
      <c r="D32" s="578" t="s">
        <v>89</v>
      </c>
      <c r="E32" s="565">
        <f>'New York Water Taxi'!G31</f>
        <v>0</v>
      </c>
      <c r="F32" s="81"/>
      <c r="G32" s="578" t="s">
        <v>89</v>
      </c>
      <c r="H32" s="565">
        <f>'New York Water Taxi'!G42</f>
        <v>0</v>
      </c>
      <c r="I32" s="81"/>
      <c r="J32" s="578" t="s">
        <v>89</v>
      </c>
      <c r="K32" s="565">
        <f>'New York Water Taxi'!G53</f>
        <v>0</v>
      </c>
      <c r="L32" s="81"/>
      <c r="M32" s="578" t="s">
        <v>89</v>
      </c>
      <c r="N32" s="565">
        <f>SUM('New York Water Taxi'!G64)</f>
        <v>0</v>
      </c>
    </row>
    <row r="33" spans="1:14" ht="14.25" customHeight="1" thickBot="1" x14ac:dyDescent="0.3">
      <c r="A33" s="579"/>
      <c r="B33" s="566"/>
      <c r="C33" s="81"/>
      <c r="D33" s="579"/>
      <c r="E33" s="623"/>
      <c r="F33" s="81"/>
      <c r="G33" s="579"/>
      <c r="H33" s="576"/>
      <c r="I33" s="81"/>
      <c r="J33" s="579"/>
      <c r="K33" s="566"/>
      <c r="L33" s="81"/>
      <c r="M33" s="579"/>
      <c r="N33" s="566"/>
    </row>
    <row r="34" spans="1:14" x14ac:dyDescent="0.25">
      <c r="A34" s="568" t="s">
        <v>59</v>
      </c>
      <c r="B34" s="565">
        <f>SUM('NYC Ferry'!D20,'NYC Ferry'!N20,'New York Water Taxi'!E20)</f>
        <v>3247</v>
      </c>
      <c r="C34" s="81"/>
      <c r="D34" s="568" t="s">
        <v>59</v>
      </c>
      <c r="E34" s="565">
        <f>SUM('NYC Ferry'!D31,'NYC Ferry'!N31,'New York Water Taxi'!E31)</f>
        <v>3923</v>
      </c>
      <c r="F34" s="81"/>
      <c r="G34" s="568" t="s">
        <v>59</v>
      </c>
      <c r="H34" s="565">
        <f>SUM('NYC Ferry'!D42,'NYC Ferry'!N42,'New York Water Taxi'!E42)</f>
        <v>5337</v>
      </c>
      <c r="I34" s="81"/>
      <c r="J34" s="568" t="s">
        <v>59</v>
      </c>
      <c r="K34" s="565">
        <f>SUM('NYC Ferry'!D53,'NYC Ferry'!N53,'New York Water Taxi'!E53)</f>
        <v>4759</v>
      </c>
      <c r="L34" s="81"/>
      <c r="M34" s="568" t="s">
        <v>59</v>
      </c>
      <c r="N34" s="565">
        <f>SUM('NYC Ferry'!D64,'NYC Ferry'!N64,'New York Water Taxi'!E64)</f>
        <v>367</v>
      </c>
    </row>
    <row r="35" spans="1:14" ht="14.25" thickBot="1" x14ac:dyDescent="0.3">
      <c r="A35" s="569"/>
      <c r="B35" s="566"/>
      <c r="C35" s="81"/>
      <c r="D35" s="569"/>
      <c r="E35" s="566"/>
      <c r="F35" s="81"/>
      <c r="G35" s="569"/>
      <c r="H35" s="566"/>
      <c r="I35" s="81"/>
      <c r="J35" s="569"/>
      <c r="K35" s="566"/>
      <c r="L35" s="81"/>
      <c r="M35" s="569"/>
      <c r="N35" s="566"/>
    </row>
    <row r="36" spans="1:14" ht="12.75" customHeight="1" x14ac:dyDescent="0.25">
      <c r="A36" s="568" t="s">
        <v>60</v>
      </c>
      <c r="B36" s="565">
        <f>SUM('NYC Ferry'!E20)</f>
        <v>1262</v>
      </c>
      <c r="C36" s="81"/>
      <c r="D36" s="568" t="s">
        <v>60</v>
      </c>
      <c r="E36" s="565">
        <f>SUM('NYC Ferry'!E31)</f>
        <v>1537</v>
      </c>
      <c r="F36" s="81"/>
      <c r="G36" s="568" t="s">
        <v>60</v>
      </c>
      <c r="H36" s="565">
        <f>SUM('NYC Ferry'!E42)</f>
        <v>1785</v>
      </c>
      <c r="I36" s="81"/>
      <c r="J36" s="568" t="s">
        <v>60</v>
      </c>
      <c r="K36" s="565">
        <f>SUM('NYC Ferry'!E53)</f>
        <v>1811</v>
      </c>
      <c r="L36" s="81"/>
      <c r="M36" s="568" t="s">
        <v>60</v>
      </c>
      <c r="N36" s="565">
        <f>SUM('NYC Ferry'!E64)</f>
        <v>271</v>
      </c>
    </row>
    <row r="37" spans="1:14" ht="13.5" customHeight="1" thickBot="1" x14ac:dyDescent="0.3">
      <c r="A37" s="569"/>
      <c r="B37" s="566"/>
      <c r="C37" s="81"/>
      <c r="D37" s="569"/>
      <c r="E37" s="566"/>
      <c r="F37" s="81"/>
      <c r="G37" s="569"/>
      <c r="H37" s="566"/>
      <c r="I37" s="81"/>
      <c r="J37" s="569"/>
      <c r="K37" s="566"/>
      <c r="L37" s="81"/>
      <c r="M37" s="569"/>
      <c r="N37" s="566"/>
    </row>
    <row r="38" spans="1:14" ht="12.75" customHeight="1" x14ac:dyDescent="0.25">
      <c r="A38" s="568" t="s">
        <v>11</v>
      </c>
      <c r="B38" s="565">
        <f>SUM('NYC Ferry'!F20)</f>
        <v>2668</v>
      </c>
      <c r="C38" s="81"/>
      <c r="D38" s="568" t="s">
        <v>11</v>
      </c>
      <c r="E38" s="565">
        <f>SUM('NYC Ferry'!F31)</f>
        <v>2902</v>
      </c>
      <c r="F38" s="81"/>
      <c r="G38" s="568" t="s">
        <v>11</v>
      </c>
      <c r="H38" s="565">
        <f>SUM('NYC Ferry'!F42)</f>
        <v>3566</v>
      </c>
      <c r="I38" s="81"/>
      <c r="J38" s="568" t="s">
        <v>11</v>
      </c>
      <c r="K38" s="565">
        <f>SUM('NYC Ferry'!F53)</f>
        <v>3350</v>
      </c>
      <c r="L38" s="81"/>
      <c r="M38" s="568" t="s">
        <v>11</v>
      </c>
      <c r="N38" s="565">
        <f>SUM('NYC Ferry'!F64)</f>
        <v>592</v>
      </c>
    </row>
    <row r="39" spans="1:14" ht="13.5" customHeight="1" thickBot="1" x14ac:dyDescent="0.3">
      <c r="A39" s="569"/>
      <c r="B39" s="566"/>
      <c r="C39" s="81"/>
      <c r="D39" s="569"/>
      <c r="E39" s="566"/>
      <c r="F39" s="81"/>
      <c r="G39" s="569"/>
      <c r="H39" s="566"/>
      <c r="I39" s="81"/>
      <c r="J39" s="569"/>
      <c r="K39" s="566"/>
      <c r="L39" s="81"/>
      <c r="M39" s="569"/>
      <c r="N39" s="566"/>
    </row>
    <row r="40" spans="1:14" ht="12.75" customHeight="1" x14ac:dyDescent="0.25">
      <c r="A40" s="568" t="s">
        <v>12</v>
      </c>
      <c r="B40" s="565">
        <f>SUM('NYC Ferry'!G20)</f>
        <v>1600</v>
      </c>
      <c r="C40" s="81"/>
      <c r="D40" s="568" t="s">
        <v>12</v>
      </c>
      <c r="E40" s="565">
        <f>SUM('NYC Ferry'!G31)</f>
        <v>1805</v>
      </c>
      <c r="F40" s="81"/>
      <c r="G40" s="568" t="s">
        <v>12</v>
      </c>
      <c r="H40" s="565">
        <f>SUM('NYC Ferry'!G42)</f>
        <v>2153</v>
      </c>
      <c r="I40" s="81"/>
      <c r="J40" s="568" t="s">
        <v>12</v>
      </c>
      <c r="K40" s="565">
        <f>SUM('NYC Ferry'!G53)</f>
        <v>2209</v>
      </c>
      <c r="L40" s="81"/>
      <c r="M40" s="568" t="s">
        <v>12</v>
      </c>
      <c r="N40" s="565">
        <f>SUM('NYC Ferry'!G64)</f>
        <v>388</v>
      </c>
    </row>
    <row r="41" spans="1:14" ht="13.5" customHeight="1" thickBot="1" x14ac:dyDescent="0.3">
      <c r="A41" s="569"/>
      <c r="B41" s="566"/>
      <c r="C41" s="81"/>
      <c r="D41" s="569"/>
      <c r="E41" s="566"/>
      <c r="F41" s="81"/>
      <c r="G41" s="569"/>
      <c r="H41" s="566"/>
      <c r="I41" s="81"/>
      <c r="J41" s="569"/>
      <c r="K41" s="566"/>
      <c r="L41" s="81"/>
      <c r="M41" s="569"/>
      <c r="N41" s="566"/>
    </row>
    <row r="42" spans="1:14" ht="12.75" customHeight="1" x14ac:dyDescent="0.25">
      <c r="A42" s="568" t="s">
        <v>85</v>
      </c>
      <c r="B42" s="565">
        <f>SUM('NYC Ferry'!H20,)</f>
        <v>1864</v>
      </c>
      <c r="C42" s="81"/>
      <c r="D42" s="568" t="s">
        <v>85</v>
      </c>
      <c r="E42" s="565">
        <f>SUM('NYC Ferry'!H31)</f>
        <v>2114</v>
      </c>
      <c r="F42" s="81"/>
      <c r="G42" s="568" t="s">
        <v>85</v>
      </c>
      <c r="H42" s="565">
        <f>SUM('NYC Ferry'!H42)</f>
        <v>2824</v>
      </c>
      <c r="I42" s="81"/>
      <c r="J42" s="568" t="s">
        <v>85</v>
      </c>
      <c r="K42" s="565">
        <f>SUM('NYC Ferry'!H53)</f>
        <v>2618</v>
      </c>
      <c r="L42" s="81"/>
      <c r="M42" s="568" t="s">
        <v>85</v>
      </c>
      <c r="N42" s="565">
        <f>SUM('NYC Ferry'!H64,)</f>
        <v>494</v>
      </c>
    </row>
    <row r="43" spans="1:14" ht="13.5" customHeight="1" thickBot="1" x14ac:dyDescent="0.3">
      <c r="A43" s="569"/>
      <c r="B43" s="566"/>
      <c r="C43" s="81"/>
      <c r="D43" s="569"/>
      <c r="E43" s="566"/>
      <c r="F43" s="81"/>
      <c r="G43" s="569"/>
      <c r="H43" s="566"/>
      <c r="I43" s="81"/>
      <c r="J43" s="569"/>
      <c r="K43" s="566"/>
      <c r="L43" s="81"/>
      <c r="M43" s="569"/>
      <c r="N43" s="566"/>
    </row>
    <row r="44" spans="1:14" ht="12.75" customHeight="1" x14ac:dyDescent="0.25">
      <c r="A44" s="568" t="s">
        <v>73</v>
      </c>
      <c r="B44" s="565">
        <f>SUM('NYC Ferry'!P20)</f>
        <v>450</v>
      </c>
      <c r="C44" s="81"/>
      <c r="D44" s="568" t="s">
        <v>73</v>
      </c>
      <c r="E44" s="565">
        <f>SUM('NYC Ferry'!P31)</f>
        <v>537</v>
      </c>
      <c r="F44" s="81"/>
      <c r="G44" s="568" t="s">
        <v>73</v>
      </c>
      <c r="H44" s="565">
        <f>SUM('NYC Ferry'!P42)</f>
        <v>642</v>
      </c>
      <c r="I44" s="81"/>
      <c r="J44" s="568" t="s">
        <v>73</v>
      </c>
      <c r="K44" s="565">
        <f>SUM('NYC Ferry'!P53)</f>
        <v>589</v>
      </c>
      <c r="L44" s="81"/>
      <c r="M44" s="568" t="s">
        <v>73</v>
      </c>
      <c r="N44" s="565">
        <f>SUM('NYC Ferry'!P64)</f>
        <v>119</v>
      </c>
    </row>
    <row r="45" spans="1:14" ht="13.5" customHeight="1" thickBot="1" x14ac:dyDescent="0.3">
      <c r="A45" s="569"/>
      <c r="B45" s="566"/>
      <c r="C45" s="81"/>
      <c r="D45" s="569"/>
      <c r="E45" s="566"/>
      <c r="F45" s="81"/>
      <c r="G45" s="569"/>
      <c r="H45" s="566"/>
      <c r="I45" s="81"/>
      <c r="J45" s="569"/>
      <c r="K45" s="566"/>
      <c r="L45" s="81"/>
      <c r="M45" s="569"/>
      <c r="N45" s="566"/>
    </row>
    <row r="46" spans="1:14" ht="13.5" customHeight="1" x14ac:dyDescent="0.25">
      <c r="A46" s="568" t="s">
        <v>98</v>
      </c>
      <c r="B46" s="565">
        <f>'New York Water Taxi'!K20</f>
        <v>0</v>
      </c>
      <c r="C46" s="81"/>
      <c r="D46" s="568" t="s">
        <v>98</v>
      </c>
      <c r="E46" s="565">
        <f>'New York Water Taxi'!K31</f>
        <v>0</v>
      </c>
      <c r="F46" s="81"/>
      <c r="G46" s="568" t="s">
        <v>98</v>
      </c>
      <c r="H46" s="565">
        <f>SUM('New York Water Taxi'!K42)</f>
        <v>0</v>
      </c>
      <c r="I46" s="81"/>
      <c r="J46" s="568" t="s">
        <v>98</v>
      </c>
      <c r="K46" s="565">
        <f>'New York Water Taxi'!K53</f>
        <v>0</v>
      </c>
      <c r="L46" s="81"/>
      <c r="M46" s="568" t="s">
        <v>98</v>
      </c>
      <c r="N46" s="565">
        <f>SUM('New York Water Taxi'!K64)</f>
        <v>0</v>
      </c>
    </row>
    <row r="47" spans="1:14" ht="13.5" customHeight="1" thickBot="1" x14ac:dyDescent="0.3">
      <c r="A47" s="569"/>
      <c r="B47" s="566"/>
      <c r="C47" s="81"/>
      <c r="D47" s="569"/>
      <c r="E47" s="566"/>
      <c r="F47" s="81"/>
      <c r="G47" s="569"/>
      <c r="H47" s="567"/>
      <c r="I47" s="81"/>
      <c r="J47" s="569"/>
      <c r="K47" s="567"/>
      <c r="L47" s="81"/>
      <c r="M47" s="569"/>
      <c r="N47" s="567"/>
    </row>
    <row r="48" spans="1:14" ht="13.5" customHeight="1" x14ac:dyDescent="0.25">
      <c r="A48" s="577" t="s">
        <v>104</v>
      </c>
      <c r="B48" s="565">
        <f>SUM('NYC Ferry'!K20,'NYC Ferry'!Q20,'New York Water Taxi'!I20)</f>
        <v>2399</v>
      </c>
      <c r="C48" s="81"/>
      <c r="D48" s="577" t="s">
        <v>104</v>
      </c>
      <c r="E48" s="565">
        <f>SUM('NYC Ferry'!K31,'NYC Ferry'!Q31,'New York Water Taxi'!I31)</f>
        <v>2609</v>
      </c>
      <c r="F48" s="81"/>
      <c r="G48" s="577" t="s">
        <v>104</v>
      </c>
      <c r="H48" s="565">
        <f>SUM('NYC Ferry'!K42,'NYC Ferry'!Q42,'New York Water Taxi'!I42)</f>
        <v>3000</v>
      </c>
      <c r="I48" s="81"/>
      <c r="J48" s="577" t="s">
        <v>104</v>
      </c>
      <c r="K48" s="565">
        <f>SUM('NYC Ferry'!K53,'NYC Ferry'!Q53,'New York Water Taxi'!I53)</f>
        <v>3375</v>
      </c>
      <c r="L48" s="81"/>
      <c r="M48" s="577" t="s">
        <v>104</v>
      </c>
      <c r="N48" s="565">
        <f>SUM('NYC Ferry'!K64,'NYC Ferry'!Q64,'New York Water Taxi'!I64)</f>
        <v>533</v>
      </c>
    </row>
    <row r="49" spans="1:14" ht="13.5" customHeight="1" thickBot="1" x14ac:dyDescent="0.3">
      <c r="A49" s="564"/>
      <c r="B49" s="566"/>
      <c r="C49" s="81"/>
      <c r="D49" s="564"/>
      <c r="E49" s="566"/>
      <c r="F49" s="81"/>
      <c r="G49" s="564"/>
      <c r="H49" s="576"/>
      <c r="I49" s="81"/>
      <c r="J49" s="564"/>
      <c r="K49" s="576"/>
      <c r="L49" s="81"/>
      <c r="M49" s="564"/>
      <c r="N49" s="576"/>
    </row>
    <row r="50" spans="1:14" ht="13.5" customHeight="1" x14ac:dyDescent="0.25">
      <c r="A50" s="568" t="s">
        <v>79</v>
      </c>
      <c r="B50" s="565">
        <f>SUM('NYC Ferry'!AH20,'NYC Ferry'!AE20)</f>
        <v>654</v>
      </c>
      <c r="C50" s="81"/>
      <c r="D50" s="568" t="s">
        <v>79</v>
      </c>
      <c r="E50" s="565">
        <f>SUM('NYC Ferry'!AH31,'NYC Ferry'!AE31,)</f>
        <v>774</v>
      </c>
      <c r="F50" s="81"/>
      <c r="G50" s="568" t="s">
        <v>79</v>
      </c>
      <c r="H50" s="575">
        <f>SUM('NYC Ferry'!AH42,'NYC Ferry'!AE42)</f>
        <v>855</v>
      </c>
      <c r="I50" s="81"/>
      <c r="J50" s="568" t="s">
        <v>79</v>
      </c>
      <c r="K50" s="575">
        <f>SUM('NYC Ferry'!AH53,'NYC Ferry'!AE53,)</f>
        <v>851</v>
      </c>
      <c r="L50" s="81"/>
      <c r="M50" s="568" t="s">
        <v>79</v>
      </c>
      <c r="N50" s="575">
        <f>SUM('NYC Ferry'!AH64,'NYC Ferry'!AE64,)</f>
        <v>164</v>
      </c>
    </row>
    <row r="51" spans="1:14" ht="13.5" customHeight="1" thickBot="1" x14ac:dyDescent="0.3">
      <c r="A51" s="569"/>
      <c r="B51" s="566"/>
      <c r="C51" s="81"/>
      <c r="D51" s="569"/>
      <c r="E51" s="566"/>
      <c r="F51" s="81"/>
      <c r="G51" s="569"/>
      <c r="H51" s="576"/>
      <c r="I51" s="81"/>
      <c r="J51" s="569"/>
      <c r="K51" s="576"/>
      <c r="L51" s="81"/>
      <c r="M51" s="569"/>
      <c r="N51" s="576"/>
    </row>
    <row r="52" spans="1:14" ht="13.5" customHeight="1" x14ac:dyDescent="0.25">
      <c r="A52" s="568" t="s">
        <v>80</v>
      </c>
      <c r="B52" s="565">
        <f>SUM('NYC Ferry'!AG20,'NYC Ferry'!S20,)</f>
        <v>370</v>
      </c>
      <c r="C52" s="81"/>
      <c r="D52" s="568" t="s">
        <v>80</v>
      </c>
      <c r="E52" s="565">
        <f>SUM('NYC Ferry'!AG31,'NYC Ferry'!S31,)</f>
        <v>486</v>
      </c>
      <c r="F52" s="81"/>
      <c r="G52" s="568" t="s">
        <v>80</v>
      </c>
      <c r="H52" s="575">
        <f>SUM('NYC Ferry'!AG42,'NYC Ferry'!S42,)</f>
        <v>592</v>
      </c>
      <c r="I52" s="81"/>
      <c r="J52" s="568" t="s">
        <v>80</v>
      </c>
      <c r="K52" s="575">
        <f>SUM('NYC Ferry'!AG53,'NYC Ferry'!S53,)</f>
        <v>474</v>
      </c>
      <c r="L52" s="81"/>
      <c r="M52" s="568" t="s">
        <v>80</v>
      </c>
      <c r="N52" s="575">
        <f>SUM('NYC Ferry'!AG64,'NYC Ferry'!S64,)</f>
        <v>83</v>
      </c>
    </row>
    <row r="53" spans="1:14" ht="13.5" customHeight="1" thickBot="1" x14ac:dyDescent="0.3">
      <c r="A53" s="569"/>
      <c r="B53" s="566"/>
      <c r="C53" s="81"/>
      <c r="D53" s="569"/>
      <c r="E53" s="566"/>
      <c r="F53" s="81"/>
      <c r="G53" s="569"/>
      <c r="H53" s="576"/>
      <c r="I53" s="81"/>
      <c r="J53" s="569"/>
      <c r="K53" s="576"/>
      <c r="L53" s="81"/>
      <c r="M53" s="569"/>
      <c r="N53" s="576"/>
    </row>
    <row r="54" spans="1:14" ht="13.5" customHeight="1" x14ac:dyDescent="0.25">
      <c r="A54" s="568" t="s">
        <v>82</v>
      </c>
      <c r="B54" s="565">
        <f>SUM('NYC Ferry'!AD20)</f>
        <v>2353</v>
      </c>
      <c r="C54" s="81"/>
      <c r="D54" s="568" t="s">
        <v>82</v>
      </c>
      <c r="E54" s="565">
        <f>SUM('NYC Ferry'!AD31,)</f>
        <v>2600</v>
      </c>
      <c r="F54" s="81"/>
      <c r="G54" s="568" t="s">
        <v>82</v>
      </c>
      <c r="H54" s="575">
        <f>SUM('NYC Ferry'!AD42,)</f>
        <v>3131</v>
      </c>
      <c r="I54" s="81"/>
      <c r="J54" s="568" t="s">
        <v>82</v>
      </c>
      <c r="K54" s="575">
        <f>SUM('NYC Ferry'!AD53,)</f>
        <v>3044</v>
      </c>
      <c r="L54" s="81"/>
      <c r="M54" s="568" t="s">
        <v>82</v>
      </c>
      <c r="N54" s="575">
        <f>SUM('NYC Ferry'!AD64,)</f>
        <v>489</v>
      </c>
    </row>
    <row r="55" spans="1:14" ht="13.5" customHeight="1" thickBot="1" x14ac:dyDescent="0.3">
      <c r="A55" s="569"/>
      <c r="B55" s="566"/>
      <c r="C55" s="81"/>
      <c r="D55" s="569"/>
      <c r="E55" s="566"/>
      <c r="F55" s="81"/>
      <c r="G55" s="569"/>
      <c r="H55" s="576"/>
      <c r="I55" s="81"/>
      <c r="J55" s="569"/>
      <c r="K55" s="576"/>
      <c r="L55" s="81"/>
      <c r="M55" s="569"/>
      <c r="N55" s="576"/>
    </row>
    <row r="56" spans="1:14" ht="13.5" customHeight="1" x14ac:dyDescent="0.25">
      <c r="A56" s="568" t="s">
        <v>81</v>
      </c>
      <c r="B56" s="565">
        <f>SUM('NYC Ferry'!AC20,'NYC Ferry'!Z20)</f>
        <v>1946</v>
      </c>
      <c r="C56" s="81"/>
      <c r="D56" s="568" t="s">
        <v>81</v>
      </c>
      <c r="E56" s="565">
        <f>SUM('NYC Ferry'!AC31)</f>
        <v>2437</v>
      </c>
      <c r="F56" s="81"/>
      <c r="G56" s="568" t="s">
        <v>81</v>
      </c>
      <c r="H56" s="575">
        <f>SUM('NYC Ferry'!AC42)</f>
        <v>2792</v>
      </c>
      <c r="I56" s="81"/>
      <c r="J56" s="568" t="s">
        <v>81</v>
      </c>
      <c r="K56" s="575">
        <f>SUM('NYC Ferry'!AC53,'NYC Ferry'!Z53)</f>
        <v>3957</v>
      </c>
      <c r="L56" s="81"/>
      <c r="M56" s="568" t="s">
        <v>81</v>
      </c>
      <c r="N56" s="575">
        <f>SUM('NYC Ferry'!AC64,'NYC Ferry'!Z64)</f>
        <v>709</v>
      </c>
    </row>
    <row r="57" spans="1:14" ht="13.5" customHeight="1" thickBot="1" x14ac:dyDescent="0.3">
      <c r="A57" s="569"/>
      <c r="B57" s="566"/>
      <c r="C57" s="81"/>
      <c r="D57" s="569"/>
      <c r="E57" s="566"/>
      <c r="F57" s="81"/>
      <c r="G57" s="569"/>
      <c r="H57" s="576"/>
      <c r="I57" s="81"/>
      <c r="J57" s="569"/>
      <c r="K57" s="576"/>
      <c r="L57" s="81"/>
      <c r="M57" s="569"/>
      <c r="N57" s="576"/>
    </row>
    <row r="58" spans="1:14" ht="12.75" customHeight="1" x14ac:dyDescent="0.25">
      <c r="A58" s="568" t="s">
        <v>13</v>
      </c>
      <c r="B58" s="565">
        <f>SUM('NYC Ferry'!O20)</f>
        <v>980</v>
      </c>
      <c r="C58" s="81"/>
      <c r="D58" s="568" t="s">
        <v>13</v>
      </c>
      <c r="E58" s="565">
        <f>'NYC Ferry'!O31</f>
        <v>1058</v>
      </c>
      <c r="F58" s="81"/>
      <c r="G58" s="568" t="s">
        <v>13</v>
      </c>
      <c r="H58" s="565">
        <f>'NYC Ferry'!O42</f>
        <v>1447</v>
      </c>
      <c r="I58" s="81"/>
      <c r="J58" s="568" t="s">
        <v>13</v>
      </c>
      <c r="K58" s="565">
        <f>'NYC Ferry'!O53</f>
        <v>1245</v>
      </c>
      <c r="L58" s="81"/>
      <c r="M58" s="568" t="s">
        <v>13</v>
      </c>
      <c r="N58" s="565">
        <f>SUM('NYC Ferry'!O64)</f>
        <v>360</v>
      </c>
    </row>
    <row r="59" spans="1:14" ht="13.5" customHeight="1" thickBot="1" x14ac:dyDescent="0.3">
      <c r="A59" s="569"/>
      <c r="B59" s="566"/>
      <c r="C59" s="81"/>
      <c r="D59" s="569"/>
      <c r="E59" s="566"/>
      <c r="F59" s="81"/>
      <c r="G59" s="569"/>
      <c r="H59" s="566"/>
      <c r="I59" s="81"/>
      <c r="J59" s="569"/>
      <c r="K59" s="566"/>
      <c r="L59" s="81"/>
      <c r="M59" s="569"/>
      <c r="N59" s="566"/>
    </row>
    <row r="60" spans="1:14" ht="13.5" customHeight="1" x14ac:dyDescent="0.25">
      <c r="A60" s="563" t="s">
        <v>128</v>
      </c>
      <c r="B60" s="565">
        <f>'NYC Ferry'!AL20</f>
        <v>0</v>
      </c>
      <c r="C60" s="81"/>
      <c r="D60" s="563" t="s">
        <v>128</v>
      </c>
      <c r="E60" s="565">
        <f>'NYC Ferry'!AL31</f>
        <v>0</v>
      </c>
      <c r="F60" s="81"/>
      <c r="G60" s="563" t="s">
        <v>128</v>
      </c>
      <c r="H60" s="567">
        <f>'NYC Ferry'!AL42</f>
        <v>0</v>
      </c>
      <c r="I60" s="81"/>
      <c r="J60" s="563" t="s">
        <v>128</v>
      </c>
      <c r="K60" s="567">
        <f>SUM('NYC Ferry'!AL53)</f>
        <v>0</v>
      </c>
      <c r="L60" s="81"/>
      <c r="M60" s="563" t="s">
        <v>128</v>
      </c>
      <c r="N60" s="567">
        <f>SUM('NYC Ferry'!AL64,)</f>
        <v>0</v>
      </c>
    </row>
    <row r="61" spans="1:14" ht="13.5" customHeight="1" thickBot="1" x14ac:dyDescent="0.3">
      <c r="A61" s="564"/>
      <c r="B61" s="566"/>
      <c r="C61" s="81"/>
      <c r="D61" s="564"/>
      <c r="E61" s="566"/>
      <c r="F61" s="81"/>
      <c r="G61" s="564"/>
      <c r="H61" s="566"/>
      <c r="I61" s="81"/>
      <c r="J61" s="564"/>
      <c r="K61" s="566"/>
      <c r="L61" s="81"/>
      <c r="M61" s="564"/>
      <c r="N61" s="566"/>
    </row>
    <row r="62" spans="1:14" ht="13.5" customHeight="1" x14ac:dyDescent="0.25">
      <c r="A62" s="563" t="s">
        <v>129</v>
      </c>
      <c r="B62" s="565">
        <f>'NY Waterway-(Port Imperial FC)'!I20</f>
        <v>7590</v>
      </c>
      <c r="C62" s="81"/>
      <c r="D62" s="563" t="s">
        <v>129</v>
      </c>
      <c r="E62" s="565">
        <f>'NY Waterway-(Port Imperial FC)'!I31</f>
        <v>9090</v>
      </c>
      <c r="F62" s="81"/>
      <c r="G62" s="563" t="s">
        <v>129</v>
      </c>
      <c r="H62" s="567">
        <f>'NY Waterway-(Port Imperial FC)'!I42</f>
        <v>13015</v>
      </c>
      <c r="I62" s="81"/>
      <c r="J62" s="563" t="s">
        <v>129</v>
      </c>
      <c r="K62" s="567">
        <f>SUM(,'NY Waterway-(Port Imperial FC)'!I53)</f>
        <v>11386</v>
      </c>
      <c r="L62" s="81"/>
      <c r="M62" s="563" t="s">
        <v>129</v>
      </c>
      <c r="N62" s="567">
        <f>'NY Waterway-(Port Imperial FC)'!I64</f>
        <v>2028</v>
      </c>
    </row>
    <row r="63" spans="1:14" ht="13.5" customHeight="1" thickBot="1" x14ac:dyDescent="0.3">
      <c r="A63" s="564"/>
      <c r="B63" s="566"/>
      <c r="C63" s="81"/>
      <c r="D63" s="564"/>
      <c r="E63" s="566"/>
      <c r="F63" s="81"/>
      <c r="G63" s="564"/>
      <c r="H63" s="566"/>
      <c r="I63" s="81"/>
      <c r="J63" s="564"/>
      <c r="K63" s="566"/>
      <c r="L63" s="81"/>
      <c r="M63" s="564"/>
      <c r="N63" s="566"/>
    </row>
    <row r="64" spans="1:14" ht="13.5" customHeight="1" x14ac:dyDescent="0.25">
      <c r="A64" s="568" t="s">
        <v>72</v>
      </c>
      <c r="B64" s="565">
        <f>'NYC Ferry'!R20</f>
        <v>1077</v>
      </c>
      <c r="C64" s="81"/>
      <c r="D64" s="568" t="s">
        <v>72</v>
      </c>
      <c r="E64" s="565">
        <f>'NYC Ferry'!R31</f>
        <v>1240</v>
      </c>
      <c r="F64" s="81"/>
      <c r="G64" s="568" t="s">
        <v>72</v>
      </c>
      <c r="H64" s="567">
        <f>'NYC Ferry'!R42</f>
        <v>1844</v>
      </c>
      <c r="I64" s="81"/>
      <c r="J64" s="568" t="s">
        <v>72</v>
      </c>
      <c r="K64" s="567">
        <f>'NYC Ferry'!R53</f>
        <v>1552</v>
      </c>
      <c r="L64" s="81"/>
      <c r="M64" s="568" t="s">
        <v>72</v>
      </c>
      <c r="N64" s="567">
        <f>SUM('NYC Ferry'!R64)</f>
        <v>318</v>
      </c>
    </row>
    <row r="65" spans="1:14" ht="13.5" customHeight="1" thickBot="1" x14ac:dyDescent="0.3">
      <c r="A65" s="569"/>
      <c r="B65" s="566"/>
      <c r="C65" s="81"/>
      <c r="D65" s="569"/>
      <c r="E65" s="566"/>
      <c r="F65" s="81"/>
      <c r="G65" s="569"/>
      <c r="H65" s="566"/>
      <c r="I65" s="81"/>
      <c r="J65" s="569"/>
      <c r="K65" s="566"/>
      <c r="L65" s="81"/>
      <c r="M65" s="569"/>
      <c r="N65" s="566"/>
    </row>
    <row r="66" spans="1:14" ht="13.5" customHeight="1" x14ac:dyDescent="0.25">
      <c r="A66" s="574" t="s">
        <v>67</v>
      </c>
      <c r="B66" s="565">
        <f>'NYC Ferry'!L20</f>
        <v>4033</v>
      </c>
      <c r="C66" s="81"/>
      <c r="D66" s="574" t="s">
        <v>67</v>
      </c>
      <c r="E66" s="565">
        <f>'NYC Ferry'!L31</f>
        <v>5241</v>
      </c>
      <c r="F66" s="81"/>
      <c r="G66" s="574" t="s">
        <v>67</v>
      </c>
      <c r="H66" s="567">
        <f>'NYC Ferry'!L42</f>
        <v>6340</v>
      </c>
      <c r="I66" s="81"/>
      <c r="J66" s="574" t="s">
        <v>67</v>
      </c>
      <c r="K66" s="567">
        <f>'NYC Ferry'!L53</f>
        <v>6402</v>
      </c>
      <c r="L66" s="81"/>
      <c r="M66" s="574" t="s">
        <v>67</v>
      </c>
      <c r="N66" s="567">
        <f>SUM('NYC Ferry'!L64)</f>
        <v>812</v>
      </c>
    </row>
    <row r="67" spans="1:14" ht="13.5" customHeight="1" thickBot="1" x14ac:dyDescent="0.3">
      <c r="A67" s="569"/>
      <c r="B67" s="566"/>
      <c r="C67" s="81"/>
      <c r="D67" s="569"/>
      <c r="E67" s="566"/>
      <c r="F67" s="81"/>
      <c r="G67" s="569"/>
      <c r="H67" s="566"/>
      <c r="I67" s="81"/>
      <c r="J67" s="569"/>
      <c r="K67" s="566"/>
      <c r="L67" s="81"/>
      <c r="M67" s="569"/>
      <c r="N67" s="566"/>
    </row>
    <row r="68" spans="1:14" ht="13.5" customHeight="1" x14ac:dyDescent="0.25">
      <c r="A68" s="574" t="s">
        <v>74</v>
      </c>
      <c r="B68" s="565">
        <f>SUM('NYC Ferry'!Y20)</f>
        <v>1845</v>
      </c>
      <c r="C68" s="81"/>
      <c r="D68" s="574" t="s">
        <v>74</v>
      </c>
      <c r="E68" s="565">
        <f>SUM('NYC Ferry'!Y31)</f>
        <v>2231</v>
      </c>
      <c r="F68" s="81"/>
      <c r="G68" s="574" t="s">
        <v>74</v>
      </c>
      <c r="H68" s="567">
        <f>SUM('NYC Ferry'!Y42)</f>
        <v>2746</v>
      </c>
      <c r="I68" s="81"/>
      <c r="J68" s="574" t="s">
        <v>74</v>
      </c>
      <c r="K68" s="567">
        <f>SUM('NYC Ferry'!Y53)</f>
        <v>2943</v>
      </c>
      <c r="L68" s="81"/>
      <c r="M68" s="574" t="s">
        <v>74</v>
      </c>
      <c r="N68" s="567">
        <f>SUM('NYC Ferry'!Y64)</f>
        <v>521</v>
      </c>
    </row>
    <row r="69" spans="1:14" ht="13.5" customHeight="1" thickBot="1" x14ac:dyDescent="0.3">
      <c r="A69" s="569"/>
      <c r="B69" s="566"/>
      <c r="C69" s="81"/>
      <c r="D69" s="569"/>
      <c r="E69" s="566"/>
      <c r="F69" s="81"/>
      <c r="G69" s="569"/>
      <c r="H69" s="566"/>
      <c r="I69" s="81"/>
      <c r="J69" s="569"/>
      <c r="K69" s="566"/>
      <c r="L69" s="81"/>
      <c r="M69" s="569"/>
      <c r="N69" s="566"/>
    </row>
    <row r="70" spans="1:14" ht="13.5" customHeight="1" x14ac:dyDescent="0.25">
      <c r="A70" s="574" t="s">
        <v>75</v>
      </c>
      <c r="B70" s="565">
        <f>SUM('NYC Ferry'!X20)</f>
        <v>1063</v>
      </c>
      <c r="C70" s="81"/>
      <c r="D70" s="574" t="s">
        <v>75</v>
      </c>
      <c r="E70" s="565">
        <f>SUM('NYC Ferry'!X31)</f>
        <v>1293</v>
      </c>
      <c r="F70" s="81"/>
      <c r="G70" s="574" t="s">
        <v>75</v>
      </c>
      <c r="H70" s="567">
        <f>SUM('NYC Ferry'!X42)</f>
        <v>1607</v>
      </c>
      <c r="I70" s="81"/>
      <c r="J70" s="574" t="s">
        <v>75</v>
      </c>
      <c r="K70" s="567">
        <f>SUM('NYC Ferry'!X53)</f>
        <v>1599</v>
      </c>
      <c r="L70" s="81"/>
      <c r="M70" s="574" t="s">
        <v>75</v>
      </c>
      <c r="N70" s="567">
        <f>SUM('NYC Ferry'!X64)</f>
        <v>294</v>
      </c>
    </row>
    <row r="71" spans="1:14" ht="13.5" customHeight="1" thickBot="1" x14ac:dyDescent="0.3">
      <c r="A71" s="569"/>
      <c r="B71" s="566"/>
      <c r="C71" s="81"/>
      <c r="D71" s="569"/>
      <c r="E71" s="566"/>
      <c r="F71" s="81"/>
      <c r="G71" s="569"/>
      <c r="H71" s="566"/>
      <c r="I71" s="81"/>
      <c r="J71" s="569"/>
      <c r="K71" s="566"/>
      <c r="L71" s="81"/>
      <c r="M71" s="569"/>
      <c r="N71" s="566"/>
    </row>
    <row r="72" spans="1:14" ht="13.5" customHeight="1" x14ac:dyDescent="0.25">
      <c r="A72" s="568" t="s">
        <v>102</v>
      </c>
      <c r="B72" s="565">
        <f>'NYC Ferry'!U20</f>
        <v>755</v>
      </c>
      <c r="C72" s="81"/>
      <c r="D72" s="568" t="s">
        <v>102</v>
      </c>
      <c r="E72" s="565">
        <f>'NYC Ferry'!U31</f>
        <v>861</v>
      </c>
      <c r="F72" s="81"/>
      <c r="G72" s="568" t="s">
        <v>102</v>
      </c>
      <c r="H72" s="565">
        <f>'NYC Ferry'!U42</f>
        <v>1137</v>
      </c>
      <c r="I72" s="81"/>
      <c r="J72" s="568" t="s">
        <v>102</v>
      </c>
      <c r="K72" s="565">
        <f>'NYC Ferry'!U53</f>
        <v>1154</v>
      </c>
      <c r="L72" s="81"/>
      <c r="M72" s="568" t="s">
        <v>102</v>
      </c>
      <c r="N72" s="565">
        <f>SUM('NYC Ferry'!U64)</f>
        <v>226</v>
      </c>
    </row>
    <row r="73" spans="1:14" ht="13.5" customHeight="1" thickBot="1" x14ac:dyDescent="0.3">
      <c r="A73" s="569"/>
      <c r="B73" s="566"/>
      <c r="C73" s="81"/>
      <c r="D73" s="569"/>
      <c r="E73" s="566"/>
      <c r="F73" s="81"/>
      <c r="G73" s="569"/>
      <c r="H73" s="566"/>
      <c r="I73" s="81"/>
      <c r="J73" s="569"/>
      <c r="K73" s="566"/>
      <c r="L73" s="81"/>
      <c r="M73" s="569"/>
      <c r="N73" s="566"/>
    </row>
    <row r="74" spans="1:14" ht="13.5" customHeight="1" x14ac:dyDescent="0.25">
      <c r="A74" s="568" t="s">
        <v>61</v>
      </c>
      <c r="B74" s="565">
        <f>SUM('NYC Ferry'!W20,'NYC Ferry'!AJ20)</f>
        <v>2278</v>
      </c>
      <c r="C74" s="81"/>
      <c r="D74" s="568" t="s">
        <v>61</v>
      </c>
      <c r="E74" s="565">
        <f>SUM(,'NYC Ferry'!W31, 'NYC Ferry'!AJ31)</f>
        <v>2392</v>
      </c>
      <c r="F74" s="81"/>
      <c r="G74" s="568" t="s">
        <v>61</v>
      </c>
      <c r="H74" s="565">
        <f>SUM(,'NYC Ferry'!W42,'NYC Ferry'!AJ42)</f>
        <v>2660</v>
      </c>
      <c r="I74" s="81"/>
      <c r="J74" s="568" t="s">
        <v>61</v>
      </c>
      <c r="K74" s="565">
        <f>SUM('NYC Ferry'!W53,'NYC Ferry'!AJ53)</f>
        <v>2641</v>
      </c>
      <c r="L74" s="81"/>
      <c r="M74" s="568" t="s">
        <v>61</v>
      </c>
      <c r="N74" s="565">
        <f>SUM('NYC Ferry'!W64,'NYC Ferry'!AJ64)</f>
        <v>499</v>
      </c>
    </row>
    <row r="75" spans="1:14" ht="13.5" customHeight="1" thickBot="1" x14ac:dyDescent="0.3">
      <c r="A75" s="569"/>
      <c r="B75" s="566"/>
      <c r="C75" s="81"/>
      <c r="D75" s="569"/>
      <c r="E75" s="566"/>
      <c r="F75" s="81"/>
      <c r="G75" s="569"/>
      <c r="H75" s="566"/>
      <c r="I75" s="81"/>
      <c r="J75" s="569"/>
      <c r="K75" s="566"/>
      <c r="L75" s="81"/>
      <c r="M75" s="569"/>
      <c r="N75" s="566"/>
    </row>
    <row r="76" spans="1:14" x14ac:dyDescent="0.25">
      <c r="A76" s="621" t="s">
        <v>18</v>
      </c>
      <c r="B76" s="572">
        <f>SUM(B18:B75)</f>
        <v>73142</v>
      </c>
      <c r="C76" s="81"/>
      <c r="D76" s="621" t="s">
        <v>18</v>
      </c>
      <c r="E76" s="572">
        <f>SUM(E18:E75)</f>
        <v>86747</v>
      </c>
      <c r="F76" s="81"/>
      <c r="G76" s="621" t="s">
        <v>18</v>
      </c>
      <c r="H76" s="572">
        <f>SUM(H18:H75)</f>
        <v>106170</v>
      </c>
      <c r="I76" s="81"/>
      <c r="J76" s="570" t="s">
        <v>18</v>
      </c>
      <c r="K76" s="572">
        <f>SUM(K18:K75)</f>
        <v>102494</v>
      </c>
      <c r="L76" s="81"/>
      <c r="M76" s="570" t="s">
        <v>18</v>
      </c>
      <c r="N76" s="572">
        <f>SUM(N18:N75)</f>
        <v>17657</v>
      </c>
    </row>
    <row r="77" spans="1:14" ht="14.25" thickBot="1" x14ac:dyDescent="0.3">
      <c r="A77" s="571"/>
      <c r="B77" s="573"/>
      <c r="C77" s="81"/>
      <c r="D77" s="571"/>
      <c r="E77" s="573"/>
      <c r="F77" s="81"/>
      <c r="G77" s="571"/>
      <c r="H77" s="573"/>
      <c r="I77" s="81"/>
      <c r="J77" s="571"/>
      <c r="K77" s="573"/>
      <c r="L77" s="81"/>
      <c r="M77" s="571"/>
      <c r="N77" s="573"/>
    </row>
    <row r="78" spans="1:14" x14ac:dyDescent="0.25">
      <c r="C78" s="81"/>
      <c r="F78" s="81"/>
      <c r="I78" s="81"/>
      <c r="L78" s="81"/>
    </row>
    <row r="79" spans="1:14" x14ac:dyDescent="0.25">
      <c r="C79" s="81"/>
      <c r="F79" s="81"/>
      <c r="I79" s="81"/>
      <c r="L79" s="81"/>
    </row>
  </sheetData>
  <mergeCells count="388">
    <mergeCell ref="H22:H23"/>
    <mergeCell ref="J22:J23"/>
    <mergeCell ref="K22:K23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20:A21"/>
    <mergeCell ref="B20:B21"/>
    <mergeCell ref="D20:D21"/>
    <mergeCell ref="E20:E21"/>
    <mergeCell ref="G20:G21"/>
    <mergeCell ref="H20:H21"/>
    <mergeCell ref="J20:J21"/>
    <mergeCell ref="K20:K21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30:A31"/>
    <mergeCell ref="B30:B31"/>
    <mergeCell ref="D30:D31"/>
    <mergeCell ref="E30:E31"/>
    <mergeCell ref="B66:B67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K74:K75"/>
    <mergeCell ref="H74:H75"/>
    <mergeCell ref="E74:E75"/>
    <mergeCell ref="B74:B75"/>
    <mergeCell ref="A52:A53"/>
    <mergeCell ref="G52:G53"/>
    <mergeCell ref="J52:J53"/>
    <mergeCell ref="D52:D53"/>
    <mergeCell ref="H52:H53"/>
    <mergeCell ref="A72:A73"/>
    <mergeCell ref="H66:H67"/>
    <mergeCell ref="J66:J67"/>
    <mergeCell ref="K52:K53"/>
    <mergeCell ref="K54:K55"/>
    <mergeCell ref="K56:K57"/>
    <mergeCell ref="E52:E53"/>
    <mergeCell ref="B52:B53"/>
    <mergeCell ref="A54:A55"/>
    <mergeCell ref="A56:A57"/>
    <mergeCell ref="B54:B55"/>
    <mergeCell ref="A64:A65"/>
    <mergeCell ref="B64:B65"/>
    <mergeCell ref="D64:D65"/>
    <mergeCell ref="E64:E6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H24:H25"/>
    <mergeCell ref="J24:J25"/>
    <mergeCell ref="K24:K25"/>
    <mergeCell ref="H32:H33"/>
    <mergeCell ref="K32:K33"/>
    <mergeCell ref="B72:B73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K72:K73"/>
    <mergeCell ref="H72:H73"/>
    <mergeCell ref="E72:E73"/>
    <mergeCell ref="H60:H61"/>
    <mergeCell ref="J60:J61"/>
    <mergeCell ref="K60:K61"/>
    <mergeCell ref="G60:G61"/>
    <mergeCell ref="K64:K65"/>
    <mergeCell ref="K68:K69"/>
    <mergeCell ref="P13:P16"/>
    <mergeCell ref="Q13:Q16"/>
    <mergeCell ref="P18:P20"/>
    <mergeCell ref="Q18:Q20"/>
    <mergeCell ref="P22:P24"/>
    <mergeCell ref="Q22:Q24"/>
    <mergeCell ref="P28:P30"/>
    <mergeCell ref="Q28:Q30"/>
    <mergeCell ref="N24:N25"/>
    <mergeCell ref="N26:N27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7:N17"/>
    <mergeCell ref="M18:M19"/>
    <mergeCell ref="N18:N19"/>
    <mergeCell ref="M22:M23"/>
    <mergeCell ref="N22:N23"/>
    <mergeCell ref="M24:M25"/>
    <mergeCell ref="M20:M21"/>
    <mergeCell ref="N20:N21"/>
    <mergeCell ref="M26:M27"/>
    <mergeCell ref="M28:M29"/>
    <mergeCell ref="N28:N29"/>
    <mergeCell ref="M30:M31"/>
    <mergeCell ref="N30:N3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M58:M59"/>
    <mergeCell ref="N58:N59"/>
    <mergeCell ref="M72:M73"/>
    <mergeCell ref="N72:N73"/>
    <mergeCell ref="M74:M75"/>
    <mergeCell ref="N74:N75"/>
    <mergeCell ref="M76:M77"/>
    <mergeCell ref="N76:N77"/>
    <mergeCell ref="M60:M61"/>
    <mergeCell ref="N60:N61"/>
    <mergeCell ref="M64:M65"/>
    <mergeCell ref="N64:N65"/>
    <mergeCell ref="M66:M67"/>
    <mergeCell ref="N66:N67"/>
    <mergeCell ref="M68:M69"/>
    <mergeCell ref="N68:N69"/>
    <mergeCell ref="M70:M71"/>
    <mergeCell ref="N70:N71"/>
    <mergeCell ref="N62:N63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6:A29 A59 A58 A77:D77 C18:D18 C34 E35:F35 E37:F37 F36 E39:F39 F38 E41:F41 F40 E43:F43 F42 A33 E33:F33 F34 H35:I35 H37:I37 I36 H39:I39 I38 H41:I41 I40 H43:I43 I42 H33:I33 I34 K35:L35 K37:L37 K39:L39 K41:L41 K43:L43 K33:L33 C38 C40 C58:D58 C60 F18:G18 F58:G58 F60 I18:J18 I58:J58 I60 L58 L60 A61 I61 A15 I15:L15 I77:J77 A25 A24 C24:D24 F24:G24 I24:J24 L24 C15:G15 A76 C76:D76 F76:G76 I76:J76 L76 C35 C37 C39 C41 C43 C19:L19 C59 C32:C33 C61 C25:L25 C27:L27 C26:D26 F26:G26 C29:L29 C28:D28 F28:G28 I28:L28 F77:G77 L77 L26 I26:J26 E59:L59 F32 I32 L32 A31 C30:C31 E31:F31 H31:I31 K31:L31 F30 I30 L30 E61:F61 K61:L6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18" t="s">
        <v>45</v>
      </c>
      <c r="D1" s="719"/>
      <c r="E1" s="718"/>
      <c r="F1" s="726"/>
      <c r="G1" s="732" t="s">
        <v>18</v>
      </c>
    </row>
    <row r="2" spans="1:7" ht="15" customHeight="1" thickBot="1" x14ac:dyDescent="0.3">
      <c r="B2" s="121"/>
      <c r="C2" s="749"/>
      <c r="D2" s="780"/>
      <c r="E2" s="749"/>
      <c r="F2" s="750"/>
      <c r="G2" s="733"/>
    </row>
    <row r="3" spans="1:7" x14ac:dyDescent="0.25">
      <c r="A3" s="739" t="s">
        <v>50</v>
      </c>
      <c r="B3" s="777" t="s">
        <v>51</v>
      </c>
      <c r="C3" s="655" t="s">
        <v>48</v>
      </c>
      <c r="D3" s="769" t="s">
        <v>49</v>
      </c>
      <c r="E3" s="655"/>
      <c r="F3" s="769"/>
      <c r="G3" s="733"/>
    </row>
    <row r="4" spans="1:7" ht="14.25" customHeight="1" thickBot="1" x14ac:dyDescent="0.3">
      <c r="A4" s="740"/>
      <c r="B4" s="778"/>
      <c r="C4" s="740"/>
      <c r="D4" s="742"/>
      <c r="E4" s="740"/>
      <c r="F4" s="742"/>
      <c r="G4" s="733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20</v>
      </c>
      <c r="B12" s="772" t="s">
        <v>23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22</v>
      </c>
      <c r="B13" s="747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19</v>
      </c>
      <c r="B14" s="747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21</v>
      </c>
      <c r="B15" s="748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20</v>
      </c>
      <c r="B23" s="772" t="s">
        <v>24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22</v>
      </c>
      <c r="B24" s="747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19</v>
      </c>
      <c r="B25" s="747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21</v>
      </c>
      <c r="B26" s="748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20</v>
      </c>
      <c r="B34" s="772" t="s">
        <v>25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22</v>
      </c>
      <c r="B35" s="747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19</v>
      </c>
      <c r="B36" s="747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21</v>
      </c>
      <c r="B37" s="748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20</v>
      </c>
      <c r="B45" s="772" t="s">
        <v>26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22</v>
      </c>
      <c r="B46" s="747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19</v>
      </c>
      <c r="B47" s="747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21</v>
      </c>
      <c r="B48" s="748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20</v>
      </c>
      <c r="B56" s="772" t="s">
        <v>27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22</v>
      </c>
      <c r="B57" s="747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19</v>
      </c>
      <c r="B58" s="747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21</v>
      </c>
      <c r="B59" s="748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20</v>
      </c>
      <c r="B67" s="772" t="s">
        <v>31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22</v>
      </c>
      <c r="B68" s="747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19</v>
      </c>
      <c r="B69" s="747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21</v>
      </c>
      <c r="B70" s="748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48</v>
      </c>
      <c r="D72" s="36" t="s">
        <v>49</v>
      </c>
      <c r="E72" s="775" t="s">
        <v>57</v>
      </c>
      <c r="F72" s="781"/>
      <c r="G72" s="776"/>
    </row>
    <row r="73" spans="1:7" ht="30" customHeight="1" x14ac:dyDescent="0.25">
      <c r="B73" s="38" t="s">
        <v>28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779" t="s">
        <v>28</v>
      </c>
      <c r="F73" s="759"/>
      <c r="G73" s="98">
        <f>SUM(G12, G23, G34, G45, G56, G67)</f>
        <v>0</v>
      </c>
    </row>
    <row r="74" spans="1:7" ht="30" customHeight="1" x14ac:dyDescent="0.25">
      <c r="B74" s="38" t="s">
        <v>29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679" t="s">
        <v>29</v>
      </c>
      <c r="F74" s="679"/>
      <c r="G74" s="99">
        <f>SUM(G58, G47, G36, G25, G14, G69)</f>
        <v>0</v>
      </c>
    </row>
    <row r="75" spans="1:7" ht="30" customHeight="1" x14ac:dyDescent="0.25">
      <c r="E75" s="779" t="s">
        <v>58</v>
      </c>
      <c r="F75" s="759"/>
      <c r="G75" s="99">
        <f>AVERAGE(G12, G23, G34, G45, G56, G67)</f>
        <v>0</v>
      </c>
    </row>
    <row r="76" spans="1:7" ht="30" customHeight="1" x14ac:dyDescent="0.25">
      <c r="E76" s="679" t="s">
        <v>21</v>
      </c>
      <c r="F76" s="679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opLeftCell="A4" zoomScaleNormal="100" workbookViewId="0">
      <selection activeCell="B60" sqref="B60:B6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42" t="s">
        <v>117</v>
      </c>
      <c r="B1" s="643"/>
    </row>
    <row r="2" spans="1:2" ht="15.75" thickBot="1" x14ac:dyDescent="0.3">
      <c r="A2" s="644"/>
      <c r="B2" s="645"/>
    </row>
    <row r="3" spans="1:2" ht="15.75" thickBot="1" x14ac:dyDescent="0.3">
      <c r="A3" s="595" t="s">
        <v>43</v>
      </c>
      <c r="B3" s="640"/>
    </row>
    <row r="4" spans="1:2" ht="12.75" customHeight="1" x14ac:dyDescent="0.25">
      <c r="A4" s="583" t="s">
        <v>44</v>
      </c>
      <c r="B4" s="581">
        <f>'NY Waterway-(Port Imperial FC)'!N69</f>
        <v>148983</v>
      </c>
    </row>
    <row r="5" spans="1:2" ht="13.5" customHeight="1" thickBot="1" x14ac:dyDescent="0.3">
      <c r="A5" s="597"/>
      <c r="B5" s="598"/>
    </row>
    <row r="6" spans="1:2" ht="12.75" customHeight="1" x14ac:dyDescent="0.25">
      <c r="A6" s="583" t="s">
        <v>45</v>
      </c>
      <c r="B6" s="581">
        <f>(SeaStreak!I69)</f>
        <v>23998</v>
      </c>
    </row>
    <row r="7" spans="1:2" ht="13.5" customHeight="1" thickBot="1" x14ac:dyDescent="0.3">
      <c r="A7" s="636"/>
      <c r="B7" s="598"/>
    </row>
    <row r="8" spans="1:2" ht="12.75" customHeight="1" x14ac:dyDescent="0.25">
      <c r="A8" s="578" t="s">
        <v>46</v>
      </c>
      <c r="B8" s="590">
        <f>'New York Water Taxi'!M80</f>
        <v>6941</v>
      </c>
    </row>
    <row r="9" spans="1:2" ht="13.5" customHeight="1" thickBot="1" x14ac:dyDescent="0.3">
      <c r="A9" s="637"/>
      <c r="B9" s="591"/>
    </row>
    <row r="10" spans="1:2" ht="12.75" customHeight="1" x14ac:dyDescent="0.25">
      <c r="A10" s="588" t="s">
        <v>32</v>
      </c>
      <c r="B10" s="590">
        <f>('Liberty Landing Ferry'!F80)</f>
        <v>2903</v>
      </c>
    </row>
    <row r="11" spans="1:2" ht="13.5" customHeight="1" thickBot="1" x14ac:dyDescent="0.3">
      <c r="A11" s="641"/>
      <c r="B11" s="591"/>
    </row>
    <row r="12" spans="1:2" ht="13.5" customHeight="1" x14ac:dyDescent="0.25">
      <c r="A12" s="588" t="s">
        <v>68</v>
      </c>
      <c r="B12" s="590">
        <f>'NYC Ferry'!E73</f>
        <v>487837</v>
      </c>
    </row>
    <row r="13" spans="1:2" ht="13.5" customHeight="1" thickBot="1" x14ac:dyDescent="0.3">
      <c r="A13" s="641"/>
      <c r="B13" s="591"/>
    </row>
    <row r="14" spans="1:2" ht="13.5" hidden="1" customHeight="1" x14ac:dyDescent="0.25">
      <c r="A14" s="588" t="s">
        <v>63</v>
      </c>
      <c r="B14" s="590">
        <f>'Water Tours'!F74</f>
        <v>0</v>
      </c>
    </row>
    <row r="15" spans="1:2" ht="13.5" hidden="1" customHeight="1" thickBot="1" x14ac:dyDescent="0.3">
      <c r="A15" s="641"/>
      <c r="B15" s="591"/>
    </row>
    <row r="16" spans="1:2" x14ac:dyDescent="0.25">
      <c r="A16" s="593" t="s">
        <v>18</v>
      </c>
      <c r="B16" s="572">
        <f>SUM(B4:B15)</f>
        <v>670662</v>
      </c>
    </row>
    <row r="17" spans="1:2" ht="15.75" thickBot="1" x14ac:dyDescent="0.3">
      <c r="A17" s="639"/>
      <c r="B17" s="633"/>
    </row>
    <row r="18" spans="1:2" ht="15.75" thickBot="1" x14ac:dyDescent="0.3">
      <c r="A18" s="39"/>
      <c r="B18" s="40"/>
    </row>
    <row r="19" spans="1:2" ht="15.75" thickBot="1" x14ac:dyDescent="0.3">
      <c r="A19" s="595" t="s">
        <v>47</v>
      </c>
      <c r="B19" s="640"/>
    </row>
    <row r="20" spans="1:2" x14ac:dyDescent="0.25">
      <c r="A20" s="583" t="s">
        <v>10</v>
      </c>
      <c r="B20" s="581">
        <f>SUM('NYC Ferry'!C68,'NY Waterway-(Port Imperial FC)'!D68,SeaStreak!B68,'New York Water Taxi'!J79,)</f>
        <v>134687</v>
      </c>
    </row>
    <row r="21" spans="1:2" ht="15.75" thickBot="1" x14ac:dyDescent="0.3">
      <c r="A21" s="597"/>
      <c r="B21" s="598"/>
    </row>
    <row r="22" spans="1:2" x14ac:dyDescent="0.25">
      <c r="A22" s="583" t="s">
        <v>64</v>
      </c>
      <c r="B22" s="581">
        <f>SeaStreak!C68</f>
        <v>6953</v>
      </c>
    </row>
    <row r="23" spans="1:2" ht="15.75" thickBot="1" x14ac:dyDescent="0.3">
      <c r="A23" s="597"/>
      <c r="B23" s="598"/>
    </row>
    <row r="24" spans="1:2" x14ac:dyDescent="0.25">
      <c r="A24" s="578" t="s">
        <v>8</v>
      </c>
      <c r="B24" s="590">
        <f>'NY Waterway-(Port Imperial FC)'!G68</f>
        <v>30467</v>
      </c>
    </row>
    <row r="25" spans="1:2" ht="15.75" thickBot="1" x14ac:dyDescent="0.3">
      <c r="A25" s="638"/>
      <c r="B25" s="591"/>
    </row>
    <row r="26" spans="1:2" x14ac:dyDescent="0.25">
      <c r="A26" s="583" t="s">
        <v>14</v>
      </c>
      <c r="B26" s="581">
        <f>SUM('NYC Ferry'!D68,SeaStreak!D68,'New York Water Taxi'!H79,)</f>
        <v>83485</v>
      </c>
    </row>
    <row r="27" spans="1:2" ht="15.75" thickBot="1" x14ac:dyDescent="0.3">
      <c r="A27" s="636"/>
      <c r="B27" s="598"/>
    </row>
    <row r="28" spans="1:2" ht="12.75" customHeight="1" x14ac:dyDescent="0.25">
      <c r="A28" s="583" t="s">
        <v>107</v>
      </c>
      <c r="B28" s="581">
        <f>SUM('NY Waterway-(Port Imperial FC)'!F68,'Liberty Landing Ferry'!B79)</f>
        <v>18206</v>
      </c>
    </row>
    <row r="29" spans="1:2" ht="15.75" thickBot="1" x14ac:dyDescent="0.3">
      <c r="A29" s="636"/>
      <c r="B29" s="598"/>
    </row>
    <row r="30" spans="1:2" x14ac:dyDescent="0.25">
      <c r="A30" s="578" t="s">
        <v>7</v>
      </c>
      <c r="B30" s="565">
        <f>SUM('New York Water Taxi'!D79)</f>
        <v>0</v>
      </c>
    </row>
    <row r="31" spans="1:2" ht="15.75" thickBot="1" x14ac:dyDescent="0.3">
      <c r="A31" s="637"/>
      <c r="B31" s="566"/>
    </row>
    <row r="32" spans="1:2" x14ac:dyDescent="0.25">
      <c r="A32" s="583" t="s">
        <v>92</v>
      </c>
      <c r="B32" s="565">
        <f>SUM('New York Water Taxi'!F79)</f>
        <v>0</v>
      </c>
    </row>
    <row r="33" spans="1:6" ht="15.75" thickBot="1" x14ac:dyDescent="0.3">
      <c r="A33" s="636"/>
      <c r="B33" s="566"/>
    </row>
    <row r="34" spans="1:6" ht="13.5" customHeight="1" x14ac:dyDescent="0.25">
      <c r="A34" s="568" t="s">
        <v>59</v>
      </c>
      <c r="B34" s="565">
        <f>SUM('NYC Ferry'!E68,'New York Water Taxi'!E79)</f>
        <v>35054</v>
      </c>
    </row>
    <row r="35" spans="1:6" ht="14.25" customHeight="1" thickBot="1" x14ac:dyDescent="0.3">
      <c r="A35" s="569"/>
      <c r="B35" s="566"/>
    </row>
    <row r="36" spans="1:6" ht="14.25" customHeight="1" x14ac:dyDescent="0.25">
      <c r="A36" s="568" t="s">
        <v>89</v>
      </c>
      <c r="B36" s="565">
        <f>SUM('New York Water Taxi'!G79)</f>
        <v>0</v>
      </c>
    </row>
    <row r="37" spans="1:6" ht="14.25" customHeight="1" thickBot="1" x14ac:dyDescent="0.3">
      <c r="A37" s="569"/>
      <c r="B37" s="566"/>
    </row>
    <row r="38" spans="1:6" ht="13.5" customHeight="1" x14ac:dyDescent="0.25">
      <c r="A38" s="568" t="s">
        <v>60</v>
      </c>
      <c r="B38" s="565">
        <f>SUM('NYC Ferry'!I68)</f>
        <v>11516</v>
      </c>
    </row>
    <row r="39" spans="1:6" ht="14.25" customHeight="1" thickBot="1" x14ac:dyDescent="0.3">
      <c r="A39" s="569"/>
      <c r="B39" s="566"/>
    </row>
    <row r="40" spans="1:6" ht="13.5" customHeight="1" x14ac:dyDescent="0.25">
      <c r="A40" s="568" t="s">
        <v>11</v>
      </c>
      <c r="B40" s="565">
        <f>SUM('NYC Ferry'!J68)</f>
        <v>23027</v>
      </c>
    </row>
    <row r="41" spans="1:6" ht="14.25" customHeight="1" thickBot="1" x14ac:dyDescent="0.3">
      <c r="A41" s="569"/>
      <c r="B41" s="566"/>
    </row>
    <row r="42" spans="1:6" ht="13.5" customHeight="1" x14ac:dyDescent="0.25">
      <c r="A42" s="568" t="s">
        <v>12</v>
      </c>
      <c r="B42" s="565">
        <f>SUM('NYC Ferry'!G68)</f>
        <v>13247</v>
      </c>
    </row>
    <row r="43" spans="1:6" ht="14.25" customHeight="1" thickBot="1" x14ac:dyDescent="0.3">
      <c r="A43" s="569"/>
      <c r="B43" s="566"/>
    </row>
    <row r="44" spans="1:6" ht="13.5" customHeight="1" x14ac:dyDescent="0.25">
      <c r="A44" s="568" t="s">
        <v>95</v>
      </c>
      <c r="B44" s="565">
        <f>SUM('NYC Ferry'!H68)</f>
        <v>17887</v>
      </c>
    </row>
    <row r="45" spans="1:6" ht="14.25" customHeight="1" thickBot="1" x14ac:dyDescent="0.3">
      <c r="A45" s="569"/>
      <c r="B45" s="566"/>
    </row>
    <row r="46" spans="1:6" ht="14.25" customHeight="1" x14ac:dyDescent="0.25">
      <c r="A46" s="568" t="s">
        <v>30</v>
      </c>
      <c r="B46" s="565">
        <f>SUM('NYC Ferry'!W68,'NY Waterway-(Port Imperial FC)'!H68)</f>
        <v>85060</v>
      </c>
      <c r="F46" s="6"/>
    </row>
    <row r="47" spans="1:6" ht="14.25" customHeight="1" thickBot="1" x14ac:dyDescent="0.3">
      <c r="A47" s="569"/>
      <c r="B47" s="566"/>
    </row>
    <row r="48" spans="1:6" ht="14.25" customHeight="1" x14ac:dyDescent="0.25">
      <c r="A48" s="568" t="s">
        <v>73</v>
      </c>
      <c r="B48" s="565">
        <f>SUM('NYC Ferry'!N68)</f>
        <v>4994</v>
      </c>
    </row>
    <row r="49" spans="1:2" ht="14.25" customHeight="1" thickBot="1" x14ac:dyDescent="0.3">
      <c r="A49" s="569"/>
      <c r="B49" s="566"/>
    </row>
    <row r="50" spans="1:2" ht="14.25" customHeight="1" x14ac:dyDescent="0.25">
      <c r="A50" s="568" t="s">
        <v>98</v>
      </c>
      <c r="B50" s="565">
        <f>SUM('New York Water Taxi'!K79)</f>
        <v>0</v>
      </c>
    </row>
    <row r="51" spans="1:2" ht="14.25" customHeight="1" thickBot="1" x14ac:dyDescent="0.3">
      <c r="A51" s="569"/>
      <c r="B51" s="566"/>
    </row>
    <row r="52" spans="1:2" ht="14.25" customHeight="1" x14ac:dyDescent="0.25">
      <c r="A52" s="577" t="s">
        <v>108</v>
      </c>
      <c r="B52" s="565">
        <f>SUM('NYC Ferry'!K68,'New York Water Taxi'!I79)</f>
        <v>18842</v>
      </c>
    </row>
    <row r="53" spans="1:2" ht="14.25" customHeight="1" thickBot="1" x14ac:dyDescent="0.3">
      <c r="A53" s="564"/>
      <c r="B53" s="566"/>
    </row>
    <row r="54" spans="1:2" ht="14.25" customHeight="1" x14ac:dyDescent="0.25">
      <c r="A54" s="568" t="s">
        <v>79</v>
      </c>
      <c r="B54" s="565">
        <f>SUM('NYC Ferry'!V68)</f>
        <v>5735</v>
      </c>
    </row>
    <row r="55" spans="1:2" ht="14.25" customHeight="1" thickBot="1" x14ac:dyDescent="0.3">
      <c r="A55" s="569"/>
      <c r="B55" s="566"/>
    </row>
    <row r="56" spans="1:2" ht="14.25" customHeight="1" x14ac:dyDescent="0.25">
      <c r="A56" s="568" t="s">
        <v>80</v>
      </c>
      <c r="B56" s="565">
        <f>SUM('NYC Ferry'!U68)</f>
        <v>4256</v>
      </c>
    </row>
    <row r="57" spans="1:2" ht="14.25" customHeight="1" thickBot="1" x14ac:dyDescent="0.3">
      <c r="A57" s="569"/>
      <c r="B57" s="566"/>
    </row>
    <row r="58" spans="1:2" ht="14.25" customHeight="1" x14ac:dyDescent="0.25">
      <c r="A58" s="568" t="s">
        <v>82</v>
      </c>
      <c r="B58" s="565">
        <f>SUM('NYC Ferry'!T68)</f>
        <v>18379</v>
      </c>
    </row>
    <row r="59" spans="1:2" ht="14.25" customHeight="1" thickBot="1" x14ac:dyDescent="0.3">
      <c r="A59" s="569"/>
      <c r="B59" s="566"/>
    </row>
    <row r="60" spans="1:2" ht="14.25" customHeight="1" x14ac:dyDescent="0.25">
      <c r="A60" s="568" t="s">
        <v>81</v>
      </c>
      <c r="B60" s="565">
        <f>SUM('NYC Ferry'!S68)</f>
        <v>22788</v>
      </c>
    </row>
    <row r="61" spans="1:2" ht="14.25" customHeight="1" thickBot="1" x14ac:dyDescent="0.3">
      <c r="A61" s="569"/>
      <c r="B61" s="566"/>
    </row>
    <row r="62" spans="1:2" ht="14.25" customHeight="1" x14ac:dyDescent="0.25">
      <c r="A62" s="634" t="s">
        <v>96</v>
      </c>
      <c r="B62" s="565">
        <f>SUM('NYC Ferry'!M68,'NY Waterway-(Port Imperial FC)'!I68)</f>
        <v>26451</v>
      </c>
    </row>
    <row r="63" spans="1:2" ht="14.25" customHeight="1" thickBot="1" x14ac:dyDescent="0.3">
      <c r="A63" s="635"/>
      <c r="B63" s="566"/>
    </row>
    <row r="64" spans="1:2" ht="14.25" customHeight="1" x14ac:dyDescent="0.25">
      <c r="A64" s="568" t="s">
        <v>110</v>
      </c>
      <c r="B64" s="565">
        <f>SUM('NYC Ferry'!O68)</f>
        <v>11799</v>
      </c>
    </row>
    <row r="65" spans="1:2" ht="14.25" customHeight="1" thickBot="1" x14ac:dyDescent="0.3">
      <c r="A65" s="569"/>
      <c r="B65" s="566"/>
    </row>
    <row r="66" spans="1:2" ht="14.25" customHeight="1" x14ac:dyDescent="0.25">
      <c r="A66" s="568" t="s">
        <v>67</v>
      </c>
      <c r="B66" s="565">
        <f>SUM('NYC Ferry'!L68)</f>
        <v>44295</v>
      </c>
    </row>
    <row r="67" spans="1:2" ht="14.25" customHeight="1" thickBot="1" x14ac:dyDescent="0.3">
      <c r="A67" s="569"/>
      <c r="B67" s="566"/>
    </row>
    <row r="68" spans="1:2" ht="14.25" customHeight="1" x14ac:dyDescent="0.25">
      <c r="A68" s="568" t="s">
        <v>74</v>
      </c>
      <c r="B68" s="565">
        <f>SUM('NYC Ferry'!R68)</f>
        <v>18556</v>
      </c>
    </row>
    <row r="69" spans="1:2" ht="14.25" customHeight="1" thickBot="1" x14ac:dyDescent="0.3">
      <c r="A69" s="569"/>
      <c r="B69" s="566"/>
    </row>
    <row r="70" spans="1:2" ht="14.25" customHeight="1" x14ac:dyDescent="0.25">
      <c r="A70" s="568" t="s">
        <v>75</v>
      </c>
      <c r="B70" s="565">
        <f>SUM('NYC Ferry'!Q68)</f>
        <v>10920</v>
      </c>
    </row>
    <row r="71" spans="1:2" ht="14.25" customHeight="1" thickBot="1" x14ac:dyDescent="0.3">
      <c r="A71" s="569"/>
      <c r="B71" s="566"/>
    </row>
    <row r="72" spans="1:2" ht="14.25" customHeight="1" x14ac:dyDescent="0.25">
      <c r="A72" s="568" t="s">
        <v>102</v>
      </c>
      <c r="B72" s="565">
        <f>SUM('NYC Ferry'!P68)</f>
        <v>6073</v>
      </c>
    </row>
    <row r="73" spans="1:2" ht="14.25" customHeight="1" thickBot="1" x14ac:dyDescent="0.3">
      <c r="A73" s="569"/>
      <c r="B73" s="566"/>
    </row>
    <row r="74" spans="1:2" ht="14.25" customHeight="1" x14ac:dyDescent="0.25">
      <c r="A74" s="568" t="s">
        <v>61</v>
      </c>
      <c r="B74" s="565">
        <f>SUM('NYC Ferry'!F68)</f>
        <v>17985</v>
      </c>
    </row>
    <row r="75" spans="1:2" ht="14.25" customHeight="1" thickBot="1" x14ac:dyDescent="0.3">
      <c r="A75" s="569"/>
      <c r="B75" s="566"/>
    </row>
    <row r="76" spans="1:2" x14ac:dyDescent="0.25">
      <c r="A76" s="621" t="s">
        <v>18</v>
      </c>
      <c r="B76" s="572">
        <f>SUM(B20:B75)</f>
        <v>670662</v>
      </c>
    </row>
    <row r="77" spans="1:2" ht="15.75" thickBot="1" x14ac:dyDescent="0.3">
      <c r="A77" s="632"/>
      <c r="B77" s="633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24:A25"/>
    <mergeCell ref="B24:B25"/>
    <mergeCell ref="A26:A27"/>
    <mergeCell ref="B26:B27"/>
    <mergeCell ref="A22:A23"/>
    <mergeCell ref="B22:B23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54:A55"/>
    <mergeCell ref="A56:A57"/>
    <mergeCell ref="B54:B55"/>
    <mergeCell ref="A60:A61"/>
    <mergeCell ref="B58:B59"/>
    <mergeCell ref="B60:B61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A56" sqref="A56:XFD59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3" customWidth="1"/>
    <col min="15" max="16" width="11.7109375" style="1" customWidth="1"/>
    <col min="17" max="27" width="11.7109375" style="213" customWidth="1"/>
    <col min="28" max="28" width="13.42578125" customWidth="1"/>
    <col min="29" max="29" width="11" customWidth="1"/>
    <col min="30" max="30" width="10.85546875" style="253" bestFit="1" customWidth="1"/>
    <col min="31" max="31" width="10.85546875" style="215" customWidth="1"/>
    <col min="32" max="32" width="11.7109375" style="213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5"/>
    <col min="38" max="38" width="10.5703125" style="215" customWidth="1"/>
  </cols>
  <sheetData>
    <row r="1" spans="1:39" ht="15" customHeight="1" x14ac:dyDescent="0.25">
      <c r="A1" s="682" t="s">
        <v>50</v>
      </c>
      <c r="B1" s="685" t="s">
        <v>51</v>
      </c>
      <c r="C1" s="689" t="s">
        <v>66</v>
      </c>
      <c r="D1" s="690"/>
      <c r="E1" s="690"/>
      <c r="F1" s="690"/>
      <c r="G1" s="690"/>
      <c r="H1" s="690"/>
      <c r="I1" s="691"/>
      <c r="J1" s="646" t="s">
        <v>67</v>
      </c>
      <c r="K1" s="647"/>
      <c r="L1" s="648"/>
      <c r="M1" s="646" t="s">
        <v>71</v>
      </c>
      <c r="N1" s="647"/>
      <c r="O1" s="647"/>
      <c r="P1" s="647"/>
      <c r="Q1" s="647"/>
      <c r="R1" s="647"/>
      <c r="S1" s="648"/>
      <c r="T1" s="646" t="s">
        <v>74</v>
      </c>
      <c r="U1" s="647"/>
      <c r="V1" s="647"/>
      <c r="W1" s="647"/>
      <c r="X1" s="647"/>
      <c r="Y1" s="647"/>
      <c r="Z1" s="648"/>
      <c r="AA1" s="646" t="s">
        <v>82</v>
      </c>
      <c r="AB1" s="647"/>
      <c r="AC1" s="647"/>
      <c r="AD1" s="647"/>
      <c r="AE1" s="648"/>
      <c r="AF1" s="652" t="s">
        <v>78</v>
      </c>
      <c r="AG1" s="653"/>
      <c r="AH1" s="653"/>
      <c r="AI1" s="653"/>
      <c r="AJ1" s="654"/>
      <c r="AK1" s="666" t="s">
        <v>101</v>
      </c>
      <c r="AL1" s="667"/>
      <c r="AM1" s="660"/>
    </row>
    <row r="2" spans="1:39" ht="15.75" customHeight="1" thickBot="1" x14ac:dyDescent="0.3">
      <c r="A2" s="683"/>
      <c r="B2" s="686"/>
      <c r="C2" s="692"/>
      <c r="D2" s="693"/>
      <c r="E2" s="693"/>
      <c r="F2" s="693"/>
      <c r="G2" s="693"/>
      <c r="H2" s="693"/>
      <c r="I2" s="694"/>
      <c r="J2" s="649"/>
      <c r="K2" s="650"/>
      <c r="L2" s="651"/>
      <c r="M2" s="710"/>
      <c r="N2" s="711"/>
      <c r="O2" s="711"/>
      <c r="P2" s="711"/>
      <c r="Q2" s="711"/>
      <c r="R2" s="711"/>
      <c r="S2" s="712"/>
      <c r="T2" s="649"/>
      <c r="U2" s="650"/>
      <c r="V2" s="650"/>
      <c r="W2" s="650"/>
      <c r="X2" s="650"/>
      <c r="Y2" s="650"/>
      <c r="Z2" s="651"/>
      <c r="AA2" s="649"/>
      <c r="AB2" s="650"/>
      <c r="AC2" s="650"/>
      <c r="AD2" s="650"/>
      <c r="AE2" s="651"/>
      <c r="AF2" s="655"/>
      <c r="AG2" s="656"/>
      <c r="AH2" s="656"/>
      <c r="AI2" s="656"/>
      <c r="AJ2" s="657"/>
      <c r="AK2" s="668"/>
      <c r="AL2" s="669"/>
      <c r="AM2" s="661"/>
    </row>
    <row r="3" spans="1:39" ht="15" customHeight="1" x14ac:dyDescent="0.25">
      <c r="A3" s="683"/>
      <c r="B3" s="686"/>
      <c r="C3" s="658" t="s">
        <v>10</v>
      </c>
      <c r="D3" s="663" t="s">
        <v>59</v>
      </c>
      <c r="E3" s="663" t="s">
        <v>60</v>
      </c>
      <c r="F3" s="663" t="s">
        <v>11</v>
      </c>
      <c r="G3" s="663" t="s">
        <v>12</v>
      </c>
      <c r="H3" s="663" t="s">
        <v>95</v>
      </c>
      <c r="I3" s="671" t="s">
        <v>14</v>
      </c>
      <c r="J3" s="658" t="s">
        <v>10</v>
      </c>
      <c r="K3" s="663" t="s">
        <v>104</v>
      </c>
      <c r="L3" s="671" t="s">
        <v>67</v>
      </c>
      <c r="M3" s="658" t="s">
        <v>10</v>
      </c>
      <c r="N3" s="663" t="s">
        <v>59</v>
      </c>
      <c r="O3" s="663" t="s">
        <v>111</v>
      </c>
      <c r="P3" s="663" t="s">
        <v>73</v>
      </c>
      <c r="Q3" s="663" t="s">
        <v>104</v>
      </c>
      <c r="R3" s="663" t="s">
        <v>72</v>
      </c>
      <c r="S3" s="671" t="s">
        <v>80</v>
      </c>
      <c r="T3" s="675" t="s">
        <v>10</v>
      </c>
      <c r="U3" s="663" t="s">
        <v>102</v>
      </c>
      <c r="V3" s="663" t="s">
        <v>14</v>
      </c>
      <c r="W3" s="663" t="s">
        <v>61</v>
      </c>
      <c r="X3" s="663" t="s">
        <v>75</v>
      </c>
      <c r="Y3" s="705" t="s">
        <v>74</v>
      </c>
      <c r="Z3" s="703" t="s">
        <v>81</v>
      </c>
      <c r="AA3" s="658" t="s">
        <v>10</v>
      </c>
      <c r="AB3" s="663" t="s">
        <v>14</v>
      </c>
      <c r="AC3" s="663" t="s">
        <v>81</v>
      </c>
      <c r="AD3" s="663" t="s">
        <v>82</v>
      </c>
      <c r="AE3" s="671" t="s">
        <v>79</v>
      </c>
      <c r="AF3" s="675" t="s">
        <v>10</v>
      </c>
      <c r="AG3" s="663" t="s">
        <v>80</v>
      </c>
      <c r="AH3" s="663" t="s">
        <v>79</v>
      </c>
      <c r="AI3" s="663" t="s">
        <v>14</v>
      </c>
      <c r="AJ3" s="671" t="s">
        <v>61</v>
      </c>
      <c r="AK3" s="658" t="s">
        <v>10</v>
      </c>
      <c r="AL3" s="671" t="s">
        <v>30</v>
      </c>
      <c r="AM3" s="661"/>
    </row>
    <row r="4" spans="1:39" ht="40.5" customHeight="1" thickBot="1" x14ac:dyDescent="0.3">
      <c r="A4" s="684"/>
      <c r="B4" s="686"/>
      <c r="C4" s="687"/>
      <c r="D4" s="688"/>
      <c r="E4" s="688"/>
      <c r="F4" s="688"/>
      <c r="G4" s="688"/>
      <c r="H4" s="688"/>
      <c r="I4" s="672"/>
      <c r="J4" s="687"/>
      <c r="K4" s="688"/>
      <c r="L4" s="672"/>
      <c r="M4" s="700"/>
      <c r="N4" s="702"/>
      <c r="O4" s="702"/>
      <c r="P4" s="702"/>
      <c r="Q4" s="702"/>
      <c r="R4" s="702"/>
      <c r="S4" s="709"/>
      <c r="T4" s="707"/>
      <c r="U4" s="708"/>
      <c r="V4" s="702"/>
      <c r="W4" s="702"/>
      <c r="X4" s="702"/>
      <c r="Y4" s="706"/>
      <c r="Z4" s="704"/>
      <c r="AA4" s="659"/>
      <c r="AB4" s="665"/>
      <c r="AC4" s="665"/>
      <c r="AD4" s="664"/>
      <c r="AE4" s="677"/>
      <c r="AF4" s="676"/>
      <c r="AG4" s="674"/>
      <c r="AH4" s="674"/>
      <c r="AI4" s="674"/>
      <c r="AJ4" s="673"/>
      <c r="AK4" s="670"/>
      <c r="AL4" s="672"/>
      <c r="AM4" s="662"/>
    </row>
    <row r="5" spans="1:39" s="364" customFormat="1" ht="17.25" thickBot="1" x14ac:dyDescent="0.35">
      <c r="A5" s="136" t="s">
        <v>1</v>
      </c>
      <c r="B5" s="469">
        <v>44044</v>
      </c>
      <c r="C5" s="526">
        <v>1438</v>
      </c>
      <c r="D5" s="472">
        <v>1386</v>
      </c>
      <c r="E5" s="472">
        <v>500</v>
      </c>
      <c r="F5" s="472">
        <v>1223</v>
      </c>
      <c r="G5" s="472">
        <v>619</v>
      </c>
      <c r="H5" s="472">
        <v>923</v>
      </c>
      <c r="I5" s="528">
        <v>1816</v>
      </c>
      <c r="J5" s="530">
        <v>2938</v>
      </c>
      <c r="K5" s="472">
        <v>552</v>
      </c>
      <c r="L5" s="523">
        <v>3453</v>
      </c>
      <c r="M5" s="212">
        <v>799</v>
      </c>
      <c r="N5" s="194">
        <v>602</v>
      </c>
      <c r="O5" s="194">
        <v>488</v>
      </c>
      <c r="P5" s="194">
        <v>347</v>
      </c>
      <c r="Q5" s="245">
        <v>248</v>
      </c>
      <c r="R5" s="194">
        <v>754</v>
      </c>
      <c r="S5" s="206">
        <v>288</v>
      </c>
      <c r="T5" s="526">
        <v>1099</v>
      </c>
      <c r="U5" s="472">
        <v>241</v>
      </c>
      <c r="V5" s="472">
        <v>776</v>
      </c>
      <c r="W5" s="472">
        <v>1047</v>
      </c>
      <c r="X5" s="472">
        <v>629</v>
      </c>
      <c r="Y5" s="472">
        <v>1050</v>
      </c>
      <c r="Z5" s="523"/>
      <c r="AA5" s="208">
        <v>1018</v>
      </c>
      <c r="AB5" s="170">
        <v>486</v>
      </c>
      <c r="AC5" s="195">
        <v>1177</v>
      </c>
      <c r="AD5" s="195">
        <v>809</v>
      </c>
      <c r="AE5" s="204">
        <v>306</v>
      </c>
      <c r="AF5" s="526"/>
      <c r="AG5" s="472"/>
      <c r="AH5" s="472"/>
      <c r="AI5" s="472"/>
      <c r="AJ5" s="523"/>
      <c r="AK5" s="471">
        <v>737</v>
      </c>
      <c r="AL5" s="473">
        <v>687</v>
      </c>
      <c r="AM5" s="174">
        <f>SUM(C5:AL5)</f>
        <v>28436</v>
      </c>
    </row>
    <row r="6" spans="1:39" s="364" customFormat="1" ht="17.25" thickBot="1" x14ac:dyDescent="0.35">
      <c r="A6" s="136" t="s">
        <v>2</v>
      </c>
      <c r="B6" s="470">
        <v>44045</v>
      </c>
      <c r="C6" s="527">
        <v>765</v>
      </c>
      <c r="D6" s="522">
        <v>992</v>
      </c>
      <c r="E6" s="522">
        <v>411</v>
      </c>
      <c r="F6" s="522">
        <v>684</v>
      </c>
      <c r="G6" s="522">
        <v>311</v>
      </c>
      <c r="H6" s="522">
        <v>675</v>
      </c>
      <c r="I6" s="529">
        <v>981</v>
      </c>
      <c r="J6" s="531">
        <v>597</v>
      </c>
      <c r="K6" s="522">
        <v>366</v>
      </c>
      <c r="L6" s="524">
        <v>763</v>
      </c>
      <c r="M6" s="521">
        <v>505</v>
      </c>
      <c r="N6" s="522">
        <v>410</v>
      </c>
      <c r="O6" s="522">
        <v>397</v>
      </c>
      <c r="P6" s="522">
        <v>152</v>
      </c>
      <c r="Q6" s="524">
        <v>189</v>
      </c>
      <c r="R6" s="195">
        <v>534</v>
      </c>
      <c r="S6" s="204">
        <v>208</v>
      </c>
      <c r="T6" s="527">
        <v>574</v>
      </c>
      <c r="U6" s="522">
        <v>124</v>
      </c>
      <c r="V6" s="522">
        <v>378</v>
      </c>
      <c r="W6" s="522">
        <v>461</v>
      </c>
      <c r="X6" s="522">
        <v>307</v>
      </c>
      <c r="Y6" s="522">
        <v>448</v>
      </c>
      <c r="Z6" s="524"/>
      <c r="AA6" s="208">
        <v>685</v>
      </c>
      <c r="AB6" s="170">
        <v>241</v>
      </c>
      <c r="AC6" s="195">
        <v>419</v>
      </c>
      <c r="AD6" s="195">
        <v>530</v>
      </c>
      <c r="AE6" s="204">
        <v>156</v>
      </c>
      <c r="AF6" s="527"/>
      <c r="AG6" s="522"/>
      <c r="AH6" s="522"/>
      <c r="AI6" s="522"/>
      <c r="AJ6" s="524"/>
      <c r="AK6" s="521">
        <v>300</v>
      </c>
      <c r="AL6" s="205">
        <v>233</v>
      </c>
      <c r="AM6" s="174">
        <f>SUM(C6:AL6)</f>
        <v>13796</v>
      </c>
    </row>
    <row r="7" spans="1:39" ht="15.75" thickBot="1" x14ac:dyDescent="0.3">
      <c r="A7" s="144" t="s">
        <v>20</v>
      </c>
      <c r="B7" s="701" t="s">
        <v>118</v>
      </c>
      <c r="C7" s="525">
        <f>SUM(C5:C6)</f>
        <v>2203</v>
      </c>
      <c r="D7" s="525">
        <f>SUM(D5:D6)</f>
        <v>2378</v>
      </c>
      <c r="E7" s="525">
        <f t="shared" ref="E7:AJ7" si="0">SUM(E5:E6)</f>
        <v>911</v>
      </c>
      <c r="F7" s="525">
        <f>SUM(F5:F6)</f>
        <v>1907</v>
      </c>
      <c r="G7" s="525">
        <f t="shared" si="0"/>
        <v>930</v>
      </c>
      <c r="H7" s="525">
        <f>SUM(H5:H6)</f>
        <v>1598</v>
      </c>
      <c r="I7" s="525">
        <f t="shared" si="0"/>
        <v>2797</v>
      </c>
      <c r="J7" s="525">
        <f t="shared" si="0"/>
        <v>3535</v>
      </c>
      <c r="K7" s="525">
        <f t="shared" si="0"/>
        <v>918</v>
      </c>
      <c r="L7" s="525">
        <f t="shared" si="0"/>
        <v>4216</v>
      </c>
      <c r="M7" s="525">
        <f t="shared" si="0"/>
        <v>1304</v>
      </c>
      <c r="N7" s="525">
        <f t="shared" si="0"/>
        <v>1012</v>
      </c>
      <c r="O7" s="525">
        <f t="shared" si="0"/>
        <v>885</v>
      </c>
      <c r="P7" s="525">
        <f t="shared" si="0"/>
        <v>499</v>
      </c>
      <c r="Q7" s="525">
        <f t="shared" si="0"/>
        <v>437</v>
      </c>
      <c r="R7" s="525">
        <f t="shared" si="0"/>
        <v>1288</v>
      </c>
      <c r="S7" s="525">
        <f t="shared" si="0"/>
        <v>496</v>
      </c>
      <c r="T7" s="525">
        <f>SUM(T5:T6)</f>
        <v>1673</v>
      </c>
      <c r="U7" s="525">
        <f>SUM(U5:U6)</f>
        <v>365</v>
      </c>
      <c r="V7" s="525">
        <f t="shared" si="0"/>
        <v>1154</v>
      </c>
      <c r="W7" s="525">
        <f>SUM(W5:W6)</f>
        <v>1508</v>
      </c>
      <c r="X7" s="525">
        <f t="shared" si="0"/>
        <v>936</v>
      </c>
      <c r="Y7" s="525">
        <f>SUM(Y5:Y6)</f>
        <v>1498</v>
      </c>
      <c r="Z7" s="525">
        <f t="shared" si="0"/>
        <v>0</v>
      </c>
      <c r="AA7" s="525">
        <f>SUM(AA5:AA6)</f>
        <v>1703</v>
      </c>
      <c r="AB7" s="525">
        <f>SUM(AB5:AB6)</f>
        <v>727</v>
      </c>
      <c r="AC7" s="525">
        <f>SUM(AC5:AC6)</f>
        <v>1596</v>
      </c>
      <c r="AD7" s="525">
        <f t="shared" si="0"/>
        <v>1339</v>
      </c>
      <c r="AE7" s="525">
        <f>SUM(AE5:AE6)</f>
        <v>462</v>
      </c>
      <c r="AF7" s="525">
        <f t="shared" si="0"/>
        <v>0</v>
      </c>
      <c r="AG7" s="525">
        <f t="shared" si="0"/>
        <v>0</v>
      </c>
      <c r="AH7" s="525">
        <f t="shared" si="0"/>
        <v>0</v>
      </c>
      <c r="AI7" s="525">
        <f t="shared" si="0"/>
        <v>0</v>
      </c>
      <c r="AJ7" s="525">
        <f t="shared" si="0"/>
        <v>0</v>
      </c>
      <c r="AK7" s="525">
        <f>SUM(AK5:AK6)</f>
        <v>1037</v>
      </c>
      <c r="AL7" s="525">
        <f>SUM(AL5:AL6)</f>
        <v>920</v>
      </c>
      <c r="AM7" s="525">
        <f>SUM(AM5:AM6)</f>
        <v>42232</v>
      </c>
    </row>
    <row r="8" spans="1:39" ht="15.75" thickBot="1" x14ac:dyDescent="0.3">
      <c r="A8" s="101" t="s">
        <v>22</v>
      </c>
      <c r="B8" s="695"/>
      <c r="C8" s="209">
        <f>AVERAGE(C5:C6)</f>
        <v>1101.5</v>
      </c>
      <c r="D8" s="209">
        <f t="shared" ref="D8:AM8" si="1">AVERAGE(D5:D6)</f>
        <v>1189</v>
      </c>
      <c r="E8" s="209">
        <f t="shared" si="1"/>
        <v>455.5</v>
      </c>
      <c r="F8" s="209">
        <f t="shared" si="1"/>
        <v>953.5</v>
      </c>
      <c r="G8" s="209">
        <f t="shared" si="1"/>
        <v>465</v>
      </c>
      <c r="H8" s="209">
        <f t="shared" si="1"/>
        <v>799</v>
      </c>
      <c r="I8" s="209">
        <f t="shared" si="1"/>
        <v>1398.5</v>
      </c>
      <c r="J8" s="209">
        <f t="shared" si="1"/>
        <v>1767.5</v>
      </c>
      <c r="K8" s="209">
        <f t="shared" si="1"/>
        <v>459</v>
      </c>
      <c r="L8" s="209">
        <f t="shared" si="1"/>
        <v>2108</v>
      </c>
      <c r="M8" s="209">
        <f t="shared" si="1"/>
        <v>652</v>
      </c>
      <c r="N8" s="209">
        <f t="shared" si="1"/>
        <v>506</v>
      </c>
      <c r="O8" s="209">
        <f t="shared" si="1"/>
        <v>442.5</v>
      </c>
      <c r="P8" s="209">
        <f t="shared" si="1"/>
        <v>249.5</v>
      </c>
      <c r="Q8" s="209">
        <f t="shared" si="1"/>
        <v>218.5</v>
      </c>
      <c r="R8" s="209">
        <f t="shared" si="1"/>
        <v>644</v>
      </c>
      <c r="S8" s="209">
        <f t="shared" si="1"/>
        <v>248</v>
      </c>
      <c r="T8" s="209">
        <f t="shared" si="1"/>
        <v>836.5</v>
      </c>
      <c r="U8" s="209">
        <f t="shared" si="1"/>
        <v>182.5</v>
      </c>
      <c r="V8" s="209">
        <f t="shared" si="1"/>
        <v>577</v>
      </c>
      <c r="W8" s="209">
        <f t="shared" si="1"/>
        <v>754</v>
      </c>
      <c r="X8" s="209">
        <f t="shared" si="1"/>
        <v>468</v>
      </c>
      <c r="Y8" s="209">
        <f t="shared" si="1"/>
        <v>749</v>
      </c>
      <c r="Z8" s="209" t="e">
        <f t="shared" si="1"/>
        <v>#DIV/0!</v>
      </c>
      <c r="AA8" s="209">
        <f t="shared" si="1"/>
        <v>851.5</v>
      </c>
      <c r="AB8" s="209">
        <f t="shared" si="1"/>
        <v>363.5</v>
      </c>
      <c r="AC8" s="209">
        <f t="shared" si="1"/>
        <v>798</v>
      </c>
      <c r="AD8" s="209">
        <f t="shared" si="1"/>
        <v>669.5</v>
      </c>
      <c r="AE8" s="209">
        <f t="shared" si="1"/>
        <v>231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>
        <f t="shared" si="1"/>
        <v>518.5</v>
      </c>
      <c r="AL8" s="209">
        <f t="shared" si="1"/>
        <v>460</v>
      </c>
      <c r="AM8" s="209">
        <f t="shared" si="1"/>
        <v>21116</v>
      </c>
    </row>
    <row r="9" spans="1:39" ht="15.75" thickBot="1" x14ac:dyDescent="0.3">
      <c r="A9" s="26" t="s">
        <v>19</v>
      </c>
      <c r="B9" s="695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.75" thickBot="1" x14ac:dyDescent="0.3">
      <c r="A10" s="26" t="s">
        <v>21</v>
      </c>
      <c r="B10" s="695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customHeight="1" thickBot="1" x14ac:dyDescent="0.3">
      <c r="A11" s="136" t="s">
        <v>3</v>
      </c>
      <c r="B11" s="358">
        <v>44046</v>
      </c>
      <c r="C11" s="212">
        <v>667</v>
      </c>
      <c r="D11" s="194">
        <v>517</v>
      </c>
      <c r="E11" s="194">
        <v>293</v>
      </c>
      <c r="F11" s="194">
        <v>584</v>
      </c>
      <c r="G11" s="194">
        <v>334</v>
      </c>
      <c r="H11" s="194">
        <v>420</v>
      </c>
      <c r="I11" s="206">
        <v>969</v>
      </c>
      <c r="J11" s="212">
        <v>1341</v>
      </c>
      <c r="K11" s="194">
        <v>295</v>
      </c>
      <c r="L11" s="206">
        <v>1384</v>
      </c>
      <c r="M11" s="212">
        <v>370</v>
      </c>
      <c r="N11" s="194">
        <v>156</v>
      </c>
      <c r="O11" s="194">
        <v>219</v>
      </c>
      <c r="P11" s="194">
        <v>103</v>
      </c>
      <c r="Q11" s="245">
        <v>102</v>
      </c>
      <c r="R11" s="195">
        <v>295</v>
      </c>
      <c r="S11" s="204">
        <v>93</v>
      </c>
      <c r="T11" s="317">
        <v>412</v>
      </c>
      <c r="U11" s="194">
        <v>181</v>
      </c>
      <c r="V11" s="194">
        <v>630</v>
      </c>
      <c r="W11" s="194">
        <v>496</v>
      </c>
      <c r="X11" s="316">
        <v>244</v>
      </c>
      <c r="Y11" s="245">
        <v>419</v>
      </c>
      <c r="Z11" s="203"/>
      <c r="AA11" s="208">
        <v>481</v>
      </c>
      <c r="AB11" s="558">
        <v>373</v>
      </c>
      <c r="AC11" s="195">
        <v>434</v>
      </c>
      <c r="AD11" s="195">
        <v>536</v>
      </c>
      <c r="AE11" s="204">
        <v>199</v>
      </c>
      <c r="AF11" s="317"/>
      <c r="AG11" s="362"/>
      <c r="AH11" s="194"/>
      <c r="AI11" s="194"/>
      <c r="AJ11" s="206"/>
      <c r="AK11" s="212"/>
      <c r="AL11" s="206"/>
      <c r="AM11" s="174">
        <f t="shared" ref="AM11:AM17" si="2">SUM(C11:AL11)</f>
        <v>12547</v>
      </c>
    </row>
    <row r="12" spans="1:39" ht="17.25" customHeight="1" thickBot="1" x14ac:dyDescent="0.3">
      <c r="A12" s="136" t="s">
        <v>4</v>
      </c>
      <c r="B12" s="359">
        <v>44047</v>
      </c>
      <c r="C12" s="247">
        <v>14</v>
      </c>
      <c r="D12" s="248">
        <v>23</v>
      </c>
      <c r="E12" s="248">
        <v>47</v>
      </c>
      <c r="F12" s="248">
        <v>106</v>
      </c>
      <c r="G12" s="248">
        <v>85</v>
      </c>
      <c r="H12" s="248">
        <v>69</v>
      </c>
      <c r="I12" s="360">
        <v>49</v>
      </c>
      <c r="J12" s="247">
        <v>21</v>
      </c>
      <c r="K12" s="248">
        <v>18</v>
      </c>
      <c r="L12" s="204">
        <v>56</v>
      </c>
      <c r="M12" s="208">
        <v>22</v>
      </c>
      <c r="N12" s="195">
        <v>7</v>
      </c>
      <c r="O12" s="195">
        <v>22</v>
      </c>
      <c r="P12" s="195">
        <v>6</v>
      </c>
      <c r="Q12" s="203">
        <v>2</v>
      </c>
      <c r="R12" s="195">
        <v>15</v>
      </c>
      <c r="S12" s="204">
        <v>3</v>
      </c>
      <c r="T12" s="217">
        <v>17</v>
      </c>
      <c r="U12" s="195">
        <v>38</v>
      </c>
      <c r="V12" s="195">
        <v>58</v>
      </c>
      <c r="W12" s="195">
        <v>127</v>
      </c>
      <c r="X12" s="195">
        <v>38</v>
      </c>
      <c r="Y12" s="203">
        <v>75</v>
      </c>
      <c r="Z12" s="203"/>
      <c r="AA12" s="208">
        <v>22</v>
      </c>
      <c r="AB12" s="248">
        <v>28</v>
      </c>
      <c r="AC12" s="195">
        <v>46</v>
      </c>
      <c r="AD12" s="195">
        <v>138</v>
      </c>
      <c r="AE12" s="204">
        <v>28</v>
      </c>
      <c r="AF12" s="217"/>
      <c r="AG12" s="363"/>
      <c r="AH12" s="195"/>
      <c r="AI12" s="195"/>
      <c r="AJ12" s="204"/>
      <c r="AK12" s="208"/>
      <c r="AL12" s="204"/>
      <c r="AM12" s="174">
        <f t="shared" si="2"/>
        <v>1180</v>
      </c>
    </row>
    <row r="13" spans="1:39" ht="15.75" customHeight="1" thickBot="1" x14ac:dyDescent="0.3">
      <c r="A13" s="136" t="s">
        <v>5</v>
      </c>
      <c r="B13" s="359">
        <v>44048</v>
      </c>
      <c r="C13" s="247">
        <v>694</v>
      </c>
      <c r="D13" s="248">
        <v>782</v>
      </c>
      <c r="E13" s="248">
        <v>353</v>
      </c>
      <c r="F13" s="248">
        <v>726</v>
      </c>
      <c r="G13" s="248">
        <v>467</v>
      </c>
      <c r="H13" s="248">
        <v>524</v>
      </c>
      <c r="I13" s="360">
        <v>1209</v>
      </c>
      <c r="J13" s="247">
        <v>1235</v>
      </c>
      <c r="K13" s="248">
        <v>325</v>
      </c>
      <c r="L13" s="204">
        <v>1304</v>
      </c>
      <c r="M13" s="208">
        <v>532</v>
      </c>
      <c r="N13" s="195">
        <v>192</v>
      </c>
      <c r="O13" s="195">
        <v>352</v>
      </c>
      <c r="P13" s="195">
        <v>127</v>
      </c>
      <c r="Q13" s="203">
        <v>162</v>
      </c>
      <c r="R13" s="195">
        <v>306</v>
      </c>
      <c r="S13" s="204">
        <v>123</v>
      </c>
      <c r="T13" s="217">
        <v>445</v>
      </c>
      <c r="U13" s="195">
        <v>193</v>
      </c>
      <c r="V13" s="195">
        <v>705</v>
      </c>
      <c r="W13" s="195">
        <v>655</v>
      </c>
      <c r="X13" s="195">
        <v>319</v>
      </c>
      <c r="Y13" s="203">
        <v>492</v>
      </c>
      <c r="Z13" s="203"/>
      <c r="AA13" s="208">
        <v>660</v>
      </c>
      <c r="AB13" s="248">
        <v>415</v>
      </c>
      <c r="AC13" s="195">
        <v>530</v>
      </c>
      <c r="AD13" s="195">
        <v>610</v>
      </c>
      <c r="AE13" s="204">
        <v>163</v>
      </c>
      <c r="AF13" s="217"/>
      <c r="AG13" s="195"/>
      <c r="AH13" s="195"/>
      <c r="AI13" s="195"/>
      <c r="AJ13" s="204"/>
      <c r="AK13" s="208"/>
      <c r="AL13" s="204"/>
      <c r="AM13" s="174">
        <f t="shared" si="2"/>
        <v>14600</v>
      </c>
    </row>
    <row r="14" spans="1:39" ht="15.75" customHeight="1" thickBot="1" x14ac:dyDescent="0.3">
      <c r="A14" s="136" t="s">
        <v>6</v>
      </c>
      <c r="B14" s="359">
        <v>44049</v>
      </c>
      <c r="C14" s="247">
        <v>688</v>
      </c>
      <c r="D14" s="248">
        <v>730</v>
      </c>
      <c r="E14" s="248">
        <v>265</v>
      </c>
      <c r="F14" s="248">
        <v>721</v>
      </c>
      <c r="G14" s="248">
        <v>381</v>
      </c>
      <c r="H14" s="248">
        <v>468</v>
      </c>
      <c r="I14" s="360">
        <v>1095</v>
      </c>
      <c r="J14" s="247">
        <v>785</v>
      </c>
      <c r="K14" s="248">
        <v>279</v>
      </c>
      <c r="L14" s="204">
        <v>844</v>
      </c>
      <c r="M14" s="208">
        <v>373</v>
      </c>
      <c r="N14" s="195">
        <v>173</v>
      </c>
      <c r="O14" s="195">
        <v>218</v>
      </c>
      <c r="P14" s="195">
        <v>105</v>
      </c>
      <c r="Q14" s="203">
        <v>117</v>
      </c>
      <c r="R14" s="195">
        <v>280</v>
      </c>
      <c r="S14" s="204">
        <v>83</v>
      </c>
      <c r="T14" s="217">
        <v>458</v>
      </c>
      <c r="U14" s="195">
        <v>199</v>
      </c>
      <c r="V14" s="195">
        <v>807</v>
      </c>
      <c r="W14" s="195">
        <v>615</v>
      </c>
      <c r="X14" s="195">
        <v>260</v>
      </c>
      <c r="Y14" s="203">
        <v>504</v>
      </c>
      <c r="Z14" s="203"/>
      <c r="AA14" s="208">
        <v>626</v>
      </c>
      <c r="AB14" s="248">
        <v>377</v>
      </c>
      <c r="AC14" s="195">
        <v>509</v>
      </c>
      <c r="AD14" s="195">
        <v>575</v>
      </c>
      <c r="AE14" s="204">
        <v>154</v>
      </c>
      <c r="AF14" s="217"/>
      <c r="AG14" s="195"/>
      <c r="AH14" s="195"/>
      <c r="AI14" s="195"/>
      <c r="AJ14" s="204"/>
      <c r="AK14" s="208"/>
      <c r="AL14" s="204"/>
      <c r="AM14" s="174">
        <f t="shared" si="2"/>
        <v>12689</v>
      </c>
    </row>
    <row r="15" spans="1:39" ht="15.75" thickBot="1" x14ac:dyDescent="0.3">
      <c r="A15" s="136" t="s">
        <v>0</v>
      </c>
      <c r="B15" s="359">
        <v>44050</v>
      </c>
      <c r="C15" s="247">
        <v>520</v>
      </c>
      <c r="D15" s="248">
        <v>509</v>
      </c>
      <c r="E15" s="248">
        <v>304</v>
      </c>
      <c r="F15" s="248">
        <v>531</v>
      </c>
      <c r="G15" s="248">
        <v>333</v>
      </c>
      <c r="H15" s="248">
        <v>383</v>
      </c>
      <c r="I15" s="360">
        <v>926</v>
      </c>
      <c r="J15" s="247">
        <v>395</v>
      </c>
      <c r="K15" s="248">
        <v>281</v>
      </c>
      <c r="L15" s="204">
        <v>445</v>
      </c>
      <c r="M15" s="208">
        <v>384</v>
      </c>
      <c r="N15" s="195">
        <v>158</v>
      </c>
      <c r="O15" s="195">
        <v>169</v>
      </c>
      <c r="P15" s="195">
        <v>109</v>
      </c>
      <c r="Q15" s="203">
        <v>112</v>
      </c>
      <c r="R15" s="195">
        <v>181</v>
      </c>
      <c r="S15" s="204">
        <v>68</v>
      </c>
      <c r="T15" s="217">
        <v>303</v>
      </c>
      <c r="U15" s="195">
        <v>144</v>
      </c>
      <c r="V15" s="195">
        <v>520</v>
      </c>
      <c r="W15" s="195">
        <v>385</v>
      </c>
      <c r="X15" s="195">
        <v>202</v>
      </c>
      <c r="Y15" s="203">
        <v>355</v>
      </c>
      <c r="Z15" s="203"/>
      <c r="AA15" s="208">
        <v>424</v>
      </c>
      <c r="AB15" s="248">
        <v>323</v>
      </c>
      <c r="AC15" s="195">
        <v>427</v>
      </c>
      <c r="AD15" s="195">
        <v>494</v>
      </c>
      <c r="AE15" s="204">
        <v>110</v>
      </c>
      <c r="AF15" s="217"/>
      <c r="AG15" s="195"/>
      <c r="AH15" s="195"/>
      <c r="AI15" s="195"/>
      <c r="AJ15" s="204"/>
      <c r="AK15" s="208"/>
      <c r="AL15" s="204"/>
      <c r="AM15" s="174">
        <f t="shared" si="2"/>
        <v>9495</v>
      </c>
    </row>
    <row r="16" spans="1:39" ht="15.75" thickBot="1" x14ac:dyDescent="0.3">
      <c r="A16" s="136" t="s">
        <v>1</v>
      </c>
      <c r="B16" s="359">
        <v>44051</v>
      </c>
      <c r="C16" s="247">
        <v>1163</v>
      </c>
      <c r="D16" s="248">
        <v>1608</v>
      </c>
      <c r="E16" s="248">
        <v>432</v>
      </c>
      <c r="F16" s="248">
        <v>1136</v>
      </c>
      <c r="G16" s="248">
        <v>498</v>
      </c>
      <c r="H16" s="248">
        <v>747</v>
      </c>
      <c r="I16" s="360">
        <v>1572</v>
      </c>
      <c r="J16" s="247">
        <v>1257</v>
      </c>
      <c r="K16" s="248">
        <v>335</v>
      </c>
      <c r="L16" s="204">
        <v>1442</v>
      </c>
      <c r="M16" s="208">
        <v>722</v>
      </c>
      <c r="N16" s="195">
        <v>391</v>
      </c>
      <c r="O16" s="195">
        <v>417</v>
      </c>
      <c r="P16" s="195">
        <v>301</v>
      </c>
      <c r="Q16" s="203">
        <v>113</v>
      </c>
      <c r="R16" s="195">
        <v>612</v>
      </c>
      <c r="S16" s="204">
        <v>230</v>
      </c>
      <c r="T16" s="217">
        <v>798</v>
      </c>
      <c r="U16" s="195">
        <v>206</v>
      </c>
      <c r="V16" s="195">
        <v>768</v>
      </c>
      <c r="W16" s="195">
        <v>874</v>
      </c>
      <c r="X16" s="195">
        <v>517</v>
      </c>
      <c r="Y16" s="203">
        <v>825</v>
      </c>
      <c r="Z16" s="203"/>
      <c r="AA16" s="208">
        <v>882</v>
      </c>
      <c r="AB16" s="248">
        <v>401</v>
      </c>
      <c r="AC16" s="195">
        <v>947</v>
      </c>
      <c r="AD16" s="195">
        <v>669</v>
      </c>
      <c r="AE16" s="204">
        <v>254</v>
      </c>
      <c r="AF16" s="217"/>
      <c r="AG16" s="195"/>
      <c r="AH16" s="195"/>
      <c r="AI16" s="195"/>
      <c r="AJ16" s="204"/>
      <c r="AK16" s="208">
        <v>646</v>
      </c>
      <c r="AL16" s="204">
        <v>515</v>
      </c>
      <c r="AM16" s="174">
        <f>SUM(C16:AL16)</f>
        <v>21278</v>
      </c>
    </row>
    <row r="17" spans="1:39" ht="15.75" thickBot="1" x14ac:dyDescent="0.3">
      <c r="A17" s="136" t="s">
        <v>2</v>
      </c>
      <c r="B17" s="359">
        <v>44052</v>
      </c>
      <c r="C17" s="247">
        <v>1519</v>
      </c>
      <c r="D17" s="248">
        <v>1569</v>
      </c>
      <c r="E17" s="248">
        <v>728</v>
      </c>
      <c r="F17" s="248">
        <v>1183</v>
      </c>
      <c r="G17" s="248">
        <v>644</v>
      </c>
      <c r="H17" s="248">
        <v>839</v>
      </c>
      <c r="I17" s="360">
        <v>1585</v>
      </c>
      <c r="J17" s="247">
        <v>3137</v>
      </c>
      <c r="K17" s="248">
        <v>770</v>
      </c>
      <c r="L17" s="204">
        <v>3588</v>
      </c>
      <c r="M17" s="208">
        <v>865</v>
      </c>
      <c r="N17" s="195">
        <v>604</v>
      </c>
      <c r="O17" s="195">
        <v>677</v>
      </c>
      <c r="P17" s="195">
        <v>298</v>
      </c>
      <c r="Q17" s="203">
        <v>431</v>
      </c>
      <c r="R17" s="195">
        <v>723</v>
      </c>
      <c r="S17" s="204">
        <v>282</v>
      </c>
      <c r="T17" s="217">
        <v>1041</v>
      </c>
      <c r="U17" s="195">
        <v>249</v>
      </c>
      <c r="V17" s="195">
        <v>748</v>
      </c>
      <c r="W17" s="195">
        <v>831</v>
      </c>
      <c r="X17" s="195">
        <v>676</v>
      </c>
      <c r="Y17" s="203">
        <v>937</v>
      </c>
      <c r="Z17" s="203"/>
      <c r="AA17" s="208">
        <v>1174</v>
      </c>
      <c r="AB17" s="248">
        <v>507</v>
      </c>
      <c r="AC17" s="195">
        <v>1064</v>
      </c>
      <c r="AD17" s="195">
        <v>836</v>
      </c>
      <c r="AE17" s="204">
        <v>338</v>
      </c>
      <c r="AF17" s="217"/>
      <c r="AG17" s="195"/>
      <c r="AH17" s="195"/>
      <c r="AI17" s="195"/>
      <c r="AJ17" s="204"/>
      <c r="AK17" s="208">
        <v>798</v>
      </c>
      <c r="AL17" s="204">
        <v>683</v>
      </c>
      <c r="AM17" s="174">
        <f t="shared" si="2"/>
        <v>29324</v>
      </c>
    </row>
    <row r="18" spans="1:39" ht="15.75" thickBot="1" x14ac:dyDescent="0.3">
      <c r="A18" s="144" t="s">
        <v>20</v>
      </c>
      <c r="B18" s="695" t="s">
        <v>23</v>
      </c>
      <c r="C18" s="209">
        <f>SUM(C11:C17)</f>
        <v>5265</v>
      </c>
      <c r="D18" s="209">
        <f t="shared" ref="D18:AL18" si="3">SUM(D11:D17)</f>
        <v>5738</v>
      </c>
      <c r="E18" s="209">
        <f t="shared" si="3"/>
        <v>2422</v>
      </c>
      <c r="F18" s="209">
        <f t="shared" si="3"/>
        <v>4987</v>
      </c>
      <c r="G18" s="209">
        <f t="shared" si="3"/>
        <v>2742</v>
      </c>
      <c r="H18" s="209">
        <f t="shared" si="3"/>
        <v>3450</v>
      </c>
      <c r="I18" s="209">
        <f t="shared" si="3"/>
        <v>7405</v>
      </c>
      <c r="J18" s="209">
        <f t="shared" si="3"/>
        <v>8171</v>
      </c>
      <c r="K18" s="209">
        <f t="shared" si="3"/>
        <v>2303</v>
      </c>
      <c r="L18" s="209">
        <f t="shared" si="3"/>
        <v>9063</v>
      </c>
      <c r="M18" s="209">
        <f t="shared" si="3"/>
        <v>3268</v>
      </c>
      <c r="N18" s="209">
        <f t="shared" si="3"/>
        <v>1681</v>
      </c>
      <c r="O18" s="209">
        <f t="shared" si="3"/>
        <v>2074</v>
      </c>
      <c r="P18" s="209">
        <f t="shared" si="3"/>
        <v>1049</v>
      </c>
      <c r="Q18" s="209">
        <f t="shared" si="3"/>
        <v>1039</v>
      </c>
      <c r="R18" s="209">
        <f t="shared" si="3"/>
        <v>2412</v>
      </c>
      <c r="S18" s="209">
        <f t="shared" si="3"/>
        <v>882</v>
      </c>
      <c r="T18" s="209">
        <f t="shared" si="3"/>
        <v>3474</v>
      </c>
      <c r="U18" s="209">
        <f t="shared" si="3"/>
        <v>1210</v>
      </c>
      <c r="V18" s="209">
        <f t="shared" si="3"/>
        <v>4236</v>
      </c>
      <c r="W18" s="209">
        <f t="shared" si="3"/>
        <v>3983</v>
      </c>
      <c r="X18" s="209">
        <f t="shared" si="3"/>
        <v>2256</v>
      </c>
      <c r="Y18" s="209">
        <f t="shared" si="3"/>
        <v>3607</v>
      </c>
      <c r="Z18" s="209">
        <f t="shared" si="3"/>
        <v>0</v>
      </c>
      <c r="AA18" s="209">
        <f t="shared" si="3"/>
        <v>4269</v>
      </c>
      <c r="AB18" s="209">
        <f t="shared" si="3"/>
        <v>2424</v>
      </c>
      <c r="AC18" s="209">
        <f t="shared" si="3"/>
        <v>3957</v>
      </c>
      <c r="AD18" s="209">
        <f t="shared" si="3"/>
        <v>3858</v>
      </c>
      <c r="AE18" s="209">
        <f t="shared" si="3"/>
        <v>1246</v>
      </c>
      <c r="AF18" s="209">
        <f t="shared" si="3"/>
        <v>0</v>
      </c>
      <c r="AG18" s="209">
        <f t="shared" si="3"/>
        <v>0</v>
      </c>
      <c r="AH18" s="209">
        <f t="shared" si="3"/>
        <v>0</v>
      </c>
      <c r="AI18" s="209">
        <f t="shared" si="3"/>
        <v>0</v>
      </c>
      <c r="AJ18" s="209">
        <f t="shared" si="3"/>
        <v>0</v>
      </c>
      <c r="AK18" s="209">
        <f t="shared" si="3"/>
        <v>1444</v>
      </c>
      <c r="AL18" s="209">
        <f t="shared" si="3"/>
        <v>1198</v>
      </c>
      <c r="AM18" s="209">
        <f>SUM(AM11:AM17)</f>
        <v>101113</v>
      </c>
    </row>
    <row r="19" spans="1:39" ht="15.75" thickBot="1" x14ac:dyDescent="0.3">
      <c r="A19" s="101" t="s">
        <v>22</v>
      </c>
      <c r="B19" s="695"/>
      <c r="C19" s="209">
        <f>AVERAGE(C11:C17)</f>
        <v>752.14285714285711</v>
      </c>
      <c r="D19" s="209">
        <f t="shared" ref="D19:AM19" si="4">AVERAGE(D11:D17)</f>
        <v>819.71428571428567</v>
      </c>
      <c r="E19" s="209">
        <f t="shared" si="4"/>
        <v>346</v>
      </c>
      <c r="F19" s="209">
        <f t="shared" si="4"/>
        <v>712.42857142857144</v>
      </c>
      <c r="G19" s="209">
        <f t="shared" si="4"/>
        <v>391.71428571428572</v>
      </c>
      <c r="H19" s="209">
        <f t="shared" si="4"/>
        <v>492.85714285714283</v>
      </c>
      <c r="I19" s="209">
        <f t="shared" si="4"/>
        <v>1057.8571428571429</v>
      </c>
      <c r="J19" s="209">
        <f t="shared" si="4"/>
        <v>1167.2857142857142</v>
      </c>
      <c r="K19" s="209">
        <f t="shared" si="4"/>
        <v>329</v>
      </c>
      <c r="L19" s="209">
        <f t="shared" si="4"/>
        <v>1294.7142857142858</v>
      </c>
      <c r="M19" s="209">
        <f t="shared" si="4"/>
        <v>466.85714285714283</v>
      </c>
      <c r="N19" s="209">
        <f t="shared" si="4"/>
        <v>240.14285714285714</v>
      </c>
      <c r="O19" s="209">
        <f t="shared" si="4"/>
        <v>296.28571428571428</v>
      </c>
      <c r="P19" s="209">
        <f t="shared" si="4"/>
        <v>149.85714285714286</v>
      </c>
      <c r="Q19" s="209">
        <f t="shared" si="4"/>
        <v>148.42857142857142</v>
      </c>
      <c r="R19" s="209">
        <f t="shared" si="4"/>
        <v>344.57142857142856</v>
      </c>
      <c r="S19" s="209">
        <f t="shared" si="4"/>
        <v>126</v>
      </c>
      <c r="T19" s="209">
        <f t="shared" si="4"/>
        <v>496.28571428571428</v>
      </c>
      <c r="U19" s="209">
        <f t="shared" si="4"/>
        <v>172.85714285714286</v>
      </c>
      <c r="V19" s="209">
        <f t="shared" si="4"/>
        <v>605.14285714285711</v>
      </c>
      <c r="W19" s="209">
        <f t="shared" si="4"/>
        <v>569</v>
      </c>
      <c r="X19" s="209">
        <f t="shared" si="4"/>
        <v>322.28571428571428</v>
      </c>
      <c r="Y19" s="209">
        <f t="shared" si="4"/>
        <v>515.28571428571433</v>
      </c>
      <c r="Z19" s="209" t="e">
        <f t="shared" si="4"/>
        <v>#DIV/0!</v>
      </c>
      <c r="AA19" s="209">
        <f t="shared" si="4"/>
        <v>609.85714285714289</v>
      </c>
      <c r="AB19" s="209">
        <f t="shared" si="4"/>
        <v>346.28571428571428</v>
      </c>
      <c r="AC19" s="209">
        <f t="shared" si="4"/>
        <v>565.28571428571433</v>
      </c>
      <c r="AD19" s="209">
        <f t="shared" si="4"/>
        <v>551.14285714285711</v>
      </c>
      <c r="AE19" s="209">
        <f t="shared" si="4"/>
        <v>178</v>
      </c>
      <c r="AF19" s="209" t="e">
        <f t="shared" si="4"/>
        <v>#DIV/0!</v>
      </c>
      <c r="AG19" s="209" t="e">
        <f t="shared" si="4"/>
        <v>#DIV/0!</v>
      </c>
      <c r="AH19" s="209" t="e">
        <f t="shared" si="4"/>
        <v>#DIV/0!</v>
      </c>
      <c r="AI19" s="209" t="e">
        <f t="shared" si="4"/>
        <v>#DIV/0!</v>
      </c>
      <c r="AJ19" s="209" t="e">
        <f t="shared" si="4"/>
        <v>#DIV/0!</v>
      </c>
      <c r="AK19" s="209">
        <f t="shared" si="4"/>
        <v>722</v>
      </c>
      <c r="AL19" s="209">
        <f t="shared" si="4"/>
        <v>599</v>
      </c>
      <c r="AM19" s="209">
        <f t="shared" si="4"/>
        <v>14444.714285714286</v>
      </c>
    </row>
    <row r="20" spans="1:39" ht="15.75" thickBot="1" x14ac:dyDescent="0.3">
      <c r="A20" s="26" t="s">
        <v>19</v>
      </c>
      <c r="B20" s="695"/>
      <c r="C20" s="210">
        <f>SUM(C11:C15)</f>
        <v>2583</v>
      </c>
      <c r="D20" s="210">
        <f t="shared" ref="D20:AL20" si="5">SUM(D11:D15)</f>
        <v>2561</v>
      </c>
      <c r="E20" s="210">
        <f t="shared" si="5"/>
        <v>1262</v>
      </c>
      <c r="F20" s="210">
        <f t="shared" si="5"/>
        <v>2668</v>
      </c>
      <c r="G20" s="210">
        <f t="shared" si="5"/>
        <v>1600</v>
      </c>
      <c r="H20" s="210">
        <f t="shared" si="5"/>
        <v>1864</v>
      </c>
      <c r="I20" s="210">
        <f t="shared" si="5"/>
        <v>4248</v>
      </c>
      <c r="J20" s="210">
        <f t="shared" si="5"/>
        <v>3777</v>
      </c>
      <c r="K20" s="210">
        <f t="shared" si="5"/>
        <v>1198</v>
      </c>
      <c r="L20" s="210">
        <f t="shared" si="5"/>
        <v>4033</v>
      </c>
      <c r="M20" s="210">
        <f t="shared" si="5"/>
        <v>1681</v>
      </c>
      <c r="N20" s="210">
        <f t="shared" si="5"/>
        <v>686</v>
      </c>
      <c r="O20" s="210">
        <f t="shared" si="5"/>
        <v>980</v>
      </c>
      <c r="P20" s="210">
        <f t="shared" si="5"/>
        <v>450</v>
      </c>
      <c r="Q20" s="210">
        <f t="shared" si="5"/>
        <v>495</v>
      </c>
      <c r="R20" s="210">
        <f t="shared" si="5"/>
        <v>1077</v>
      </c>
      <c r="S20" s="210">
        <f t="shared" si="5"/>
        <v>370</v>
      </c>
      <c r="T20" s="210">
        <f t="shared" si="5"/>
        <v>1635</v>
      </c>
      <c r="U20" s="210">
        <f t="shared" si="5"/>
        <v>755</v>
      </c>
      <c r="V20" s="210">
        <f t="shared" si="5"/>
        <v>2720</v>
      </c>
      <c r="W20" s="210">
        <f t="shared" si="5"/>
        <v>2278</v>
      </c>
      <c r="X20" s="210">
        <f t="shared" si="5"/>
        <v>1063</v>
      </c>
      <c r="Y20" s="210">
        <f t="shared" si="5"/>
        <v>1845</v>
      </c>
      <c r="Z20" s="210">
        <f t="shared" si="5"/>
        <v>0</v>
      </c>
      <c r="AA20" s="210">
        <f t="shared" si="5"/>
        <v>2213</v>
      </c>
      <c r="AB20" s="210">
        <f t="shared" si="5"/>
        <v>1516</v>
      </c>
      <c r="AC20" s="210">
        <f t="shared" si="5"/>
        <v>1946</v>
      </c>
      <c r="AD20" s="210">
        <f t="shared" si="5"/>
        <v>2353</v>
      </c>
      <c r="AE20" s="210">
        <f t="shared" si="5"/>
        <v>654</v>
      </c>
      <c r="AF20" s="210">
        <f t="shared" si="5"/>
        <v>0</v>
      </c>
      <c r="AG20" s="210">
        <f t="shared" si="5"/>
        <v>0</v>
      </c>
      <c r="AH20" s="210">
        <f t="shared" si="5"/>
        <v>0</v>
      </c>
      <c r="AI20" s="210">
        <f t="shared" si="5"/>
        <v>0</v>
      </c>
      <c r="AJ20" s="210">
        <f t="shared" si="5"/>
        <v>0</v>
      </c>
      <c r="AK20" s="210">
        <f t="shared" si="5"/>
        <v>0</v>
      </c>
      <c r="AL20" s="210">
        <f t="shared" si="5"/>
        <v>0</v>
      </c>
      <c r="AM20" s="210">
        <f>SUM(AM11:AM15)</f>
        <v>50511</v>
      </c>
    </row>
    <row r="21" spans="1:39" ht="15.75" thickBot="1" x14ac:dyDescent="0.3">
      <c r="A21" s="26" t="s">
        <v>21</v>
      </c>
      <c r="B21" s="695"/>
      <c r="C21" s="210">
        <f>AVERAGE(C11:C15)</f>
        <v>516.6</v>
      </c>
      <c r="D21" s="210">
        <f t="shared" ref="D21:AM21" si="6">AVERAGE(D11:D15)</f>
        <v>512.20000000000005</v>
      </c>
      <c r="E21" s="210">
        <f t="shared" si="6"/>
        <v>252.4</v>
      </c>
      <c r="F21" s="210">
        <f t="shared" si="6"/>
        <v>533.6</v>
      </c>
      <c r="G21" s="210">
        <f t="shared" si="6"/>
        <v>320</v>
      </c>
      <c r="H21" s="210">
        <f t="shared" si="6"/>
        <v>372.8</v>
      </c>
      <c r="I21" s="210">
        <f t="shared" si="6"/>
        <v>849.6</v>
      </c>
      <c r="J21" s="210">
        <f t="shared" si="6"/>
        <v>755.4</v>
      </c>
      <c r="K21" s="210">
        <f t="shared" si="6"/>
        <v>239.6</v>
      </c>
      <c r="L21" s="210">
        <f t="shared" si="6"/>
        <v>806.6</v>
      </c>
      <c r="M21" s="210">
        <f t="shared" si="6"/>
        <v>336.2</v>
      </c>
      <c r="N21" s="210">
        <f t="shared" si="6"/>
        <v>137.19999999999999</v>
      </c>
      <c r="O21" s="210">
        <f t="shared" si="6"/>
        <v>196</v>
      </c>
      <c r="P21" s="210">
        <f t="shared" si="6"/>
        <v>90</v>
      </c>
      <c r="Q21" s="210">
        <f t="shared" si="6"/>
        <v>99</v>
      </c>
      <c r="R21" s="210">
        <f t="shared" si="6"/>
        <v>215.4</v>
      </c>
      <c r="S21" s="210">
        <f t="shared" si="6"/>
        <v>74</v>
      </c>
      <c r="T21" s="210">
        <f t="shared" si="6"/>
        <v>327</v>
      </c>
      <c r="U21" s="210">
        <f t="shared" si="6"/>
        <v>151</v>
      </c>
      <c r="V21" s="210">
        <f t="shared" si="6"/>
        <v>544</v>
      </c>
      <c r="W21" s="210">
        <f t="shared" si="6"/>
        <v>455.6</v>
      </c>
      <c r="X21" s="210">
        <f t="shared" si="6"/>
        <v>212.6</v>
      </c>
      <c r="Y21" s="210">
        <f t="shared" si="6"/>
        <v>369</v>
      </c>
      <c r="Z21" s="210" t="e">
        <f t="shared" si="6"/>
        <v>#DIV/0!</v>
      </c>
      <c r="AA21" s="210">
        <f t="shared" si="6"/>
        <v>442.6</v>
      </c>
      <c r="AB21" s="210">
        <f t="shared" si="6"/>
        <v>303.2</v>
      </c>
      <c r="AC21" s="210">
        <f t="shared" si="6"/>
        <v>389.2</v>
      </c>
      <c r="AD21" s="210">
        <f t="shared" si="6"/>
        <v>470.6</v>
      </c>
      <c r="AE21" s="210">
        <f t="shared" si="6"/>
        <v>130.80000000000001</v>
      </c>
      <c r="AF21" s="210" t="e">
        <f t="shared" si="6"/>
        <v>#DIV/0!</v>
      </c>
      <c r="AG21" s="210" t="e">
        <f t="shared" si="6"/>
        <v>#DIV/0!</v>
      </c>
      <c r="AH21" s="210" t="e">
        <f t="shared" si="6"/>
        <v>#DIV/0!</v>
      </c>
      <c r="AI21" s="210" t="e">
        <f t="shared" si="6"/>
        <v>#DIV/0!</v>
      </c>
      <c r="AJ21" s="210" t="e">
        <f t="shared" si="6"/>
        <v>#DIV/0!</v>
      </c>
      <c r="AK21" s="210" t="e">
        <f t="shared" si="6"/>
        <v>#DIV/0!</v>
      </c>
      <c r="AL21" s="210" t="e">
        <f t="shared" si="6"/>
        <v>#DIV/0!</v>
      </c>
      <c r="AM21" s="210">
        <f t="shared" si="6"/>
        <v>10102.200000000001</v>
      </c>
    </row>
    <row r="22" spans="1:39" ht="15.75" thickBot="1" x14ac:dyDescent="0.3">
      <c r="A22" s="136" t="s">
        <v>3</v>
      </c>
      <c r="B22" s="359">
        <f>B17+1</f>
        <v>44053</v>
      </c>
      <c r="C22" s="247">
        <v>619</v>
      </c>
      <c r="D22" s="195">
        <v>662</v>
      </c>
      <c r="E22" s="195">
        <v>292</v>
      </c>
      <c r="F22" s="195">
        <v>598</v>
      </c>
      <c r="G22" s="195">
        <v>347</v>
      </c>
      <c r="H22" s="195">
        <v>479</v>
      </c>
      <c r="I22" s="204">
        <v>997</v>
      </c>
      <c r="J22" s="208">
        <v>1674</v>
      </c>
      <c r="K22" s="195">
        <v>327</v>
      </c>
      <c r="L22" s="204">
        <v>1646</v>
      </c>
      <c r="M22" s="208">
        <v>418</v>
      </c>
      <c r="N22" s="195">
        <v>151</v>
      </c>
      <c r="O22" s="195">
        <v>255</v>
      </c>
      <c r="P22" s="195">
        <v>104</v>
      </c>
      <c r="Q22" s="203">
        <v>132</v>
      </c>
      <c r="R22" s="195">
        <v>246</v>
      </c>
      <c r="S22" s="204">
        <v>100</v>
      </c>
      <c r="T22" s="217">
        <v>483</v>
      </c>
      <c r="U22" s="195">
        <v>164</v>
      </c>
      <c r="V22" s="195">
        <v>619</v>
      </c>
      <c r="W22" s="195">
        <v>492</v>
      </c>
      <c r="X22" s="195">
        <v>283</v>
      </c>
      <c r="Y22" s="203">
        <v>487</v>
      </c>
      <c r="Z22" s="203"/>
      <c r="AA22" s="208">
        <v>558</v>
      </c>
      <c r="AB22" s="170">
        <v>358</v>
      </c>
      <c r="AC22" s="195">
        <v>484</v>
      </c>
      <c r="AD22" s="195">
        <v>534</v>
      </c>
      <c r="AE22" s="204">
        <v>174</v>
      </c>
      <c r="AF22" s="217"/>
      <c r="AG22" s="195"/>
      <c r="AH22" s="195"/>
      <c r="AI22" s="195"/>
      <c r="AJ22" s="204"/>
      <c r="AK22" s="208"/>
      <c r="AL22" s="204"/>
      <c r="AM22" s="174">
        <f t="shared" ref="AM22:AM28" si="7">SUM(C22:AL22)</f>
        <v>13683</v>
      </c>
    </row>
    <row r="23" spans="1:39" ht="15.75" thickBot="1" x14ac:dyDescent="0.3">
      <c r="A23" s="136" t="s">
        <v>4</v>
      </c>
      <c r="B23" s="359">
        <f t="shared" ref="B23:B28" si="8">B22+1</f>
        <v>44054</v>
      </c>
      <c r="C23" s="247">
        <v>767</v>
      </c>
      <c r="D23" s="195">
        <v>735</v>
      </c>
      <c r="E23" s="195">
        <v>275</v>
      </c>
      <c r="F23" s="195">
        <v>623</v>
      </c>
      <c r="G23" s="195">
        <v>414</v>
      </c>
      <c r="H23" s="195">
        <v>494</v>
      </c>
      <c r="I23" s="204">
        <v>1081</v>
      </c>
      <c r="J23" s="208">
        <v>1546</v>
      </c>
      <c r="K23" s="195">
        <v>368</v>
      </c>
      <c r="L23" s="204">
        <v>1557</v>
      </c>
      <c r="M23" s="208">
        <v>419</v>
      </c>
      <c r="N23" s="195">
        <v>177</v>
      </c>
      <c r="O23" s="195">
        <v>245</v>
      </c>
      <c r="P23" s="195">
        <v>134</v>
      </c>
      <c r="Q23" s="203">
        <v>116</v>
      </c>
      <c r="R23" s="195">
        <v>335</v>
      </c>
      <c r="S23" s="204">
        <v>151</v>
      </c>
      <c r="T23" s="217">
        <v>547</v>
      </c>
      <c r="U23" s="170">
        <v>205</v>
      </c>
      <c r="V23" s="195">
        <v>705</v>
      </c>
      <c r="W23" s="195">
        <v>514</v>
      </c>
      <c r="X23" s="195">
        <v>284</v>
      </c>
      <c r="Y23" s="203">
        <v>496</v>
      </c>
      <c r="Z23" s="203"/>
      <c r="AA23" s="208">
        <v>638</v>
      </c>
      <c r="AB23" s="170">
        <v>398</v>
      </c>
      <c r="AC23" s="195">
        <v>582</v>
      </c>
      <c r="AD23" s="195">
        <v>596</v>
      </c>
      <c r="AE23" s="204">
        <v>185</v>
      </c>
      <c r="AF23" s="217"/>
      <c r="AG23" s="170"/>
      <c r="AH23" s="195"/>
      <c r="AI23" s="195"/>
      <c r="AJ23" s="204"/>
      <c r="AK23" s="208"/>
      <c r="AL23" s="204"/>
      <c r="AM23" s="174">
        <f t="shared" si="7"/>
        <v>14587</v>
      </c>
    </row>
    <row r="24" spans="1:39" ht="15.75" thickBot="1" x14ac:dyDescent="0.3">
      <c r="A24" s="136" t="s">
        <v>5</v>
      </c>
      <c r="B24" s="359">
        <f t="shared" si="8"/>
        <v>44055</v>
      </c>
      <c r="C24" s="247">
        <v>500</v>
      </c>
      <c r="D24" s="195">
        <v>492</v>
      </c>
      <c r="E24" s="195">
        <v>286</v>
      </c>
      <c r="F24" s="195">
        <v>510</v>
      </c>
      <c r="G24" s="195">
        <v>345</v>
      </c>
      <c r="H24" s="195">
        <v>362</v>
      </c>
      <c r="I24" s="204">
        <v>850</v>
      </c>
      <c r="J24" s="208">
        <v>568</v>
      </c>
      <c r="K24" s="195">
        <v>183</v>
      </c>
      <c r="L24" s="204">
        <v>599</v>
      </c>
      <c r="M24" s="208">
        <v>336</v>
      </c>
      <c r="N24" s="195">
        <v>99</v>
      </c>
      <c r="O24" s="195">
        <v>138</v>
      </c>
      <c r="P24" s="195">
        <v>82</v>
      </c>
      <c r="Q24" s="203">
        <v>68</v>
      </c>
      <c r="R24" s="195">
        <v>181</v>
      </c>
      <c r="S24" s="204">
        <v>67</v>
      </c>
      <c r="T24" s="217">
        <v>268</v>
      </c>
      <c r="U24" s="195">
        <v>156</v>
      </c>
      <c r="V24" s="195">
        <v>590</v>
      </c>
      <c r="W24" s="195">
        <v>429</v>
      </c>
      <c r="X24" s="195">
        <v>178</v>
      </c>
      <c r="Y24" s="203">
        <v>342</v>
      </c>
      <c r="Z24" s="203"/>
      <c r="AA24" s="208">
        <v>424</v>
      </c>
      <c r="AB24" s="170">
        <v>310</v>
      </c>
      <c r="AC24" s="195">
        <v>356</v>
      </c>
      <c r="AD24" s="195">
        <v>463</v>
      </c>
      <c r="AE24" s="204">
        <v>117</v>
      </c>
      <c r="AF24" s="217"/>
      <c r="AG24" s="195"/>
      <c r="AH24" s="195"/>
      <c r="AI24" s="195"/>
      <c r="AJ24" s="204"/>
      <c r="AK24" s="208"/>
      <c r="AL24" s="204"/>
      <c r="AM24" s="174">
        <f t="shared" si="7"/>
        <v>9299</v>
      </c>
    </row>
    <row r="25" spans="1:39" ht="15.75" thickBot="1" x14ac:dyDescent="0.3">
      <c r="A25" s="136" t="s">
        <v>6</v>
      </c>
      <c r="B25" s="359">
        <f t="shared" si="8"/>
        <v>44056</v>
      </c>
      <c r="C25" s="247">
        <v>418</v>
      </c>
      <c r="D25" s="195">
        <v>348</v>
      </c>
      <c r="E25" s="195">
        <v>215</v>
      </c>
      <c r="F25" s="195">
        <v>395</v>
      </c>
      <c r="G25" s="195">
        <v>283</v>
      </c>
      <c r="H25" s="195">
        <v>235</v>
      </c>
      <c r="I25" s="204">
        <v>787</v>
      </c>
      <c r="J25" s="208">
        <v>368</v>
      </c>
      <c r="K25" s="195">
        <v>143</v>
      </c>
      <c r="L25" s="204">
        <v>393</v>
      </c>
      <c r="M25" s="208">
        <v>252</v>
      </c>
      <c r="N25" s="195">
        <v>64</v>
      </c>
      <c r="O25" s="195">
        <v>116</v>
      </c>
      <c r="P25" s="195">
        <v>70</v>
      </c>
      <c r="Q25" s="203">
        <v>70</v>
      </c>
      <c r="R25" s="195">
        <v>132</v>
      </c>
      <c r="S25" s="204">
        <v>29</v>
      </c>
      <c r="T25" s="217">
        <v>268</v>
      </c>
      <c r="U25" s="195">
        <v>137</v>
      </c>
      <c r="V25" s="195">
        <v>534</v>
      </c>
      <c r="W25" s="195">
        <v>347</v>
      </c>
      <c r="X25" s="195">
        <v>178</v>
      </c>
      <c r="Y25" s="203">
        <v>344</v>
      </c>
      <c r="Z25" s="203"/>
      <c r="AA25" s="208">
        <v>322</v>
      </c>
      <c r="AB25" s="170">
        <v>284</v>
      </c>
      <c r="AC25" s="195">
        <v>343</v>
      </c>
      <c r="AD25" s="195">
        <v>374</v>
      </c>
      <c r="AE25" s="204">
        <v>80</v>
      </c>
      <c r="AF25" s="217"/>
      <c r="AG25" s="195"/>
      <c r="AH25" s="195"/>
      <c r="AI25" s="195"/>
      <c r="AJ25" s="204"/>
      <c r="AK25" s="208"/>
      <c r="AL25" s="204"/>
      <c r="AM25" s="174">
        <f>SUM(C25:AL25)</f>
        <v>7529</v>
      </c>
    </row>
    <row r="26" spans="1:39" ht="15.75" thickBot="1" x14ac:dyDescent="0.3">
      <c r="A26" s="136" t="s">
        <v>0</v>
      </c>
      <c r="B26" s="359">
        <f t="shared" si="8"/>
        <v>44057</v>
      </c>
      <c r="C26" s="247">
        <v>747</v>
      </c>
      <c r="D26" s="195">
        <v>973</v>
      </c>
      <c r="E26" s="195">
        <v>469</v>
      </c>
      <c r="F26" s="195">
        <v>776</v>
      </c>
      <c r="G26" s="195">
        <v>416</v>
      </c>
      <c r="H26" s="195">
        <v>544</v>
      </c>
      <c r="I26" s="204">
        <v>1174</v>
      </c>
      <c r="J26" s="208">
        <v>1026</v>
      </c>
      <c r="K26" s="195">
        <v>279</v>
      </c>
      <c r="L26" s="204">
        <v>1046</v>
      </c>
      <c r="M26" s="208">
        <v>411</v>
      </c>
      <c r="N26" s="195">
        <v>222</v>
      </c>
      <c r="O26" s="195">
        <v>304</v>
      </c>
      <c r="P26" s="195">
        <v>147</v>
      </c>
      <c r="Q26" s="203">
        <v>106</v>
      </c>
      <c r="R26" s="195">
        <v>346</v>
      </c>
      <c r="S26" s="204">
        <v>139</v>
      </c>
      <c r="T26" s="217">
        <v>475</v>
      </c>
      <c r="U26" s="195">
        <v>199</v>
      </c>
      <c r="V26" s="195">
        <v>762</v>
      </c>
      <c r="W26" s="195">
        <v>610</v>
      </c>
      <c r="X26" s="195">
        <v>370</v>
      </c>
      <c r="Y26" s="203">
        <v>562</v>
      </c>
      <c r="Z26" s="203"/>
      <c r="AA26" s="208">
        <v>632</v>
      </c>
      <c r="AB26" s="170">
        <v>403</v>
      </c>
      <c r="AC26" s="195">
        <v>672</v>
      </c>
      <c r="AD26" s="195">
        <v>633</v>
      </c>
      <c r="AE26" s="204">
        <v>218</v>
      </c>
      <c r="AF26" s="217"/>
      <c r="AG26" s="195"/>
      <c r="AH26" s="195"/>
      <c r="AI26" s="195"/>
      <c r="AJ26" s="204"/>
      <c r="AK26" s="208"/>
      <c r="AL26" s="204"/>
      <c r="AM26" s="174">
        <f t="shared" si="7"/>
        <v>14661</v>
      </c>
    </row>
    <row r="27" spans="1:39" ht="15.75" thickBot="1" x14ac:dyDescent="0.3">
      <c r="A27" s="136" t="s">
        <v>1</v>
      </c>
      <c r="B27" s="359">
        <f t="shared" si="8"/>
        <v>44058</v>
      </c>
      <c r="C27" s="247">
        <v>1527</v>
      </c>
      <c r="D27" s="195">
        <v>1583</v>
      </c>
      <c r="E27" s="195">
        <v>524</v>
      </c>
      <c r="F27" s="195">
        <v>1285</v>
      </c>
      <c r="G27" s="195">
        <v>753</v>
      </c>
      <c r="H27" s="195">
        <v>939</v>
      </c>
      <c r="I27" s="204">
        <v>1923</v>
      </c>
      <c r="J27" s="208">
        <v>3158</v>
      </c>
      <c r="K27" s="195">
        <v>630</v>
      </c>
      <c r="L27" s="204">
        <v>3058</v>
      </c>
      <c r="M27" s="208">
        <v>948</v>
      </c>
      <c r="N27" s="195">
        <v>480</v>
      </c>
      <c r="O27" s="195">
        <v>461</v>
      </c>
      <c r="P27" s="195">
        <v>359</v>
      </c>
      <c r="Q27" s="203">
        <v>161</v>
      </c>
      <c r="R27" s="195">
        <v>704</v>
      </c>
      <c r="S27" s="204">
        <v>289</v>
      </c>
      <c r="T27" s="217">
        <v>990</v>
      </c>
      <c r="U27" s="195">
        <v>209</v>
      </c>
      <c r="V27" s="195">
        <v>792</v>
      </c>
      <c r="W27" s="195">
        <v>971</v>
      </c>
      <c r="X27" s="195">
        <v>689</v>
      </c>
      <c r="Y27" s="203">
        <v>950</v>
      </c>
      <c r="Z27" s="203"/>
      <c r="AA27" s="208">
        <v>1376</v>
      </c>
      <c r="AB27" s="170">
        <v>588</v>
      </c>
      <c r="AC27" s="195">
        <v>1164</v>
      </c>
      <c r="AD27" s="195">
        <v>900</v>
      </c>
      <c r="AE27" s="204">
        <v>290</v>
      </c>
      <c r="AF27" s="217"/>
      <c r="AG27" s="195"/>
      <c r="AH27" s="195"/>
      <c r="AI27" s="195"/>
      <c r="AJ27" s="204"/>
      <c r="AK27" s="208">
        <v>877</v>
      </c>
      <c r="AL27" s="204">
        <v>449</v>
      </c>
      <c r="AM27" s="174">
        <f t="shared" si="7"/>
        <v>29027</v>
      </c>
    </row>
    <row r="28" spans="1:39" ht="15.75" thickBot="1" x14ac:dyDescent="0.3">
      <c r="A28" s="136" t="s">
        <v>2</v>
      </c>
      <c r="B28" s="359">
        <f t="shared" si="8"/>
        <v>44059</v>
      </c>
      <c r="C28" s="247">
        <v>266</v>
      </c>
      <c r="D28" s="195">
        <v>295</v>
      </c>
      <c r="E28" s="195">
        <v>143</v>
      </c>
      <c r="F28" s="195">
        <v>246</v>
      </c>
      <c r="G28" s="195">
        <v>133</v>
      </c>
      <c r="H28" s="195">
        <v>190</v>
      </c>
      <c r="I28" s="204">
        <v>366</v>
      </c>
      <c r="J28" s="208">
        <v>223</v>
      </c>
      <c r="K28" s="195">
        <v>102</v>
      </c>
      <c r="L28" s="204">
        <v>261</v>
      </c>
      <c r="M28" s="208">
        <v>140</v>
      </c>
      <c r="N28" s="195">
        <v>71</v>
      </c>
      <c r="O28" s="195">
        <v>66</v>
      </c>
      <c r="P28" s="195">
        <v>71</v>
      </c>
      <c r="Q28" s="203">
        <v>44</v>
      </c>
      <c r="R28" s="195">
        <v>100</v>
      </c>
      <c r="S28" s="204">
        <v>39</v>
      </c>
      <c r="T28" s="217">
        <v>137</v>
      </c>
      <c r="U28" s="195">
        <v>40</v>
      </c>
      <c r="V28" s="195">
        <v>207</v>
      </c>
      <c r="W28" s="195">
        <v>172</v>
      </c>
      <c r="X28" s="195">
        <v>102</v>
      </c>
      <c r="Y28" s="203">
        <v>173</v>
      </c>
      <c r="Z28" s="203"/>
      <c r="AA28" s="208">
        <v>184</v>
      </c>
      <c r="AB28" s="170">
        <v>143</v>
      </c>
      <c r="AC28" s="195">
        <v>166</v>
      </c>
      <c r="AD28" s="195">
        <v>171</v>
      </c>
      <c r="AE28" s="204">
        <v>51</v>
      </c>
      <c r="AF28" s="217"/>
      <c r="AG28" s="195"/>
      <c r="AH28" s="195"/>
      <c r="AI28" s="195"/>
      <c r="AJ28" s="204"/>
      <c r="AK28" s="208">
        <v>21</v>
      </c>
      <c r="AL28" s="204">
        <v>18</v>
      </c>
      <c r="AM28" s="174">
        <f t="shared" si="7"/>
        <v>4341</v>
      </c>
    </row>
    <row r="29" spans="1:39" ht="15.75" thickBot="1" x14ac:dyDescent="0.3">
      <c r="A29" s="144" t="s">
        <v>20</v>
      </c>
      <c r="B29" s="695" t="s">
        <v>24</v>
      </c>
      <c r="C29" s="209">
        <f>SUM(C22:C28)</f>
        <v>4844</v>
      </c>
      <c r="D29" s="209">
        <f t="shared" ref="D29:AL29" si="9">SUM(D22:D28)</f>
        <v>5088</v>
      </c>
      <c r="E29" s="209">
        <f t="shared" si="9"/>
        <v>2204</v>
      </c>
      <c r="F29" s="209">
        <f t="shared" si="9"/>
        <v>4433</v>
      </c>
      <c r="G29" s="209">
        <f t="shared" si="9"/>
        <v>2691</v>
      </c>
      <c r="H29" s="209">
        <f t="shared" si="9"/>
        <v>3243</v>
      </c>
      <c r="I29" s="209">
        <f t="shared" si="9"/>
        <v>7178</v>
      </c>
      <c r="J29" s="209">
        <f t="shared" si="9"/>
        <v>8563</v>
      </c>
      <c r="K29" s="209">
        <f t="shared" si="9"/>
        <v>2032</v>
      </c>
      <c r="L29" s="209">
        <f t="shared" si="9"/>
        <v>8560</v>
      </c>
      <c r="M29" s="209">
        <f t="shared" si="9"/>
        <v>2924</v>
      </c>
      <c r="N29" s="209">
        <f t="shared" si="9"/>
        <v>1264</v>
      </c>
      <c r="O29" s="209">
        <f t="shared" si="9"/>
        <v>1585</v>
      </c>
      <c r="P29" s="209">
        <f t="shared" si="9"/>
        <v>967</v>
      </c>
      <c r="Q29" s="209">
        <f t="shared" si="9"/>
        <v>697</v>
      </c>
      <c r="R29" s="209">
        <f t="shared" si="9"/>
        <v>2044</v>
      </c>
      <c r="S29" s="209">
        <f t="shared" si="9"/>
        <v>814</v>
      </c>
      <c r="T29" s="209">
        <f t="shared" si="9"/>
        <v>3168</v>
      </c>
      <c r="U29" s="209">
        <f t="shared" si="9"/>
        <v>1110</v>
      </c>
      <c r="V29" s="209">
        <f t="shared" si="9"/>
        <v>4209</v>
      </c>
      <c r="W29" s="209">
        <f t="shared" si="9"/>
        <v>3535</v>
      </c>
      <c r="X29" s="209">
        <f t="shared" si="9"/>
        <v>2084</v>
      </c>
      <c r="Y29" s="209">
        <f t="shared" si="9"/>
        <v>3354</v>
      </c>
      <c r="Z29" s="209">
        <f t="shared" si="9"/>
        <v>0</v>
      </c>
      <c r="AA29" s="209">
        <f t="shared" si="9"/>
        <v>4134</v>
      </c>
      <c r="AB29" s="209">
        <f t="shared" si="9"/>
        <v>2484</v>
      </c>
      <c r="AC29" s="209">
        <f t="shared" si="9"/>
        <v>3767</v>
      </c>
      <c r="AD29" s="209">
        <f t="shared" si="9"/>
        <v>3671</v>
      </c>
      <c r="AE29" s="209">
        <f t="shared" si="9"/>
        <v>1115</v>
      </c>
      <c r="AF29" s="209">
        <f t="shared" si="9"/>
        <v>0</v>
      </c>
      <c r="AG29" s="209">
        <f t="shared" si="9"/>
        <v>0</v>
      </c>
      <c r="AH29" s="209">
        <f t="shared" si="9"/>
        <v>0</v>
      </c>
      <c r="AI29" s="209">
        <f t="shared" si="9"/>
        <v>0</v>
      </c>
      <c r="AJ29" s="209">
        <f t="shared" si="9"/>
        <v>0</v>
      </c>
      <c r="AK29" s="209">
        <f t="shared" si="9"/>
        <v>898</v>
      </c>
      <c r="AL29" s="209">
        <f t="shared" si="9"/>
        <v>467</v>
      </c>
      <c r="AM29" s="209">
        <f>SUM(AM22:AM28)</f>
        <v>93127</v>
      </c>
    </row>
    <row r="30" spans="1:39" ht="15.75" thickBot="1" x14ac:dyDescent="0.3">
      <c r="A30" s="101" t="s">
        <v>22</v>
      </c>
      <c r="B30" s="695"/>
      <c r="C30" s="209">
        <f>AVERAGE(C22:C28)</f>
        <v>692</v>
      </c>
      <c r="D30" s="209">
        <f t="shared" ref="D30:AM30" si="10">AVERAGE(D22:D28)</f>
        <v>726.85714285714289</v>
      </c>
      <c r="E30" s="209">
        <f t="shared" si="10"/>
        <v>314.85714285714283</v>
      </c>
      <c r="F30" s="209">
        <f t="shared" si="10"/>
        <v>633.28571428571433</v>
      </c>
      <c r="G30" s="209">
        <f t="shared" si="10"/>
        <v>384.42857142857144</v>
      </c>
      <c r="H30" s="209">
        <f t="shared" si="10"/>
        <v>463.28571428571428</v>
      </c>
      <c r="I30" s="209">
        <f t="shared" si="10"/>
        <v>1025.4285714285713</v>
      </c>
      <c r="J30" s="209">
        <f t="shared" si="10"/>
        <v>1223.2857142857142</v>
      </c>
      <c r="K30" s="209">
        <f t="shared" si="10"/>
        <v>290.28571428571428</v>
      </c>
      <c r="L30" s="209">
        <f t="shared" si="10"/>
        <v>1222.8571428571429</v>
      </c>
      <c r="M30" s="209">
        <f t="shared" si="10"/>
        <v>417.71428571428572</v>
      </c>
      <c r="N30" s="209">
        <f t="shared" si="10"/>
        <v>180.57142857142858</v>
      </c>
      <c r="O30" s="209">
        <f t="shared" si="10"/>
        <v>226.42857142857142</v>
      </c>
      <c r="P30" s="209">
        <f t="shared" si="10"/>
        <v>138.14285714285714</v>
      </c>
      <c r="Q30" s="209">
        <f t="shared" si="10"/>
        <v>99.571428571428569</v>
      </c>
      <c r="R30" s="209">
        <f t="shared" si="10"/>
        <v>292</v>
      </c>
      <c r="S30" s="209">
        <f t="shared" si="10"/>
        <v>116.28571428571429</v>
      </c>
      <c r="T30" s="209">
        <f t="shared" si="10"/>
        <v>452.57142857142856</v>
      </c>
      <c r="U30" s="209">
        <f t="shared" si="10"/>
        <v>158.57142857142858</v>
      </c>
      <c r="V30" s="209">
        <f t="shared" si="10"/>
        <v>601.28571428571433</v>
      </c>
      <c r="W30" s="209">
        <f t="shared" si="10"/>
        <v>505</v>
      </c>
      <c r="X30" s="209">
        <f t="shared" si="10"/>
        <v>297.71428571428572</v>
      </c>
      <c r="Y30" s="209">
        <f t="shared" si="10"/>
        <v>479.14285714285717</v>
      </c>
      <c r="Z30" s="209" t="e">
        <f t="shared" si="10"/>
        <v>#DIV/0!</v>
      </c>
      <c r="AA30" s="209">
        <f t="shared" si="10"/>
        <v>590.57142857142856</v>
      </c>
      <c r="AB30" s="209">
        <f t="shared" si="10"/>
        <v>354.85714285714283</v>
      </c>
      <c r="AC30" s="209">
        <f t="shared" si="10"/>
        <v>538.14285714285711</v>
      </c>
      <c r="AD30" s="209">
        <f t="shared" si="10"/>
        <v>524.42857142857144</v>
      </c>
      <c r="AE30" s="209">
        <f t="shared" si="10"/>
        <v>159.28571428571428</v>
      </c>
      <c r="AF30" s="209" t="e">
        <f t="shared" si="10"/>
        <v>#DIV/0!</v>
      </c>
      <c r="AG30" s="209" t="e">
        <f t="shared" si="10"/>
        <v>#DIV/0!</v>
      </c>
      <c r="AH30" s="209" t="e">
        <f t="shared" si="10"/>
        <v>#DIV/0!</v>
      </c>
      <c r="AI30" s="209" t="e">
        <f t="shared" si="10"/>
        <v>#DIV/0!</v>
      </c>
      <c r="AJ30" s="209" t="e">
        <f t="shared" si="10"/>
        <v>#DIV/0!</v>
      </c>
      <c r="AK30" s="209">
        <f t="shared" si="10"/>
        <v>449</v>
      </c>
      <c r="AL30" s="209">
        <f t="shared" si="10"/>
        <v>233.5</v>
      </c>
      <c r="AM30" s="209">
        <f t="shared" si="10"/>
        <v>13303.857142857143</v>
      </c>
    </row>
    <row r="31" spans="1:39" ht="15.75" thickBot="1" x14ac:dyDescent="0.3">
      <c r="A31" s="26" t="s">
        <v>19</v>
      </c>
      <c r="B31" s="695"/>
      <c r="C31" s="210">
        <f>SUM(C22:C26)</f>
        <v>3051</v>
      </c>
      <c r="D31" s="210">
        <f t="shared" ref="D31:AM31" si="11">SUM(D22:D26)</f>
        <v>3210</v>
      </c>
      <c r="E31" s="210">
        <f t="shared" si="11"/>
        <v>1537</v>
      </c>
      <c r="F31" s="210">
        <f t="shared" si="11"/>
        <v>2902</v>
      </c>
      <c r="G31" s="210">
        <f t="shared" si="11"/>
        <v>1805</v>
      </c>
      <c r="H31" s="210">
        <f t="shared" si="11"/>
        <v>2114</v>
      </c>
      <c r="I31" s="210">
        <f t="shared" si="11"/>
        <v>4889</v>
      </c>
      <c r="J31" s="210">
        <f t="shared" si="11"/>
        <v>5182</v>
      </c>
      <c r="K31" s="210">
        <f t="shared" si="11"/>
        <v>1300</v>
      </c>
      <c r="L31" s="210">
        <f t="shared" si="11"/>
        <v>5241</v>
      </c>
      <c r="M31" s="210">
        <f t="shared" si="11"/>
        <v>1836</v>
      </c>
      <c r="N31" s="210">
        <f t="shared" si="11"/>
        <v>713</v>
      </c>
      <c r="O31" s="210">
        <f t="shared" si="11"/>
        <v>1058</v>
      </c>
      <c r="P31" s="210">
        <f t="shared" si="11"/>
        <v>537</v>
      </c>
      <c r="Q31" s="210">
        <f t="shared" si="11"/>
        <v>492</v>
      </c>
      <c r="R31" s="210">
        <f t="shared" si="11"/>
        <v>1240</v>
      </c>
      <c r="S31" s="210">
        <f t="shared" si="11"/>
        <v>486</v>
      </c>
      <c r="T31" s="210">
        <f t="shared" si="11"/>
        <v>2041</v>
      </c>
      <c r="U31" s="210">
        <f t="shared" si="11"/>
        <v>861</v>
      </c>
      <c r="V31" s="210">
        <f t="shared" si="11"/>
        <v>3210</v>
      </c>
      <c r="W31" s="210">
        <f t="shared" si="11"/>
        <v>2392</v>
      </c>
      <c r="X31" s="210">
        <f t="shared" si="11"/>
        <v>1293</v>
      </c>
      <c r="Y31" s="210">
        <f t="shared" si="11"/>
        <v>2231</v>
      </c>
      <c r="Z31" s="210">
        <f t="shared" si="11"/>
        <v>0</v>
      </c>
      <c r="AA31" s="210">
        <f t="shared" si="11"/>
        <v>2574</v>
      </c>
      <c r="AB31" s="210">
        <f t="shared" si="11"/>
        <v>1753</v>
      </c>
      <c r="AC31" s="210">
        <f t="shared" si="11"/>
        <v>2437</v>
      </c>
      <c r="AD31" s="210">
        <f t="shared" si="11"/>
        <v>2600</v>
      </c>
      <c r="AE31" s="210">
        <f t="shared" si="11"/>
        <v>774</v>
      </c>
      <c r="AF31" s="210">
        <f t="shared" si="11"/>
        <v>0</v>
      </c>
      <c r="AG31" s="210">
        <f t="shared" si="11"/>
        <v>0</v>
      </c>
      <c r="AH31" s="210">
        <f t="shared" si="11"/>
        <v>0</v>
      </c>
      <c r="AI31" s="210">
        <f t="shared" si="11"/>
        <v>0</v>
      </c>
      <c r="AJ31" s="210">
        <f t="shared" si="11"/>
        <v>0</v>
      </c>
      <c r="AK31" s="210">
        <f t="shared" si="11"/>
        <v>0</v>
      </c>
      <c r="AL31" s="210">
        <f t="shared" si="11"/>
        <v>0</v>
      </c>
      <c r="AM31" s="210">
        <f t="shared" si="11"/>
        <v>59759</v>
      </c>
    </row>
    <row r="32" spans="1:39" ht="15.75" thickBot="1" x14ac:dyDescent="0.3">
      <c r="A32" s="26" t="s">
        <v>21</v>
      </c>
      <c r="B32" s="695"/>
      <c r="C32" s="210">
        <f t="shared" ref="C32" si="12">AVERAGE(C22:C26)</f>
        <v>610.20000000000005</v>
      </c>
      <c r="D32" s="210">
        <f t="shared" ref="D32:AM32" si="13">AVERAGE(D22:D26)</f>
        <v>642</v>
      </c>
      <c r="E32" s="210">
        <f t="shared" si="13"/>
        <v>307.39999999999998</v>
      </c>
      <c r="F32" s="210">
        <f t="shared" si="13"/>
        <v>580.4</v>
      </c>
      <c r="G32" s="210">
        <f t="shared" si="13"/>
        <v>361</v>
      </c>
      <c r="H32" s="210">
        <f t="shared" si="13"/>
        <v>422.8</v>
      </c>
      <c r="I32" s="210">
        <f t="shared" si="13"/>
        <v>977.8</v>
      </c>
      <c r="J32" s="210">
        <f t="shared" si="13"/>
        <v>1036.4000000000001</v>
      </c>
      <c r="K32" s="210">
        <f t="shared" si="13"/>
        <v>260</v>
      </c>
      <c r="L32" s="210">
        <f t="shared" si="13"/>
        <v>1048.2</v>
      </c>
      <c r="M32" s="210">
        <f t="shared" si="13"/>
        <v>367.2</v>
      </c>
      <c r="N32" s="210">
        <f t="shared" si="13"/>
        <v>142.6</v>
      </c>
      <c r="O32" s="210">
        <f t="shared" si="13"/>
        <v>211.6</v>
      </c>
      <c r="P32" s="210">
        <f t="shared" si="13"/>
        <v>107.4</v>
      </c>
      <c r="Q32" s="210">
        <f t="shared" si="13"/>
        <v>98.4</v>
      </c>
      <c r="R32" s="210">
        <f t="shared" si="13"/>
        <v>248</v>
      </c>
      <c r="S32" s="210">
        <f t="shared" si="13"/>
        <v>97.2</v>
      </c>
      <c r="T32" s="210">
        <f t="shared" si="13"/>
        <v>408.2</v>
      </c>
      <c r="U32" s="210">
        <f t="shared" si="13"/>
        <v>172.2</v>
      </c>
      <c r="V32" s="210">
        <f t="shared" si="13"/>
        <v>642</v>
      </c>
      <c r="W32" s="210">
        <f t="shared" si="13"/>
        <v>478.4</v>
      </c>
      <c r="X32" s="210">
        <f t="shared" si="13"/>
        <v>258.60000000000002</v>
      </c>
      <c r="Y32" s="210">
        <f t="shared" si="13"/>
        <v>446.2</v>
      </c>
      <c r="Z32" s="210" t="e">
        <f t="shared" si="13"/>
        <v>#DIV/0!</v>
      </c>
      <c r="AA32" s="210">
        <f t="shared" si="13"/>
        <v>514.79999999999995</v>
      </c>
      <c r="AB32" s="210">
        <f t="shared" si="13"/>
        <v>350.6</v>
      </c>
      <c r="AC32" s="210">
        <f t="shared" si="13"/>
        <v>487.4</v>
      </c>
      <c r="AD32" s="210">
        <f t="shared" si="13"/>
        <v>520</v>
      </c>
      <c r="AE32" s="210">
        <f t="shared" si="13"/>
        <v>154.80000000000001</v>
      </c>
      <c r="AF32" s="210" t="e">
        <f t="shared" si="13"/>
        <v>#DIV/0!</v>
      </c>
      <c r="AG32" s="210" t="e">
        <f t="shared" si="13"/>
        <v>#DIV/0!</v>
      </c>
      <c r="AH32" s="210" t="e">
        <f t="shared" si="13"/>
        <v>#DIV/0!</v>
      </c>
      <c r="AI32" s="210" t="e">
        <f t="shared" si="13"/>
        <v>#DIV/0!</v>
      </c>
      <c r="AJ32" s="210" t="e">
        <f t="shared" si="13"/>
        <v>#DIV/0!</v>
      </c>
      <c r="AK32" s="210" t="e">
        <f t="shared" si="13"/>
        <v>#DIV/0!</v>
      </c>
      <c r="AL32" s="210" t="e">
        <f t="shared" si="13"/>
        <v>#DIV/0!</v>
      </c>
      <c r="AM32" s="210">
        <f t="shared" si="13"/>
        <v>11951.8</v>
      </c>
    </row>
    <row r="33" spans="1:39" ht="15.75" thickBot="1" x14ac:dyDescent="0.3">
      <c r="A33" s="136" t="s">
        <v>3</v>
      </c>
      <c r="B33" s="216">
        <f>B28+1</f>
        <v>44060</v>
      </c>
      <c r="C33" s="247">
        <v>600</v>
      </c>
      <c r="D33" s="248">
        <v>661</v>
      </c>
      <c r="E33" s="170">
        <v>316</v>
      </c>
      <c r="F33" s="170">
        <v>551</v>
      </c>
      <c r="G33" s="170">
        <v>384</v>
      </c>
      <c r="H33" s="170">
        <v>484</v>
      </c>
      <c r="I33" s="207">
        <v>1011</v>
      </c>
      <c r="J33" s="211">
        <v>888</v>
      </c>
      <c r="K33" s="170">
        <v>282</v>
      </c>
      <c r="L33" s="207">
        <v>917</v>
      </c>
      <c r="M33" s="211">
        <v>424</v>
      </c>
      <c r="N33" s="170">
        <v>195</v>
      </c>
      <c r="O33" s="170">
        <v>243</v>
      </c>
      <c r="P33" s="170">
        <v>137</v>
      </c>
      <c r="Q33" s="172">
        <v>85</v>
      </c>
      <c r="R33" s="170">
        <v>289</v>
      </c>
      <c r="S33" s="207">
        <v>99</v>
      </c>
      <c r="T33" s="246">
        <v>458</v>
      </c>
      <c r="U33" s="170">
        <v>191</v>
      </c>
      <c r="V33" s="170">
        <v>568</v>
      </c>
      <c r="W33" s="170">
        <v>384</v>
      </c>
      <c r="X33" s="170">
        <v>249</v>
      </c>
      <c r="Y33" s="172">
        <v>414</v>
      </c>
      <c r="Z33" s="172"/>
      <c r="AA33" s="211">
        <v>566</v>
      </c>
      <c r="AB33" s="170">
        <v>375</v>
      </c>
      <c r="AC33" s="170">
        <v>475</v>
      </c>
      <c r="AD33" s="170">
        <v>578</v>
      </c>
      <c r="AE33" s="207">
        <v>140</v>
      </c>
      <c r="AF33" s="246"/>
      <c r="AG33" s="170"/>
      <c r="AH33" s="170"/>
      <c r="AI33" s="170"/>
      <c r="AJ33" s="207"/>
      <c r="AK33" s="208"/>
      <c r="AL33" s="204"/>
      <c r="AM33" s="174">
        <f t="shared" ref="AM33:AM39" si="14">SUM(C33:AL33)</f>
        <v>11964</v>
      </c>
    </row>
    <row r="34" spans="1:39" ht="15.75" thickBot="1" x14ac:dyDescent="0.3">
      <c r="A34" s="136" t="s">
        <v>4</v>
      </c>
      <c r="B34" s="216">
        <f t="shared" ref="B34:B39" si="15">B33+1</f>
        <v>44061</v>
      </c>
      <c r="C34" s="247">
        <v>840</v>
      </c>
      <c r="D34" s="248">
        <v>853</v>
      </c>
      <c r="E34" s="170">
        <v>427</v>
      </c>
      <c r="F34" s="170">
        <v>768</v>
      </c>
      <c r="G34" s="170">
        <v>418</v>
      </c>
      <c r="H34" s="170">
        <v>629</v>
      </c>
      <c r="I34" s="207">
        <v>1263</v>
      </c>
      <c r="J34" s="211">
        <v>1598</v>
      </c>
      <c r="K34" s="170">
        <v>382</v>
      </c>
      <c r="L34" s="207">
        <v>1588</v>
      </c>
      <c r="M34" s="211">
        <v>466</v>
      </c>
      <c r="N34" s="170">
        <v>271</v>
      </c>
      <c r="O34" s="170">
        <v>304</v>
      </c>
      <c r="P34" s="170">
        <v>114</v>
      </c>
      <c r="Q34" s="172">
        <v>156</v>
      </c>
      <c r="R34" s="170">
        <v>434</v>
      </c>
      <c r="S34" s="207">
        <v>130</v>
      </c>
      <c r="T34" s="246">
        <v>601</v>
      </c>
      <c r="U34" s="170">
        <v>260</v>
      </c>
      <c r="V34" s="170">
        <v>718</v>
      </c>
      <c r="W34" s="170">
        <v>594</v>
      </c>
      <c r="X34" s="170">
        <v>373</v>
      </c>
      <c r="Y34" s="172">
        <v>610</v>
      </c>
      <c r="Z34" s="172"/>
      <c r="AA34" s="211">
        <v>671</v>
      </c>
      <c r="AB34" s="170">
        <v>419</v>
      </c>
      <c r="AC34" s="170">
        <v>611</v>
      </c>
      <c r="AD34" s="170">
        <v>653</v>
      </c>
      <c r="AE34" s="207">
        <v>200</v>
      </c>
      <c r="AF34" s="246"/>
      <c r="AG34" s="170"/>
      <c r="AH34" s="170"/>
      <c r="AI34" s="170"/>
      <c r="AJ34" s="207"/>
      <c r="AK34" s="208"/>
      <c r="AL34" s="204"/>
      <c r="AM34" s="174">
        <f t="shared" si="14"/>
        <v>16351</v>
      </c>
    </row>
    <row r="35" spans="1:39" ht="15.75" thickBot="1" x14ac:dyDescent="0.3">
      <c r="A35" s="136" t="s">
        <v>5</v>
      </c>
      <c r="B35" s="216">
        <f t="shared" si="15"/>
        <v>44062</v>
      </c>
      <c r="C35" s="247">
        <v>523</v>
      </c>
      <c r="D35" s="248">
        <v>549</v>
      </c>
      <c r="E35" s="170">
        <v>236</v>
      </c>
      <c r="F35" s="170">
        <v>513</v>
      </c>
      <c r="G35" s="170">
        <v>341</v>
      </c>
      <c r="H35" s="170">
        <v>424</v>
      </c>
      <c r="I35" s="207">
        <v>906</v>
      </c>
      <c r="J35" s="211">
        <v>410</v>
      </c>
      <c r="K35" s="170">
        <v>148</v>
      </c>
      <c r="L35" s="207">
        <v>422</v>
      </c>
      <c r="M35" s="211">
        <v>343</v>
      </c>
      <c r="N35" s="170">
        <v>112</v>
      </c>
      <c r="O35" s="170">
        <v>171</v>
      </c>
      <c r="P35" s="170">
        <v>94</v>
      </c>
      <c r="Q35" s="172">
        <v>73</v>
      </c>
      <c r="R35" s="170">
        <v>226</v>
      </c>
      <c r="S35" s="207">
        <v>93</v>
      </c>
      <c r="T35" s="246">
        <v>322</v>
      </c>
      <c r="U35" s="170">
        <v>180</v>
      </c>
      <c r="V35" s="170">
        <v>525</v>
      </c>
      <c r="W35" s="170">
        <v>390</v>
      </c>
      <c r="X35" s="170">
        <v>207</v>
      </c>
      <c r="Y35" s="172">
        <v>360</v>
      </c>
      <c r="Z35" s="172"/>
      <c r="AA35" s="211">
        <v>396</v>
      </c>
      <c r="AB35" s="170">
        <v>351</v>
      </c>
      <c r="AC35" s="170">
        <v>347</v>
      </c>
      <c r="AD35" s="170">
        <v>466</v>
      </c>
      <c r="AE35" s="207">
        <v>139</v>
      </c>
      <c r="AF35" s="246"/>
      <c r="AG35" s="170"/>
      <c r="AH35" s="170"/>
      <c r="AI35" s="170"/>
      <c r="AJ35" s="207"/>
      <c r="AK35" s="208"/>
      <c r="AL35" s="204"/>
      <c r="AM35" s="174">
        <f t="shared" si="14"/>
        <v>9267</v>
      </c>
    </row>
    <row r="36" spans="1:39" ht="15.75" thickBot="1" x14ac:dyDescent="0.3">
      <c r="A36" s="136" t="s">
        <v>6</v>
      </c>
      <c r="B36" s="216">
        <f t="shared" si="15"/>
        <v>44063</v>
      </c>
      <c r="C36" s="247">
        <v>976</v>
      </c>
      <c r="D36" s="248">
        <v>1098</v>
      </c>
      <c r="E36" s="170">
        <v>338</v>
      </c>
      <c r="F36" s="170">
        <v>909</v>
      </c>
      <c r="G36" s="170">
        <v>456</v>
      </c>
      <c r="H36" s="170">
        <v>681</v>
      </c>
      <c r="I36" s="207">
        <v>1343</v>
      </c>
      <c r="J36" s="211">
        <v>1635</v>
      </c>
      <c r="K36" s="170">
        <v>350</v>
      </c>
      <c r="L36" s="207">
        <v>1957</v>
      </c>
      <c r="M36" s="211">
        <v>537</v>
      </c>
      <c r="N36" s="170">
        <v>272</v>
      </c>
      <c r="O36" s="170">
        <v>362</v>
      </c>
      <c r="P36" s="170">
        <v>141</v>
      </c>
      <c r="Q36" s="172">
        <v>187</v>
      </c>
      <c r="R36" s="170">
        <v>469</v>
      </c>
      <c r="S36" s="207">
        <v>137</v>
      </c>
      <c r="T36" s="246">
        <v>618</v>
      </c>
      <c r="U36" s="170">
        <v>271</v>
      </c>
      <c r="V36" s="170">
        <v>840</v>
      </c>
      <c r="W36" s="170">
        <v>627</v>
      </c>
      <c r="X36" s="170">
        <v>401</v>
      </c>
      <c r="Y36" s="172">
        <v>696</v>
      </c>
      <c r="Z36" s="172"/>
      <c r="AA36" s="211">
        <v>742</v>
      </c>
      <c r="AB36" s="170">
        <v>462</v>
      </c>
      <c r="AC36" s="170">
        <v>637</v>
      </c>
      <c r="AD36" s="170">
        <v>757</v>
      </c>
      <c r="AE36" s="207">
        <v>191</v>
      </c>
      <c r="AF36" s="246"/>
      <c r="AG36" s="170"/>
      <c r="AH36" s="170"/>
      <c r="AI36" s="170"/>
      <c r="AJ36" s="207"/>
      <c r="AK36" s="208"/>
      <c r="AL36" s="204"/>
      <c r="AM36" s="174">
        <f t="shared" si="14"/>
        <v>18090</v>
      </c>
    </row>
    <row r="37" spans="1:39" ht="15.75" thickBot="1" x14ac:dyDescent="0.3">
      <c r="A37" s="136" t="s">
        <v>0</v>
      </c>
      <c r="B37" s="216">
        <f t="shared" si="15"/>
        <v>44064</v>
      </c>
      <c r="C37" s="247">
        <v>913</v>
      </c>
      <c r="D37" s="248">
        <v>1047</v>
      </c>
      <c r="E37" s="170">
        <v>468</v>
      </c>
      <c r="F37" s="170">
        <v>825</v>
      </c>
      <c r="G37" s="170">
        <v>554</v>
      </c>
      <c r="H37" s="170">
        <v>606</v>
      </c>
      <c r="I37" s="207">
        <v>1363</v>
      </c>
      <c r="J37" s="211">
        <v>1373</v>
      </c>
      <c r="K37" s="170">
        <v>333</v>
      </c>
      <c r="L37" s="207">
        <v>1456</v>
      </c>
      <c r="M37" s="211">
        <v>612</v>
      </c>
      <c r="N37" s="170">
        <v>279</v>
      </c>
      <c r="O37" s="170">
        <v>367</v>
      </c>
      <c r="P37" s="170">
        <v>156</v>
      </c>
      <c r="Q37" s="172">
        <v>110</v>
      </c>
      <c r="R37" s="170">
        <v>426</v>
      </c>
      <c r="S37" s="207">
        <v>133</v>
      </c>
      <c r="T37" s="246">
        <v>613</v>
      </c>
      <c r="U37" s="195">
        <v>235</v>
      </c>
      <c r="V37" s="195">
        <v>802</v>
      </c>
      <c r="W37" s="195">
        <v>665</v>
      </c>
      <c r="X37" s="195">
        <v>377</v>
      </c>
      <c r="Y37" s="203">
        <v>666</v>
      </c>
      <c r="Z37" s="203"/>
      <c r="AA37" s="208">
        <v>710</v>
      </c>
      <c r="AB37" s="170">
        <v>453</v>
      </c>
      <c r="AC37" s="170">
        <v>722</v>
      </c>
      <c r="AD37" s="170">
        <v>677</v>
      </c>
      <c r="AE37" s="207">
        <v>185</v>
      </c>
      <c r="AF37" s="217"/>
      <c r="AG37" s="195"/>
      <c r="AH37" s="195"/>
      <c r="AI37" s="195"/>
      <c r="AJ37" s="204"/>
      <c r="AK37" s="208"/>
      <c r="AL37" s="204"/>
      <c r="AM37" s="174">
        <f>SUM(C37:AL37)</f>
        <v>17126</v>
      </c>
    </row>
    <row r="38" spans="1:39" ht="15.75" thickBot="1" x14ac:dyDescent="0.3">
      <c r="A38" s="136" t="s">
        <v>1</v>
      </c>
      <c r="B38" s="216">
        <f t="shared" si="15"/>
        <v>44065</v>
      </c>
      <c r="C38" s="247">
        <v>1391</v>
      </c>
      <c r="D38" s="248">
        <v>1677</v>
      </c>
      <c r="E38" s="170">
        <v>509</v>
      </c>
      <c r="F38" s="170">
        <v>1334</v>
      </c>
      <c r="G38" s="170">
        <v>611</v>
      </c>
      <c r="H38" s="170">
        <v>961</v>
      </c>
      <c r="I38" s="207">
        <v>1905</v>
      </c>
      <c r="J38" s="211">
        <v>2884</v>
      </c>
      <c r="K38" s="170">
        <v>606</v>
      </c>
      <c r="L38" s="207">
        <v>2942</v>
      </c>
      <c r="M38" s="211">
        <v>851</v>
      </c>
      <c r="N38" s="170">
        <v>524</v>
      </c>
      <c r="O38" s="170">
        <v>468</v>
      </c>
      <c r="P38" s="170">
        <v>393</v>
      </c>
      <c r="Q38" s="172">
        <v>164</v>
      </c>
      <c r="R38" s="170">
        <v>534</v>
      </c>
      <c r="S38" s="207">
        <v>245</v>
      </c>
      <c r="T38" s="246">
        <v>1134</v>
      </c>
      <c r="U38" s="195">
        <v>294</v>
      </c>
      <c r="V38" s="195">
        <v>797</v>
      </c>
      <c r="W38" s="195">
        <v>874</v>
      </c>
      <c r="X38" s="195">
        <v>576</v>
      </c>
      <c r="Y38" s="203">
        <v>1242</v>
      </c>
      <c r="Z38" s="203">
        <v>936</v>
      </c>
      <c r="AA38" s="208">
        <v>1124</v>
      </c>
      <c r="AB38" s="170">
        <v>444</v>
      </c>
      <c r="AC38" s="195">
        <v>830</v>
      </c>
      <c r="AD38" s="195">
        <v>828</v>
      </c>
      <c r="AE38" s="204">
        <v>327</v>
      </c>
      <c r="AF38" s="217"/>
      <c r="AG38" s="195"/>
      <c r="AH38" s="195"/>
      <c r="AI38" s="195"/>
      <c r="AJ38" s="204"/>
      <c r="AK38" s="208">
        <v>665</v>
      </c>
      <c r="AL38" s="204">
        <v>575</v>
      </c>
      <c r="AM38" s="174">
        <f t="shared" si="14"/>
        <v>28645</v>
      </c>
    </row>
    <row r="39" spans="1:39" ht="15.75" thickBot="1" x14ac:dyDescent="0.3">
      <c r="A39" s="136" t="s">
        <v>2</v>
      </c>
      <c r="B39" s="216">
        <f t="shared" si="15"/>
        <v>44066</v>
      </c>
      <c r="C39" s="247">
        <v>1236</v>
      </c>
      <c r="D39" s="248">
        <v>1463</v>
      </c>
      <c r="E39" s="170">
        <v>590</v>
      </c>
      <c r="F39" s="170">
        <v>1000</v>
      </c>
      <c r="G39" s="170">
        <v>539</v>
      </c>
      <c r="H39" s="170">
        <v>935</v>
      </c>
      <c r="I39" s="207">
        <v>1411</v>
      </c>
      <c r="J39" s="211">
        <v>1756</v>
      </c>
      <c r="K39" s="170">
        <v>557</v>
      </c>
      <c r="L39" s="207">
        <v>2016</v>
      </c>
      <c r="M39" s="211">
        <v>711</v>
      </c>
      <c r="N39" s="170">
        <v>522</v>
      </c>
      <c r="O39" s="170">
        <v>598</v>
      </c>
      <c r="P39" s="170">
        <v>245</v>
      </c>
      <c r="Q39" s="172">
        <v>275</v>
      </c>
      <c r="R39" s="170">
        <v>738</v>
      </c>
      <c r="S39" s="207">
        <v>298</v>
      </c>
      <c r="T39" s="246">
        <v>1065</v>
      </c>
      <c r="U39" s="170">
        <v>148</v>
      </c>
      <c r="V39" s="170">
        <v>511</v>
      </c>
      <c r="W39" s="170">
        <v>911</v>
      </c>
      <c r="X39" s="170">
        <v>642</v>
      </c>
      <c r="Y39" s="172">
        <v>982</v>
      </c>
      <c r="Z39" s="172">
        <v>833</v>
      </c>
      <c r="AA39" s="211">
        <v>870</v>
      </c>
      <c r="AB39" s="170">
        <v>369</v>
      </c>
      <c r="AC39" s="170">
        <v>551</v>
      </c>
      <c r="AD39" s="170">
        <v>779</v>
      </c>
      <c r="AE39" s="207">
        <v>279</v>
      </c>
      <c r="AF39" s="246"/>
      <c r="AG39" s="170"/>
      <c r="AH39" s="170"/>
      <c r="AI39" s="170"/>
      <c r="AJ39" s="207"/>
      <c r="AK39" s="211">
        <v>755</v>
      </c>
      <c r="AL39" s="207">
        <v>439</v>
      </c>
      <c r="AM39" s="174">
        <f t="shared" si="14"/>
        <v>24024</v>
      </c>
    </row>
    <row r="40" spans="1:39" ht="15.75" thickBot="1" x14ac:dyDescent="0.3">
      <c r="A40" s="144" t="s">
        <v>20</v>
      </c>
      <c r="B40" s="695" t="s">
        <v>25</v>
      </c>
      <c r="C40" s="209">
        <f>SUM(C33:C39)</f>
        <v>6479</v>
      </c>
      <c r="D40" s="209">
        <f t="shared" ref="D40:AL40" si="16">SUM(D33:D39)</f>
        <v>7348</v>
      </c>
      <c r="E40" s="209">
        <f t="shared" si="16"/>
        <v>2884</v>
      </c>
      <c r="F40" s="209">
        <f t="shared" si="16"/>
        <v>5900</v>
      </c>
      <c r="G40" s="209">
        <f t="shared" si="16"/>
        <v>3303</v>
      </c>
      <c r="H40" s="209">
        <f t="shared" si="16"/>
        <v>4720</v>
      </c>
      <c r="I40" s="209">
        <f t="shared" si="16"/>
        <v>9202</v>
      </c>
      <c r="J40" s="209">
        <f t="shared" si="16"/>
        <v>10544</v>
      </c>
      <c r="K40" s="209">
        <f t="shared" si="16"/>
        <v>2658</v>
      </c>
      <c r="L40" s="209">
        <f t="shared" si="16"/>
        <v>11298</v>
      </c>
      <c r="M40" s="209">
        <f t="shared" si="16"/>
        <v>3944</v>
      </c>
      <c r="N40" s="209">
        <f t="shared" si="16"/>
        <v>2175</v>
      </c>
      <c r="O40" s="209">
        <f t="shared" si="16"/>
        <v>2513</v>
      </c>
      <c r="P40" s="209">
        <f t="shared" si="16"/>
        <v>1280</v>
      </c>
      <c r="Q40" s="209">
        <f t="shared" si="16"/>
        <v>1050</v>
      </c>
      <c r="R40" s="209">
        <f t="shared" si="16"/>
        <v>3116</v>
      </c>
      <c r="S40" s="209">
        <f t="shared" si="16"/>
        <v>1135</v>
      </c>
      <c r="T40" s="209">
        <f t="shared" si="16"/>
        <v>4811</v>
      </c>
      <c r="U40" s="209">
        <f t="shared" si="16"/>
        <v>1579</v>
      </c>
      <c r="V40" s="209">
        <f t="shared" si="16"/>
        <v>4761</v>
      </c>
      <c r="W40" s="209">
        <f t="shared" si="16"/>
        <v>4445</v>
      </c>
      <c r="X40" s="209">
        <f t="shared" si="16"/>
        <v>2825</v>
      </c>
      <c r="Y40" s="209">
        <f t="shared" si="16"/>
        <v>4970</v>
      </c>
      <c r="Z40" s="209">
        <f>SUM(Z33:Z39)</f>
        <v>1769</v>
      </c>
      <c r="AA40" s="209">
        <f t="shared" si="16"/>
        <v>5079</v>
      </c>
      <c r="AB40" s="209">
        <f t="shared" si="16"/>
        <v>2873</v>
      </c>
      <c r="AC40" s="209">
        <f t="shared" si="16"/>
        <v>4173</v>
      </c>
      <c r="AD40" s="209">
        <f t="shared" si="16"/>
        <v>4738</v>
      </c>
      <c r="AE40" s="209">
        <f>SUM(AE33:AE39)</f>
        <v>1461</v>
      </c>
      <c r="AF40" s="209">
        <f t="shared" si="16"/>
        <v>0</v>
      </c>
      <c r="AG40" s="209">
        <f t="shared" si="16"/>
        <v>0</v>
      </c>
      <c r="AH40" s="209">
        <f t="shared" si="16"/>
        <v>0</v>
      </c>
      <c r="AI40" s="209">
        <f t="shared" si="16"/>
        <v>0</v>
      </c>
      <c r="AJ40" s="209">
        <f t="shared" si="16"/>
        <v>0</v>
      </c>
      <c r="AK40" s="209">
        <f t="shared" si="16"/>
        <v>1420</v>
      </c>
      <c r="AL40" s="209">
        <f t="shared" si="16"/>
        <v>1014</v>
      </c>
      <c r="AM40" s="209">
        <f>SUM(AM33:AM39)</f>
        <v>125467</v>
      </c>
    </row>
    <row r="41" spans="1:39" ht="15.75" thickBot="1" x14ac:dyDescent="0.3">
      <c r="A41" s="101" t="s">
        <v>22</v>
      </c>
      <c r="B41" s="695"/>
      <c r="C41" s="209">
        <f>AVERAGE(C33:C39)</f>
        <v>925.57142857142856</v>
      </c>
      <c r="D41" s="209">
        <f t="shared" ref="D41:AM41" si="17">AVERAGE(D33:D39)</f>
        <v>1049.7142857142858</v>
      </c>
      <c r="E41" s="209">
        <f t="shared" si="17"/>
        <v>412</v>
      </c>
      <c r="F41" s="209">
        <f t="shared" si="17"/>
        <v>842.85714285714289</v>
      </c>
      <c r="G41" s="209">
        <f t="shared" si="17"/>
        <v>471.85714285714283</v>
      </c>
      <c r="H41" s="209">
        <f t="shared" si="17"/>
        <v>674.28571428571433</v>
      </c>
      <c r="I41" s="209">
        <f t="shared" si="17"/>
        <v>1314.5714285714287</v>
      </c>
      <c r="J41" s="209">
        <f t="shared" si="17"/>
        <v>1506.2857142857142</v>
      </c>
      <c r="K41" s="209">
        <f t="shared" si="17"/>
        <v>379.71428571428572</v>
      </c>
      <c r="L41" s="209">
        <f t="shared" si="17"/>
        <v>1614</v>
      </c>
      <c r="M41" s="209">
        <f t="shared" si="17"/>
        <v>563.42857142857144</v>
      </c>
      <c r="N41" s="209">
        <f t="shared" si="17"/>
        <v>310.71428571428572</v>
      </c>
      <c r="O41" s="209">
        <f t="shared" si="17"/>
        <v>359</v>
      </c>
      <c r="P41" s="209">
        <f t="shared" si="17"/>
        <v>182.85714285714286</v>
      </c>
      <c r="Q41" s="209">
        <f t="shared" si="17"/>
        <v>150</v>
      </c>
      <c r="R41" s="209">
        <f t="shared" si="17"/>
        <v>445.14285714285717</v>
      </c>
      <c r="S41" s="209">
        <f t="shared" si="17"/>
        <v>162.14285714285714</v>
      </c>
      <c r="T41" s="209">
        <f t="shared" si="17"/>
        <v>687.28571428571433</v>
      </c>
      <c r="U41" s="209">
        <f t="shared" si="17"/>
        <v>225.57142857142858</v>
      </c>
      <c r="V41" s="209">
        <f t="shared" si="17"/>
        <v>680.14285714285711</v>
      </c>
      <c r="W41" s="209">
        <f t="shared" si="17"/>
        <v>635</v>
      </c>
      <c r="X41" s="209">
        <f t="shared" si="17"/>
        <v>403.57142857142856</v>
      </c>
      <c r="Y41" s="209">
        <f t="shared" si="17"/>
        <v>710</v>
      </c>
      <c r="Z41" s="209">
        <f t="shared" si="17"/>
        <v>884.5</v>
      </c>
      <c r="AA41" s="209">
        <f t="shared" si="17"/>
        <v>725.57142857142856</v>
      </c>
      <c r="AB41" s="209">
        <f t="shared" si="17"/>
        <v>410.42857142857144</v>
      </c>
      <c r="AC41" s="209">
        <f t="shared" si="17"/>
        <v>596.14285714285711</v>
      </c>
      <c r="AD41" s="209">
        <f t="shared" si="17"/>
        <v>676.85714285714289</v>
      </c>
      <c r="AE41" s="209">
        <f t="shared" si="17"/>
        <v>208.71428571428572</v>
      </c>
      <c r="AF41" s="209" t="e">
        <f t="shared" si="17"/>
        <v>#DIV/0!</v>
      </c>
      <c r="AG41" s="209" t="e">
        <f t="shared" si="17"/>
        <v>#DIV/0!</v>
      </c>
      <c r="AH41" s="209" t="e">
        <f t="shared" si="17"/>
        <v>#DIV/0!</v>
      </c>
      <c r="AI41" s="209" t="e">
        <f t="shared" si="17"/>
        <v>#DIV/0!</v>
      </c>
      <c r="AJ41" s="209" t="e">
        <f t="shared" si="17"/>
        <v>#DIV/0!</v>
      </c>
      <c r="AK41" s="209">
        <f t="shared" si="17"/>
        <v>710</v>
      </c>
      <c r="AL41" s="209">
        <f t="shared" si="17"/>
        <v>507</v>
      </c>
      <c r="AM41" s="209">
        <f t="shared" si="17"/>
        <v>17923.857142857141</v>
      </c>
    </row>
    <row r="42" spans="1:39" ht="15.75" thickBot="1" x14ac:dyDescent="0.3">
      <c r="A42" s="26" t="s">
        <v>19</v>
      </c>
      <c r="B42" s="695"/>
      <c r="C42" s="210">
        <f>SUM(C33:C37)</f>
        <v>3852</v>
      </c>
      <c r="D42" s="210">
        <f>SUM(D33:D37)</f>
        <v>4208</v>
      </c>
      <c r="E42" s="210">
        <f>SUM(E33:E37)</f>
        <v>1785</v>
      </c>
      <c r="F42" s="210">
        <f>SUM(F33:F37)</f>
        <v>3566</v>
      </c>
      <c r="G42" s="210">
        <f t="shared" ref="G42:AL42" si="18">SUM(G33:G37)</f>
        <v>2153</v>
      </c>
      <c r="H42" s="210">
        <f t="shared" si="18"/>
        <v>2824</v>
      </c>
      <c r="I42" s="210">
        <f t="shared" si="18"/>
        <v>5886</v>
      </c>
      <c r="J42" s="210">
        <f t="shared" si="18"/>
        <v>5904</v>
      </c>
      <c r="K42" s="210">
        <f t="shared" si="18"/>
        <v>1495</v>
      </c>
      <c r="L42" s="210">
        <f t="shared" si="18"/>
        <v>6340</v>
      </c>
      <c r="M42" s="210">
        <f t="shared" si="18"/>
        <v>2382</v>
      </c>
      <c r="N42" s="210">
        <f t="shared" si="18"/>
        <v>1129</v>
      </c>
      <c r="O42" s="210">
        <f t="shared" si="18"/>
        <v>1447</v>
      </c>
      <c r="P42" s="210">
        <f t="shared" si="18"/>
        <v>642</v>
      </c>
      <c r="Q42" s="210">
        <f t="shared" si="18"/>
        <v>611</v>
      </c>
      <c r="R42" s="210">
        <f t="shared" si="18"/>
        <v>1844</v>
      </c>
      <c r="S42" s="210">
        <f t="shared" si="18"/>
        <v>592</v>
      </c>
      <c r="T42" s="210">
        <f t="shared" si="18"/>
        <v>2612</v>
      </c>
      <c r="U42" s="210">
        <f t="shared" si="18"/>
        <v>1137</v>
      </c>
      <c r="V42" s="210">
        <f t="shared" si="18"/>
        <v>3453</v>
      </c>
      <c r="W42" s="210">
        <f t="shared" si="18"/>
        <v>2660</v>
      </c>
      <c r="X42" s="210">
        <f t="shared" si="18"/>
        <v>1607</v>
      </c>
      <c r="Y42" s="210">
        <f t="shared" si="18"/>
        <v>2746</v>
      </c>
      <c r="Z42" s="210">
        <f>SUM(Z33:Z37)</f>
        <v>0</v>
      </c>
      <c r="AA42" s="210">
        <f t="shared" si="18"/>
        <v>3085</v>
      </c>
      <c r="AB42" s="210">
        <f t="shared" si="18"/>
        <v>2060</v>
      </c>
      <c r="AC42" s="210">
        <f t="shared" si="18"/>
        <v>2792</v>
      </c>
      <c r="AD42" s="210">
        <f t="shared" si="18"/>
        <v>3131</v>
      </c>
      <c r="AE42" s="210">
        <f>SUM(AE33:AE37)</f>
        <v>855</v>
      </c>
      <c r="AF42" s="210">
        <f t="shared" si="18"/>
        <v>0</v>
      </c>
      <c r="AG42" s="210">
        <f t="shared" si="18"/>
        <v>0</v>
      </c>
      <c r="AH42" s="210">
        <f t="shared" si="18"/>
        <v>0</v>
      </c>
      <c r="AI42" s="210">
        <f t="shared" si="18"/>
        <v>0</v>
      </c>
      <c r="AJ42" s="210">
        <f t="shared" si="18"/>
        <v>0</v>
      </c>
      <c r="AK42" s="210">
        <f t="shared" si="18"/>
        <v>0</v>
      </c>
      <c r="AL42" s="210">
        <f t="shared" si="18"/>
        <v>0</v>
      </c>
      <c r="AM42" s="210">
        <f>SUM(AM33:AM37)</f>
        <v>72798</v>
      </c>
    </row>
    <row r="43" spans="1:39" ht="15.75" thickBot="1" x14ac:dyDescent="0.3">
      <c r="A43" s="26" t="s">
        <v>21</v>
      </c>
      <c r="B43" s="695"/>
      <c r="C43" s="210">
        <f>AVERAGE(C33:C37)</f>
        <v>770.4</v>
      </c>
      <c r="D43" s="210">
        <f t="shared" ref="D43:AM43" si="19">AVERAGE(D33:D37)</f>
        <v>841.6</v>
      </c>
      <c r="E43" s="210">
        <f t="shared" si="19"/>
        <v>357</v>
      </c>
      <c r="F43" s="210">
        <f t="shared" si="19"/>
        <v>713.2</v>
      </c>
      <c r="G43" s="210">
        <f t="shared" si="19"/>
        <v>430.6</v>
      </c>
      <c r="H43" s="210">
        <f t="shared" si="19"/>
        <v>564.79999999999995</v>
      </c>
      <c r="I43" s="210">
        <f t="shared" si="19"/>
        <v>1177.2</v>
      </c>
      <c r="J43" s="210">
        <f t="shared" si="19"/>
        <v>1180.8</v>
      </c>
      <c r="K43" s="210">
        <f t="shared" si="19"/>
        <v>299</v>
      </c>
      <c r="L43" s="210">
        <f t="shared" si="19"/>
        <v>1268</v>
      </c>
      <c r="M43" s="210">
        <f t="shared" si="19"/>
        <v>476.4</v>
      </c>
      <c r="N43" s="210">
        <f t="shared" si="19"/>
        <v>225.8</v>
      </c>
      <c r="O43" s="210">
        <f t="shared" si="19"/>
        <v>289.39999999999998</v>
      </c>
      <c r="P43" s="210">
        <f t="shared" si="19"/>
        <v>128.4</v>
      </c>
      <c r="Q43" s="210">
        <f t="shared" si="19"/>
        <v>122.2</v>
      </c>
      <c r="R43" s="210">
        <f t="shared" si="19"/>
        <v>368.8</v>
      </c>
      <c r="S43" s="210">
        <f t="shared" si="19"/>
        <v>118.4</v>
      </c>
      <c r="T43" s="210">
        <f t="shared" si="19"/>
        <v>522.4</v>
      </c>
      <c r="U43" s="210">
        <f t="shared" si="19"/>
        <v>227.4</v>
      </c>
      <c r="V43" s="210">
        <f t="shared" si="19"/>
        <v>690.6</v>
      </c>
      <c r="W43" s="210">
        <f t="shared" si="19"/>
        <v>532</v>
      </c>
      <c r="X43" s="210">
        <f t="shared" si="19"/>
        <v>321.39999999999998</v>
      </c>
      <c r="Y43" s="210">
        <f t="shared" si="19"/>
        <v>549.20000000000005</v>
      </c>
      <c r="Z43" s="210" t="e">
        <f t="shared" si="19"/>
        <v>#DIV/0!</v>
      </c>
      <c r="AA43" s="210">
        <f t="shared" si="19"/>
        <v>617</v>
      </c>
      <c r="AB43" s="210">
        <f t="shared" si="19"/>
        <v>412</v>
      </c>
      <c r="AC43" s="210">
        <f t="shared" si="19"/>
        <v>558.4</v>
      </c>
      <c r="AD43" s="210">
        <f t="shared" si="19"/>
        <v>626.20000000000005</v>
      </c>
      <c r="AE43" s="210">
        <f t="shared" si="19"/>
        <v>171</v>
      </c>
      <c r="AF43" s="210" t="e">
        <f t="shared" si="19"/>
        <v>#DIV/0!</v>
      </c>
      <c r="AG43" s="210" t="e">
        <f t="shared" si="19"/>
        <v>#DIV/0!</v>
      </c>
      <c r="AH43" s="210" t="e">
        <f t="shared" si="19"/>
        <v>#DIV/0!</v>
      </c>
      <c r="AI43" s="210" t="e">
        <f t="shared" si="19"/>
        <v>#DIV/0!</v>
      </c>
      <c r="AJ43" s="210" t="e">
        <f t="shared" si="19"/>
        <v>#DIV/0!</v>
      </c>
      <c r="AK43" s="210" t="e">
        <f t="shared" si="19"/>
        <v>#DIV/0!</v>
      </c>
      <c r="AL43" s="210" t="e">
        <f t="shared" si="19"/>
        <v>#DIV/0!</v>
      </c>
      <c r="AM43" s="210">
        <f t="shared" si="19"/>
        <v>14559.6</v>
      </c>
    </row>
    <row r="44" spans="1:39" ht="15.75" thickBot="1" x14ac:dyDescent="0.3">
      <c r="A44" s="136" t="s">
        <v>3</v>
      </c>
      <c r="B44" s="216">
        <f>B39+1</f>
        <v>44067</v>
      </c>
      <c r="C44" s="247">
        <v>677</v>
      </c>
      <c r="D44" s="195">
        <v>577</v>
      </c>
      <c r="E44" s="195">
        <v>264</v>
      </c>
      <c r="F44" s="195">
        <v>554</v>
      </c>
      <c r="G44" s="248">
        <v>405</v>
      </c>
      <c r="H44" s="195">
        <v>440</v>
      </c>
      <c r="I44" s="204">
        <v>1003</v>
      </c>
      <c r="J44" s="208">
        <v>962</v>
      </c>
      <c r="K44" s="195">
        <v>328</v>
      </c>
      <c r="L44" s="204">
        <v>1110</v>
      </c>
      <c r="M44" s="208">
        <v>366</v>
      </c>
      <c r="N44" s="195">
        <v>127</v>
      </c>
      <c r="O44" s="195">
        <v>247</v>
      </c>
      <c r="P44" s="195">
        <v>123</v>
      </c>
      <c r="Q44" s="203">
        <v>105</v>
      </c>
      <c r="R44" s="195">
        <v>245</v>
      </c>
      <c r="S44" s="204">
        <v>93</v>
      </c>
      <c r="T44" s="217">
        <v>415</v>
      </c>
      <c r="U44" s="195">
        <v>190</v>
      </c>
      <c r="V44" s="195">
        <v>639</v>
      </c>
      <c r="W44" s="195">
        <v>451</v>
      </c>
      <c r="X44" s="195">
        <v>273</v>
      </c>
      <c r="Y44" s="203">
        <v>504</v>
      </c>
      <c r="Z44" s="203">
        <v>284</v>
      </c>
      <c r="AA44" s="208">
        <v>562</v>
      </c>
      <c r="AB44" s="170">
        <v>324</v>
      </c>
      <c r="AC44" s="195">
        <v>401</v>
      </c>
      <c r="AD44" s="195">
        <v>550</v>
      </c>
      <c r="AE44" s="204">
        <v>151</v>
      </c>
      <c r="AF44" s="217"/>
      <c r="AG44" s="195"/>
      <c r="AH44" s="195"/>
      <c r="AI44" s="195"/>
      <c r="AJ44" s="204"/>
      <c r="AK44" s="208"/>
      <c r="AL44" s="204"/>
      <c r="AM44" s="174">
        <f t="shared" ref="AM44:AM50" si="20">SUM(C44:AL44)</f>
        <v>12370</v>
      </c>
    </row>
    <row r="45" spans="1:39" ht="15.75" thickBot="1" x14ac:dyDescent="0.3">
      <c r="A45" s="136" t="s">
        <v>4</v>
      </c>
      <c r="B45" s="216">
        <f t="shared" ref="B45:B50" si="21">B44+1</f>
        <v>44068</v>
      </c>
      <c r="C45" s="247">
        <v>694</v>
      </c>
      <c r="D45" s="195">
        <v>620</v>
      </c>
      <c r="E45" s="195">
        <v>296</v>
      </c>
      <c r="F45" s="195">
        <v>571</v>
      </c>
      <c r="G45" s="248">
        <v>409</v>
      </c>
      <c r="H45" s="195">
        <v>427</v>
      </c>
      <c r="I45" s="204">
        <v>1019</v>
      </c>
      <c r="J45" s="208">
        <v>1084</v>
      </c>
      <c r="K45" s="195">
        <v>388</v>
      </c>
      <c r="L45" s="204">
        <v>1267</v>
      </c>
      <c r="M45" s="208">
        <v>372</v>
      </c>
      <c r="N45" s="195">
        <v>179</v>
      </c>
      <c r="O45" s="195">
        <v>224</v>
      </c>
      <c r="P45" s="195">
        <v>88</v>
      </c>
      <c r="Q45" s="203">
        <v>194</v>
      </c>
      <c r="R45" s="195">
        <v>265</v>
      </c>
      <c r="S45" s="204">
        <v>85</v>
      </c>
      <c r="T45" s="217">
        <v>403</v>
      </c>
      <c r="U45" s="195">
        <v>221</v>
      </c>
      <c r="V45" s="195">
        <v>607</v>
      </c>
      <c r="W45" s="195">
        <v>474</v>
      </c>
      <c r="X45" s="195">
        <v>272</v>
      </c>
      <c r="Y45" s="203">
        <v>505</v>
      </c>
      <c r="Z45" s="203">
        <v>320</v>
      </c>
      <c r="AA45" s="208">
        <v>529</v>
      </c>
      <c r="AB45" s="170">
        <v>315</v>
      </c>
      <c r="AC45" s="195">
        <v>361</v>
      </c>
      <c r="AD45" s="195">
        <v>616</v>
      </c>
      <c r="AE45" s="204">
        <v>167</v>
      </c>
      <c r="AF45" s="217"/>
      <c r="AG45" s="195"/>
      <c r="AH45" s="195"/>
      <c r="AI45" s="195"/>
      <c r="AJ45" s="204"/>
      <c r="AK45" s="208"/>
      <c r="AL45" s="204"/>
      <c r="AM45" s="174">
        <f t="shared" si="20"/>
        <v>12972</v>
      </c>
    </row>
    <row r="46" spans="1:39" ht="15.75" thickBot="1" x14ac:dyDescent="0.3">
      <c r="A46" s="136" t="s">
        <v>5</v>
      </c>
      <c r="B46" s="216">
        <f t="shared" si="21"/>
        <v>44069</v>
      </c>
      <c r="C46" s="247">
        <v>840</v>
      </c>
      <c r="D46" s="195">
        <v>1072</v>
      </c>
      <c r="E46" s="195">
        <v>473</v>
      </c>
      <c r="F46" s="195">
        <v>895</v>
      </c>
      <c r="G46" s="248">
        <v>483</v>
      </c>
      <c r="H46" s="195">
        <v>717</v>
      </c>
      <c r="I46" s="204">
        <v>1475</v>
      </c>
      <c r="J46" s="208">
        <v>1748</v>
      </c>
      <c r="K46" s="195">
        <v>425</v>
      </c>
      <c r="L46" s="204">
        <v>1752</v>
      </c>
      <c r="M46" s="208">
        <v>544</v>
      </c>
      <c r="N46" s="195">
        <v>281</v>
      </c>
      <c r="O46" s="195">
        <v>291</v>
      </c>
      <c r="P46" s="195">
        <v>128</v>
      </c>
      <c r="Q46" s="203">
        <v>180</v>
      </c>
      <c r="R46" s="195">
        <v>419</v>
      </c>
      <c r="S46" s="204">
        <v>115</v>
      </c>
      <c r="T46" s="217">
        <v>667</v>
      </c>
      <c r="U46" s="195">
        <v>270</v>
      </c>
      <c r="V46" s="195">
        <v>743</v>
      </c>
      <c r="W46" s="195">
        <v>591</v>
      </c>
      <c r="X46" s="195">
        <v>389</v>
      </c>
      <c r="Y46" s="203">
        <v>710</v>
      </c>
      <c r="Z46" s="203">
        <v>456</v>
      </c>
      <c r="AA46" s="208">
        <v>865</v>
      </c>
      <c r="AB46" s="170">
        <v>378</v>
      </c>
      <c r="AC46" s="195">
        <v>527</v>
      </c>
      <c r="AD46" s="195">
        <v>728</v>
      </c>
      <c r="AE46" s="204">
        <v>207</v>
      </c>
      <c r="AF46" s="217"/>
      <c r="AG46" s="195"/>
      <c r="AH46" s="195"/>
      <c r="AI46" s="195"/>
      <c r="AJ46" s="204"/>
      <c r="AK46" s="208"/>
      <c r="AL46" s="204"/>
      <c r="AM46" s="174">
        <f t="shared" si="20"/>
        <v>18369</v>
      </c>
    </row>
    <row r="47" spans="1:39" ht="15.75" thickBot="1" x14ac:dyDescent="0.3">
      <c r="A47" s="136" t="s">
        <v>6</v>
      </c>
      <c r="B47" s="216">
        <f t="shared" si="21"/>
        <v>44070</v>
      </c>
      <c r="C47" s="247">
        <v>538</v>
      </c>
      <c r="D47" s="195">
        <v>534</v>
      </c>
      <c r="E47" s="195">
        <v>292</v>
      </c>
      <c r="F47" s="195">
        <v>556</v>
      </c>
      <c r="G47" s="248">
        <v>401</v>
      </c>
      <c r="H47" s="195">
        <v>467</v>
      </c>
      <c r="I47" s="204">
        <v>1074</v>
      </c>
      <c r="J47" s="208">
        <v>755</v>
      </c>
      <c r="K47" s="195">
        <v>303</v>
      </c>
      <c r="L47" s="204">
        <v>903</v>
      </c>
      <c r="M47" s="208">
        <v>289</v>
      </c>
      <c r="N47" s="195">
        <v>173</v>
      </c>
      <c r="O47" s="195">
        <v>252</v>
      </c>
      <c r="P47" s="195">
        <v>86</v>
      </c>
      <c r="Q47" s="203">
        <v>139</v>
      </c>
      <c r="R47" s="195">
        <v>308</v>
      </c>
      <c r="S47" s="204">
        <v>48</v>
      </c>
      <c r="T47" s="217">
        <v>448</v>
      </c>
      <c r="U47" s="195">
        <v>206</v>
      </c>
      <c r="V47" s="195">
        <v>606</v>
      </c>
      <c r="W47" s="195">
        <v>443</v>
      </c>
      <c r="X47" s="195">
        <v>311</v>
      </c>
      <c r="Y47" s="203">
        <v>446</v>
      </c>
      <c r="Z47" s="203">
        <v>238</v>
      </c>
      <c r="AA47" s="208">
        <v>415</v>
      </c>
      <c r="AB47" s="170">
        <v>289</v>
      </c>
      <c r="AC47" s="195">
        <v>344</v>
      </c>
      <c r="AD47" s="195">
        <v>518</v>
      </c>
      <c r="AE47" s="204">
        <v>128</v>
      </c>
      <c r="AF47" s="217"/>
      <c r="AG47" s="195"/>
      <c r="AH47" s="195"/>
      <c r="AI47" s="195"/>
      <c r="AJ47" s="204"/>
      <c r="AK47" s="208"/>
      <c r="AL47" s="204"/>
      <c r="AM47" s="174">
        <f t="shared" si="20"/>
        <v>11510</v>
      </c>
    </row>
    <row r="48" spans="1:39" ht="15.75" thickBot="1" x14ac:dyDescent="0.3">
      <c r="A48" s="136" t="s">
        <v>0</v>
      </c>
      <c r="B48" s="216">
        <f t="shared" si="21"/>
        <v>44071</v>
      </c>
      <c r="C48" s="247">
        <v>733</v>
      </c>
      <c r="D48" s="195">
        <v>926</v>
      </c>
      <c r="E48" s="195">
        <v>486</v>
      </c>
      <c r="F48" s="195">
        <v>774</v>
      </c>
      <c r="G48" s="248">
        <v>511</v>
      </c>
      <c r="H48" s="195">
        <v>567</v>
      </c>
      <c r="I48" s="204">
        <v>1277</v>
      </c>
      <c r="J48" s="208">
        <v>1554</v>
      </c>
      <c r="K48" s="195">
        <v>357</v>
      </c>
      <c r="L48" s="204">
        <v>1370</v>
      </c>
      <c r="M48" s="208">
        <v>480</v>
      </c>
      <c r="N48" s="195">
        <v>270</v>
      </c>
      <c r="O48" s="195">
        <v>231</v>
      </c>
      <c r="P48" s="195">
        <v>164</v>
      </c>
      <c r="Q48" s="203">
        <v>138</v>
      </c>
      <c r="R48" s="195">
        <v>315</v>
      </c>
      <c r="S48" s="204">
        <v>133</v>
      </c>
      <c r="T48" s="217">
        <v>558</v>
      </c>
      <c r="U48" s="195">
        <v>267</v>
      </c>
      <c r="V48" s="195">
        <v>623</v>
      </c>
      <c r="W48" s="195">
        <v>682</v>
      </c>
      <c r="X48" s="195">
        <v>354</v>
      </c>
      <c r="Y48" s="203">
        <v>778</v>
      </c>
      <c r="Z48" s="203">
        <v>542</v>
      </c>
      <c r="AA48" s="208">
        <v>661</v>
      </c>
      <c r="AB48" s="170">
        <v>347</v>
      </c>
      <c r="AC48" s="195">
        <v>484</v>
      </c>
      <c r="AD48" s="195">
        <v>632</v>
      </c>
      <c r="AE48" s="204">
        <v>198</v>
      </c>
      <c r="AF48" s="217"/>
      <c r="AG48" s="195"/>
      <c r="AH48" s="195"/>
      <c r="AI48" s="195"/>
      <c r="AJ48" s="204"/>
      <c r="AK48" s="208"/>
      <c r="AL48" s="204"/>
      <c r="AM48" s="174">
        <f t="shared" si="20"/>
        <v>16412</v>
      </c>
    </row>
    <row r="49" spans="1:39" ht="15.75" thickBot="1" x14ac:dyDescent="0.3">
      <c r="A49" s="136" t="s">
        <v>1</v>
      </c>
      <c r="B49" s="216">
        <f t="shared" si="21"/>
        <v>44072</v>
      </c>
      <c r="C49" s="247">
        <v>527</v>
      </c>
      <c r="D49" s="195">
        <v>684</v>
      </c>
      <c r="E49" s="195">
        <v>187</v>
      </c>
      <c r="F49" s="195">
        <v>588</v>
      </c>
      <c r="G49" s="248">
        <v>241</v>
      </c>
      <c r="H49" s="195">
        <v>399</v>
      </c>
      <c r="I49" s="204">
        <v>892</v>
      </c>
      <c r="J49" s="208">
        <v>293</v>
      </c>
      <c r="K49" s="195">
        <v>136</v>
      </c>
      <c r="L49" s="204">
        <v>307</v>
      </c>
      <c r="M49" s="208">
        <v>283</v>
      </c>
      <c r="N49" s="195">
        <v>178</v>
      </c>
      <c r="O49" s="195">
        <v>107</v>
      </c>
      <c r="P49" s="195">
        <v>110</v>
      </c>
      <c r="Q49" s="203">
        <v>61</v>
      </c>
      <c r="R49" s="195">
        <v>180</v>
      </c>
      <c r="S49" s="204">
        <v>97</v>
      </c>
      <c r="T49" s="217">
        <v>425</v>
      </c>
      <c r="U49" s="195">
        <v>109</v>
      </c>
      <c r="V49" s="195">
        <v>371</v>
      </c>
      <c r="W49" s="195">
        <v>464</v>
      </c>
      <c r="X49" s="195">
        <v>325</v>
      </c>
      <c r="Y49" s="203">
        <v>436</v>
      </c>
      <c r="Z49" s="203">
        <v>413</v>
      </c>
      <c r="AA49" s="208">
        <v>292</v>
      </c>
      <c r="AB49" s="170">
        <v>174</v>
      </c>
      <c r="AC49" s="195">
        <v>255</v>
      </c>
      <c r="AD49" s="195">
        <v>244</v>
      </c>
      <c r="AE49" s="204">
        <v>113</v>
      </c>
      <c r="AF49" s="217"/>
      <c r="AG49" s="195"/>
      <c r="AH49" s="195"/>
      <c r="AI49" s="195"/>
      <c r="AJ49" s="204"/>
      <c r="AK49" s="208">
        <v>55</v>
      </c>
      <c r="AL49" s="204">
        <v>43</v>
      </c>
      <c r="AM49" s="174">
        <f t="shared" si="20"/>
        <v>8989</v>
      </c>
    </row>
    <row r="50" spans="1:39" ht="15.75" thickBot="1" x14ac:dyDescent="0.3">
      <c r="A50" s="136" t="s">
        <v>2</v>
      </c>
      <c r="B50" s="216">
        <f t="shared" si="21"/>
        <v>44073</v>
      </c>
      <c r="C50" s="247">
        <v>1727</v>
      </c>
      <c r="D50" s="195">
        <v>1723</v>
      </c>
      <c r="E50" s="195">
        <v>826</v>
      </c>
      <c r="F50" s="195">
        <v>1270</v>
      </c>
      <c r="G50" s="248">
        <v>743</v>
      </c>
      <c r="H50" s="195">
        <v>1365</v>
      </c>
      <c r="I50" s="204">
        <v>1971</v>
      </c>
      <c r="J50" s="208">
        <v>3268</v>
      </c>
      <c r="K50" s="195">
        <v>864</v>
      </c>
      <c r="L50" s="204">
        <v>3637</v>
      </c>
      <c r="M50" s="208">
        <v>855</v>
      </c>
      <c r="N50" s="195">
        <v>659</v>
      </c>
      <c r="O50" s="195">
        <v>655</v>
      </c>
      <c r="P50" s="195">
        <v>381</v>
      </c>
      <c r="Q50" s="203">
        <v>322</v>
      </c>
      <c r="R50" s="195">
        <v>889</v>
      </c>
      <c r="S50" s="204">
        <v>275</v>
      </c>
      <c r="T50" s="217">
        <v>1174</v>
      </c>
      <c r="U50" s="195">
        <v>320</v>
      </c>
      <c r="V50" s="195">
        <v>672</v>
      </c>
      <c r="W50" s="195">
        <v>910</v>
      </c>
      <c r="X50" s="195">
        <v>601</v>
      </c>
      <c r="Y50" s="203">
        <v>1227</v>
      </c>
      <c r="Z50" s="203">
        <v>1318</v>
      </c>
      <c r="AA50" s="208">
        <v>1342</v>
      </c>
      <c r="AB50" s="170">
        <v>496</v>
      </c>
      <c r="AC50" s="195">
        <v>874</v>
      </c>
      <c r="AD50" s="195">
        <v>996</v>
      </c>
      <c r="AE50" s="204">
        <v>323</v>
      </c>
      <c r="AF50" s="217"/>
      <c r="AG50" s="195"/>
      <c r="AH50" s="195"/>
      <c r="AI50" s="195"/>
      <c r="AJ50" s="204"/>
      <c r="AK50" s="208">
        <v>1049</v>
      </c>
      <c r="AL50" s="204">
        <v>746</v>
      </c>
      <c r="AM50" s="174">
        <f t="shared" si="20"/>
        <v>33478</v>
      </c>
    </row>
    <row r="51" spans="1:39" ht="15.75" thickBot="1" x14ac:dyDescent="0.3">
      <c r="A51" s="144" t="s">
        <v>20</v>
      </c>
      <c r="B51" s="695" t="s">
        <v>26</v>
      </c>
      <c r="C51" s="209">
        <f>SUM(C44:C50)</f>
        <v>5736</v>
      </c>
      <c r="D51" s="209">
        <f t="shared" ref="D51:AJ51" si="22">SUM(D44:D50)</f>
        <v>6136</v>
      </c>
      <c r="E51" s="209">
        <f t="shared" si="22"/>
        <v>2824</v>
      </c>
      <c r="F51" s="209">
        <f t="shared" si="22"/>
        <v>5208</v>
      </c>
      <c r="G51" s="209">
        <f t="shared" si="22"/>
        <v>3193</v>
      </c>
      <c r="H51" s="209">
        <f t="shared" si="22"/>
        <v>4382</v>
      </c>
      <c r="I51" s="209">
        <f t="shared" si="22"/>
        <v>8711</v>
      </c>
      <c r="J51" s="209">
        <f t="shared" si="22"/>
        <v>9664</v>
      </c>
      <c r="K51" s="209">
        <f t="shared" si="22"/>
        <v>2801</v>
      </c>
      <c r="L51" s="209">
        <f t="shared" si="22"/>
        <v>10346</v>
      </c>
      <c r="M51" s="209">
        <f t="shared" si="22"/>
        <v>3189</v>
      </c>
      <c r="N51" s="209">
        <f>SUM(N44:N50)</f>
        <v>1867</v>
      </c>
      <c r="O51" s="209">
        <f t="shared" si="22"/>
        <v>2007</v>
      </c>
      <c r="P51" s="209">
        <f t="shared" si="22"/>
        <v>1080</v>
      </c>
      <c r="Q51" s="209">
        <f t="shared" si="22"/>
        <v>1139</v>
      </c>
      <c r="R51" s="209">
        <f t="shared" si="22"/>
        <v>2621</v>
      </c>
      <c r="S51" s="209">
        <f t="shared" si="22"/>
        <v>846</v>
      </c>
      <c r="T51" s="209">
        <f t="shared" si="22"/>
        <v>4090</v>
      </c>
      <c r="U51" s="209">
        <f t="shared" si="22"/>
        <v>1583</v>
      </c>
      <c r="V51" s="209">
        <f t="shared" si="22"/>
        <v>4261</v>
      </c>
      <c r="W51" s="209">
        <f t="shared" si="22"/>
        <v>4015</v>
      </c>
      <c r="X51" s="209">
        <f t="shared" si="22"/>
        <v>2525</v>
      </c>
      <c r="Y51" s="209">
        <f t="shared" si="22"/>
        <v>4606</v>
      </c>
      <c r="Z51" s="209">
        <f>SUM(Z44:Z50)</f>
        <v>3571</v>
      </c>
      <c r="AA51" s="209">
        <f t="shared" si="22"/>
        <v>4666</v>
      </c>
      <c r="AB51" s="209">
        <f t="shared" si="22"/>
        <v>2323</v>
      </c>
      <c r="AC51" s="209">
        <f t="shared" si="22"/>
        <v>3246</v>
      </c>
      <c r="AD51" s="209">
        <f t="shared" si="22"/>
        <v>4284</v>
      </c>
      <c r="AE51" s="209">
        <f>SUM(AE44:AE50)</f>
        <v>1287</v>
      </c>
      <c r="AF51" s="209">
        <f t="shared" si="22"/>
        <v>0</v>
      </c>
      <c r="AG51" s="209">
        <f t="shared" si="22"/>
        <v>0</v>
      </c>
      <c r="AH51" s="209">
        <f t="shared" si="22"/>
        <v>0</v>
      </c>
      <c r="AI51" s="209">
        <f t="shared" si="22"/>
        <v>0</v>
      </c>
      <c r="AJ51" s="209">
        <f t="shared" si="22"/>
        <v>0</v>
      </c>
      <c r="AK51" s="209">
        <f>SUM(AK44:AK50)</f>
        <v>1104</v>
      </c>
      <c r="AL51" s="209">
        <f>SUM(AL44:AL50)</f>
        <v>789</v>
      </c>
      <c r="AM51" s="209">
        <f>SUM(AM44:AM50)</f>
        <v>114100</v>
      </c>
    </row>
    <row r="52" spans="1:39" ht="15.75" thickBot="1" x14ac:dyDescent="0.3">
      <c r="A52" s="101" t="s">
        <v>22</v>
      </c>
      <c r="B52" s="695"/>
      <c r="C52" s="209">
        <f>AVERAGE(C44:C50)</f>
        <v>819.42857142857144</v>
      </c>
      <c r="D52" s="209">
        <f>AVERAGE(D44:D50)</f>
        <v>876.57142857142856</v>
      </c>
      <c r="E52" s="209">
        <f t="shared" ref="E52:AL52" si="23">AVERAGE(E44:E50)</f>
        <v>403.42857142857144</v>
      </c>
      <c r="F52" s="209">
        <f t="shared" si="23"/>
        <v>744</v>
      </c>
      <c r="G52" s="209">
        <f t="shared" si="23"/>
        <v>456.14285714285717</v>
      </c>
      <c r="H52" s="209">
        <f t="shared" si="23"/>
        <v>626</v>
      </c>
      <c r="I52" s="209">
        <f t="shared" si="23"/>
        <v>1244.4285714285713</v>
      </c>
      <c r="J52" s="209">
        <f t="shared" si="23"/>
        <v>1380.5714285714287</v>
      </c>
      <c r="K52" s="209">
        <f t="shared" si="23"/>
        <v>400.14285714285717</v>
      </c>
      <c r="L52" s="209">
        <f t="shared" si="23"/>
        <v>1478</v>
      </c>
      <c r="M52" s="209">
        <f t="shared" si="23"/>
        <v>455.57142857142856</v>
      </c>
      <c r="N52" s="209">
        <f t="shared" si="23"/>
        <v>266.71428571428572</v>
      </c>
      <c r="O52" s="209">
        <f t="shared" si="23"/>
        <v>286.71428571428572</v>
      </c>
      <c r="P52" s="209">
        <f t="shared" si="23"/>
        <v>154.28571428571428</v>
      </c>
      <c r="Q52" s="209">
        <f t="shared" si="23"/>
        <v>162.71428571428572</v>
      </c>
      <c r="R52" s="209">
        <f t="shared" si="23"/>
        <v>374.42857142857144</v>
      </c>
      <c r="S52" s="209">
        <f t="shared" si="23"/>
        <v>120.85714285714286</v>
      </c>
      <c r="T52" s="209">
        <f t="shared" si="23"/>
        <v>584.28571428571433</v>
      </c>
      <c r="U52" s="209">
        <f t="shared" si="23"/>
        <v>226.14285714285714</v>
      </c>
      <c r="V52" s="209">
        <f t="shared" si="23"/>
        <v>608.71428571428567</v>
      </c>
      <c r="W52" s="209">
        <f t="shared" si="23"/>
        <v>573.57142857142856</v>
      </c>
      <c r="X52" s="209">
        <f t="shared" si="23"/>
        <v>360.71428571428572</v>
      </c>
      <c r="Y52" s="209">
        <f t="shared" si="23"/>
        <v>658</v>
      </c>
      <c r="Z52" s="209">
        <f t="shared" si="23"/>
        <v>510.14285714285717</v>
      </c>
      <c r="AA52" s="209">
        <f t="shared" si="23"/>
        <v>666.57142857142856</v>
      </c>
      <c r="AB52" s="209">
        <f t="shared" si="23"/>
        <v>331.85714285714283</v>
      </c>
      <c r="AC52" s="209">
        <f t="shared" si="23"/>
        <v>463.71428571428572</v>
      </c>
      <c r="AD52" s="209">
        <f t="shared" si="23"/>
        <v>612</v>
      </c>
      <c r="AE52" s="209">
        <f t="shared" si="23"/>
        <v>183.85714285714286</v>
      </c>
      <c r="AF52" s="209" t="e">
        <f t="shared" si="23"/>
        <v>#DIV/0!</v>
      </c>
      <c r="AG52" s="209" t="e">
        <f t="shared" si="23"/>
        <v>#DIV/0!</v>
      </c>
      <c r="AH52" s="209" t="e">
        <f t="shared" si="23"/>
        <v>#DIV/0!</v>
      </c>
      <c r="AI52" s="209" t="e">
        <f t="shared" si="23"/>
        <v>#DIV/0!</v>
      </c>
      <c r="AJ52" s="209" t="e">
        <f t="shared" si="23"/>
        <v>#DIV/0!</v>
      </c>
      <c r="AK52" s="209">
        <f t="shared" si="23"/>
        <v>552</v>
      </c>
      <c r="AL52" s="209">
        <f t="shared" si="23"/>
        <v>394.5</v>
      </c>
      <c r="AM52" s="209">
        <f>AVERAGE(AM44:AM50)</f>
        <v>16300</v>
      </c>
    </row>
    <row r="53" spans="1:39" ht="15.75" thickBot="1" x14ac:dyDescent="0.3">
      <c r="A53" s="26" t="s">
        <v>19</v>
      </c>
      <c r="B53" s="695"/>
      <c r="C53" s="210">
        <f t="shared" ref="C53:AE53" si="24">SUM(C44:C48)</f>
        <v>3482</v>
      </c>
      <c r="D53" s="210">
        <f t="shared" si="24"/>
        <v>3729</v>
      </c>
      <c r="E53" s="210">
        <f t="shared" si="24"/>
        <v>1811</v>
      </c>
      <c r="F53" s="210">
        <f t="shared" si="24"/>
        <v>3350</v>
      </c>
      <c r="G53" s="210">
        <f t="shared" si="24"/>
        <v>2209</v>
      </c>
      <c r="H53" s="210">
        <f t="shared" si="24"/>
        <v>2618</v>
      </c>
      <c r="I53" s="210">
        <f t="shared" si="24"/>
        <v>5848</v>
      </c>
      <c r="J53" s="210">
        <f t="shared" si="24"/>
        <v>6103</v>
      </c>
      <c r="K53" s="210">
        <f t="shared" si="24"/>
        <v>1801</v>
      </c>
      <c r="L53" s="210">
        <f t="shared" si="24"/>
        <v>6402</v>
      </c>
      <c r="M53" s="210">
        <f t="shared" si="24"/>
        <v>2051</v>
      </c>
      <c r="N53" s="210">
        <f t="shared" si="24"/>
        <v>1030</v>
      </c>
      <c r="O53" s="210">
        <f t="shared" si="24"/>
        <v>1245</v>
      </c>
      <c r="P53" s="210">
        <f t="shared" si="24"/>
        <v>589</v>
      </c>
      <c r="Q53" s="210">
        <f t="shared" si="24"/>
        <v>756</v>
      </c>
      <c r="R53" s="210">
        <f t="shared" si="24"/>
        <v>1552</v>
      </c>
      <c r="S53" s="210">
        <f t="shared" si="24"/>
        <v>474</v>
      </c>
      <c r="T53" s="210">
        <f t="shared" si="24"/>
        <v>2491</v>
      </c>
      <c r="U53" s="210">
        <f t="shared" si="24"/>
        <v>1154</v>
      </c>
      <c r="V53" s="210">
        <f t="shared" si="24"/>
        <v>3218</v>
      </c>
      <c r="W53" s="210">
        <f t="shared" si="24"/>
        <v>2641</v>
      </c>
      <c r="X53" s="210">
        <f t="shared" si="24"/>
        <v>1599</v>
      </c>
      <c r="Y53" s="210">
        <f t="shared" si="24"/>
        <v>2943</v>
      </c>
      <c r="Z53" s="210">
        <f t="shared" si="24"/>
        <v>1840</v>
      </c>
      <c r="AA53" s="210">
        <f t="shared" si="24"/>
        <v>3032</v>
      </c>
      <c r="AB53" s="210">
        <f t="shared" si="24"/>
        <v>1653</v>
      </c>
      <c r="AC53" s="210">
        <f t="shared" si="24"/>
        <v>2117</v>
      </c>
      <c r="AD53" s="210">
        <f t="shared" si="24"/>
        <v>3044</v>
      </c>
      <c r="AE53" s="210">
        <f t="shared" si="24"/>
        <v>851</v>
      </c>
      <c r="AF53" s="210">
        <f t="shared" ref="AF53:AL53" si="25">SUM(AF44:AF48)</f>
        <v>0</v>
      </c>
      <c r="AG53" s="210">
        <f t="shared" si="25"/>
        <v>0</v>
      </c>
      <c r="AH53" s="210">
        <f t="shared" si="25"/>
        <v>0</v>
      </c>
      <c r="AI53" s="210">
        <f t="shared" si="25"/>
        <v>0</v>
      </c>
      <c r="AJ53" s="210">
        <f t="shared" si="25"/>
        <v>0</v>
      </c>
      <c r="AK53" s="210">
        <f>SUM(AK44:AK48)</f>
        <v>0</v>
      </c>
      <c r="AL53" s="210">
        <f t="shared" si="25"/>
        <v>0</v>
      </c>
      <c r="AM53" s="210">
        <f>SUM(AM44:AM48)</f>
        <v>71633</v>
      </c>
    </row>
    <row r="54" spans="1:39" ht="15.75" thickBot="1" x14ac:dyDescent="0.3">
      <c r="A54" s="26" t="s">
        <v>21</v>
      </c>
      <c r="B54" s="695"/>
      <c r="C54" s="210">
        <f>AVERAGE(C44:C48)</f>
        <v>696.4</v>
      </c>
      <c r="D54" s="210">
        <f t="shared" ref="D54:AM54" si="26">AVERAGE(D44:D48)</f>
        <v>745.8</v>
      </c>
      <c r="E54" s="210">
        <f t="shared" si="26"/>
        <v>362.2</v>
      </c>
      <c r="F54" s="210">
        <f t="shared" si="26"/>
        <v>670</v>
      </c>
      <c r="G54" s="210">
        <f t="shared" si="26"/>
        <v>441.8</v>
      </c>
      <c r="H54" s="210">
        <f t="shared" si="26"/>
        <v>523.6</v>
      </c>
      <c r="I54" s="210">
        <f t="shared" si="26"/>
        <v>1169.5999999999999</v>
      </c>
      <c r="J54" s="210">
        <f t="shared" si="26"/>
        <v>1220.5999999999999</v>
      </c>
      <c r="K54" s="210">
        <f t="shared" si="26"/>
        <v>360.2</v>
      </c>
      <c r="L54" s="210">
        <f t="shared" si="26"/>
        <v>1280.4000000000001</v>
      </c>
      <c r="M54" s="210">
        <f t="shared" si="26"/>
        <v>410.2</v>
      </c>
      <c r="N54" s="210">
        <f t="shared" si="26"/>
        <v>206</v>
      </c>
      <c r="O54" s="210">
        <f t="shared" si="26"/>
        <v>249</v>
      </c>
      <c r="P54" s="210">
        <f t="shared" si="26"/>
        <v>117.8</v>
      </c>
      <c r="Q54" s="210">
        <f t="shared" si="26"/>
        <v>151.19999999999999</v>
      </c>
      <c r="R54" s="210">
        <f t="shared" si="26"/>
        <v>310.39999999999998</v>
      </c>
      <c r="S54" s="210">
        <f t="shared" si="26"/>
        <v>94.8</v>
      </c>
      <c r="T54" s="210">
        <f t="shared" si="26"/>
        <v>498.2</v>
      </c>
      <c r="U54" s="210">
        <f t="shared" si="26"/>
        <v>230.8</v>
      </c>
      <c r="V54" s="210">
        <f t="shared" si="26"/>
        <v>643.6</v>
      </c>
      <c r="W54" s="210">
        <f t="shared" si="26"/>
        <v>528.20000000000005</v>
      </c>
      <c r="X54" s="210">
        <f t="shared" si="26"/>
        <v>319.8</v>
      </c>
      <c r="Y54" s="210">
        <f t="shared" si="26"/>
        <v>588.6</v>
      </c>
      <c r="Z54" s="210">
        <f t="shared" si="26"/>
        <v>368</v>
      </c>
      <c r="AA54" s="210">
        <f t="shared" si="26"/>
        <v>606.4</v>
      </c>
      <c r="AB54" s="210">
        <f t="shared" si="26"/>
        <v>330.6</v>
      </c>
      <c r="AC54" s="210">
        <f t="shared" si="26"/>
        <v>423.4</v>
      </c>
      <c r="AD54" s="210">
        <f t="shared" si="26"/>
        <v>608.79999999999995</v>
      </c>
      <c r="AE54" s="210">
        <f t="shared" si="26"/>
        <v>170.2</v>
      </c>
      <c r="AF54" s="210" t="e">
        <f t="shared" si="26"/>
        <v>#DIV/0!</v>
      </c>
      <c r="AG54" s="210" t="e">
        <f t="shared" si="26"/>
        <v>#DIV/0!</v>
      </c>
      <c r="AH54" s="210" t="e">
        <f t="shared" si="26"/>
        <v>#DIV/0!</v>
      </c>
      <c r="AI54" s="210" t="e">
        <f t="shared" si="26"/>
        <v>#DIV/0!</v>
      </c>
      <c r="AJ54" s="210" t="e">
        <f t="shared" si="26"/>
        <v>#DIV/0!</v>
      </c>
      <c r="AK54" s="210" t="e">
        <f t="shared" si="26"/>
        <v>#DIV/0!</v>
      </c>
      <c r="AL54" s="210" t="e">
        <f t="shared" si="26"/>
        <v>#DIV/0!</v>
      </c>
      <c r="AM54" s="210">
        <f t="shared" si="26"/>
        <v>14326.6</v>
      </c>
    </row>
    <row r="55" spans="1:39" ht="15.75" thickBot="1" x14ac:dyDescent="0.3">
      <c r="A55" s="136" t="s">
        <v>3</v>
      </c>
      <c r="B55" s="216">
        <f>B50+1</f>
        <v>44074</v>
      </c>
      <c r="C55" s="247">
        <v>589</v>
      </c>
      <c r="D55" s="195">
        <v>289</v>
      </c>
      <c r="E55" s="195">
        <v>271</v>
      </c>
      <c r="F55" s="195">
        <v>592</v>
      </c>
      <c r="G55" s="248">
        <v>388</v>
      </c>
      <c r="H55" s="195">
        <v>494</v>
      </c>
      <c r="I55" s="204">
        <v>1066</v>
      </c>
      <c r="J55" s="208">
        <v>717</v>
      </c>
      <c r="K55" s="195">
        <v>240</v>
      </c>
      <c r="L55" s="204">
        <v>812</v>
      </c>
      <c r="M55" s="208">
        <v>417</v>
      </c>
      <c r="N55" s="195">
        <v>78</v>
      </c>
      <c r="O55" s="195">
        <v>360</v>
      </c>
      <c r="P55" s="195">
        <v>119</v>
      </c>
      <c r="Q55" s="203">
        <v>138</v>
      </c>
      <c r="R55" s="195">
        <v>318</v>
      </c>
      <c r="S55" s="204">
        <v>83</v>
      </c>
      <c r="T55" s="217">
        <v>468</v>
      </c>
      <c r="U55" s="195">
        <v>226</v>
      </c>
      <c r="V55" s="195">
        <v>634</v>
      </c>
      <c r="W55" s="195">
        <v>499</v>
      </c>
      <c r="X55" s="195">
        <v>294</v>
      </c>
      <c r="Y55" s="203">
        <v>521</v>
      </c>
      <c r="Z55" s="203">
        <v>300</v>
      </c>
      <c r="AA55" s="208">
        <v>506</v>
      </c>
      <c r="AB55" s="170">
        <v>317</v>
      </c>
      <c r="AC55" s="195">
        <v>409</v>
      </c>
      <c r="AD55" s="195">
        <v>489</v>
      </c>
      <c r="AE55" s="204">
        <v>164</v>
      </c>
      <c r="AF55" s="217"/>
      <c r="AG55" s="195"/>
      <c r="AH55" s="195"/>
      <c r="AI55" s="195"/>
      <c r="AJ55" s="204"/>
      <c r="AK55" s="208"/>
      <c r="AL55" s="204"/>
      <c r="AM55" s="174">
        <f t="shared" ref="AM55:AM60" si="27">SUM(C55:AL55)</f>
        <v>11798</v>
      </c>
    </row>
    <row r="56" spans="1:39" ht="15.75" hidden="1" thickBot="1" x14ac:dyDescent="0.3">
      <c r="A56" s="136" t="s">
        <v>4</v>
      </c>
      <c r="B56" s="216">
        <f t="shared" ref="B56:B61" si="28">B55+1</f>
        <v>44075</v>
      </c>
      <c r="C56" s="247"/>
      <c r="D56" s="195"/>
      <c r="E56" s="195"/>
      <c r="F56" s="195"/>
      <c r="G56" s="248"/>
      <c r="H56" s="195"/>
      <c r="I56" s="204"/>
      <c r="J56" s="208"/>
      <c r="K56" s="195"/>
      <c r="L56" s="204"/>
      <c r="M56" s="208"/>
      <c r="N56" s="195"/>
      <c r="O56" s="195"/>
      <c r="P56" s="195"/>
      <c r="Q56" s="203"/>
      <c r="R56" s="195"/>
      <c r="S56" s="204"/>
      <c r="T56" s="217"/>
      <c r="U56" s="195"/>
      <c r="V56" s="195"/>
      <c r="W56" s="195"/>
      <c r="X56" s="195"/>
      <c r="Y56" s="203"/>
      <c r="Z56" s="203"/>
      <c r="AA56" s="208"/>
      <c r="AB56" s="170"/>
      <c r="AC56" s="195"/>
      <c r="AD56" s="195"/>
      <c r="AE56" s="204"/>
      <c r="AF56" s="217"/>
      <c r="AG56" s="195"/>
      <c r="AH56" s="195"/>
      <c r="AI56" s="195"/>
      <c r="AJ56" s="204"/>
      <c r="AK56" s="208"/>
      <c r="AL56" s="204"/>
      <c r="AM56" s="174">
        <f t="shared" si="27"/>
        <v>0</v>
      </c>
    </row>
    <row r="57" spans="1:39" ht="15.75" hidden="1" thickBot="1" x14ac:dyDescent="0.3">
      <c r="A57" s="136" t="s">
        <v>5</v>
      </c>
      <c r="B57" s="216">
        <f t="shared" si="28"/>
        <v>44076</v>
      </c>
      <c r="C57" s="247"/>
      <c r="D57" s="195"/>
      <c r="E57" s="195"/>
      <c r="F57" s="195"/>
      <c r="G57" s="248"/>
      <c r="H57" s="195"/>
      <c r="I57" s="204"/>
      <c r="J57" s="208"/>
      <c r="K57" s="195"/>
      <c r="L57" s="204"/>
      <c r="M57" s="208"/>
      <c r="N57" s="195"/>
      <c r="O57" s="195"/>
      <c r="P57" s="195"/>
      <c r="Q57" s="203"/>
      <c r="R57" s="195"/>
      <c r="S57" s="204"/>
      <c r="T57" s="217"/>
      <c r="U57" s="195"/>
      <c r="V57" s="195"/>
      <c r="W57" s="195"/>
      <c r="X57" s="195"/>
      <c r="Y57" s="203"/>
      <c r="Z57" s="203"/>
      <c r="AA57" s="208"/>
      <c r="AB57" s="170"/>
      <c r="AC57" s="195"/>
      <c r="AD57" s="195"/>
      <c r="AE57" s="204"/>
      <c r="AF57" s="217"/>
      <c r="AG57" s="195"/>
      <c r="AH57" s="195"/>
      <c r="AI57" s="195"/>
      <c r="AJ57" s="204"/>
      <c r="AK57" s="208"/>
      <c r="AL57" s="204"/>
      <c r="AM57" s="174">
        <f t="shared" si="27"/>
        <v>0</v>
      </c>
    </row>
    <row r="58" spans="1:39" ht="15.75" hidden="1" thickBot="1" x14ac:dyDescent="0.3">
      <c r="A58" s="136" t="s">
        <v>6</v>
      </c>
      <c r="B58" s="216">
        <f t="shared" si="28"/>
        <v>44077</v>
      </c>
      <c r="C58" s="247"/>
      <c r="D58" s="195"/>
      <c r="E58" s="195"/>
      <c r="F58" s="195"/>
      <c r="G58" s="248"/>
      <c r="H58" s="195"/>
      <c r="I58" s="204"/>
      <c r="J58" s="208"/>
      <c r="K58" s="195"/>
      <c r="L58" s="204"/>
      <c r="M58" s="208"/>
      <c r="N58" s="195"/>
      <c r="O58" s="195"/>
      <c r="P58" s="195"/>
      <c r="Q58" s="203"/>
      <c r="R58" s="195"/>
      <c r="S58" s="204"/>
      <c r="T58" s="217"/>
      <c r="U58" s="195"/>
      <c r="V58" s="195"/>
      <c r="W58" s="195"/>
      <c r="X58" s="195"/>
      <c r="Y58" s="203"/>
      <c r="Z58" s="203"/>
      <c r="AA58" s="208"/>
      <c r="AB58" s="170"/>
      <c r="AC58" s="195"/>
      <c r="AD58" s="195"/>
      <c r="AE58" s="204"/>
      <c r="AF58" s="217"/>
      <c r="AG58" s="195"/>
      <c r="AH58" s="195"/>
      <c r="AI58" s="195"/>
      <c r="AJ58" s="204"/>
      <c r="AK58" s="208"/>
      <c r="AL58" s="204"/>
      <c r="AM58" s="174">
        <f t="shared" si="27"/>
        <v>0</v>
      </c>
    </row>
    <row r="59" spans="1:39" ht="15.75" hidden="1" thickBot="1" x14ac:dyDescent="0.3">
      <c r="A59" s="136" t="s">
        <v>0</v>
      </c>
      <c r="B59" s="216">
        <f t="shared" si="28"/>
        <v>44078</v>
      </c>
      <c r="C59" s="361"/>
      <c r="D59" s="195"/>
      <c r="E59" s="195"/>
      <c r="F59" s="195"/>
      <c r="G59" s="195"/>
      <c r="H59" s="195"/>
      <c r="I59" s="204"/>
      <c r="J59" s="208"/>
      <c r="K59" s="195"/>
      <c r="L59" s="204"/>
      <c r="M59" s="208"/>
      <c r="N59" s="195"/>
      <c r="O59" s="195"/>
      <c r="P59" s="195"/>
      <c r="Q59" s="203"/>
      <c r="R59" s="195"/>
      <c r="S59" s="204"/>
      <c r="T59" s="217"/>
      <c r="U59" s="195"/>
      <c r="V59" s="195"/>
      <c r="W59" s="195"/>
      <c r="X59" s="195"/>
      <c r="Y59" s="203"/>
      <c r="Z59" s="203"/>
      <c r="AA59" s="208"/>
      <c r="AB59" s="170"/>
      <c r="AC59" s="195"/>
      <c r="AD59" s="195"/>
      <c r="AE59" s="204"/>
      <c r="AF59" s="217"/>
      <c r="AG59" s="195"/>
      <c r="AH59" s="195"/>
      <c r="AI59" s="195"/>
      <c r="AJ59" s="204"/>
      <c r="AK59" s="208"/>
      <c r="AL59" s="204"/>
      <c r="AM59" s="174">
        <f t="shared" si="27"/>
        <v>0</v>
      </c>
    </row>
    <row r="60" spans="1:39" ht="15.75" hidden="1" thickBot="1" x14ac:dyDescent="0.3">
      <c r="A60" s="136" t="s">
        <v>1</v>
      </c>
      <c r="B60" s="216">
        <f t="shared" si="28"/>
        <v>44079</v>
      </c>
      <c r="C60" s="208"/>
      <c r="D60" s="195"/>
      <c r="E60" s="195"/>
      <c r="F60" s="195"/>
      <c r="G60" s="195"/>
      <c r="H60" s="195"/>
      <c r="I60" s="204"/>
      <c r="J60" s="208"/>
      <c r="K60" s="195"/>
      <c r="L60" s="204"/>
      <c r="M60" s="208"/>
      <c r="N60" s="195"/>
      <c r="O60" s="195"/>
      <c r="P60" s="195"/>
      <c r="Q60" s="203"/>
      <c r="R60" s="195"/>
      <c r="S60" s="204"/>
      <c r="T60" s="217"/>
      <c r="U60" s="195"/>
      <c r="V60" s="195"/>
      <c r="W60" s="195"/>
      <c r="X60" s="195"/>
      <c r="Y60" s="203"/>
      <c r="Z60" s="203"/>
      <c r="AA60" s="208"/>
      <c r="AB60" s="170"/>
      <c r="AC60" s="195"/>
      <c r="AD60" s="195"/>
      <c r="AE60" s="204"/>
      <c r="AF60" s="217"/>
      <c r="AG60" s="195"/>
      <c r="AH60" s="195"/>
      <c r="AI60" s="195"/>
      <c r="AJ60" s="204"/>
      <c r="AK60" s="208"/>
      <c r="AL60" s="204"/>
      <c r="AM60" s="174">
        <f t="shared" si="27"/>
        <v>0</v>
      </c>
    </row>
    <row r="61" spans="1:39" ht="15.75" hidden="1" thickBot="1" x14ac:dyDescent="0.3">
      <c r="A61" s="136" t="s">
        <v>2</v>
      </c>
      <c r="B61" s="216">
        <f t="shared" si="28"/>
        <v>44080</v>
      </c>
      <c r="C61" s="208"/>
      <c r="D61" s="195"/>
      <c r="E61" s="195"/>
      <c r="F61" s="195"/>
      <c r="G61" s="195"/>
      <c r="H61" s="195"/>
      <c r="I61" s="204"/>
      <c r="J61" s="208"/>
      <c r="K61" s="195"/>
      <c r="L61" s="204"/>
      <c r="M61" s="208"/>
      <c r="N61" s="195"/>
      <c r="O61" s="195"/>
      <c r="P61" s="195"/>
      <c r="Q61" s="203"/>
      <c r="R61" s="195"/>
      <c r="S61" s="204"/>
      <c r="T61" s="217"/>
      <c r="U61" s="195"/>
      <c r="V61" s="195"/>
      <c r="W61" s="195"/>
      <c r="X61" s="195"/>
      <c r="Y61" s="203"/>
      <c r="Z61" s="203"/>
      <c r="AA61" s="208"/>
      <c r="AB61" s="170"/>
      <c r="AC61" s="195"/>
      <c r="AD61" s="195"/>
      <c r="AE61" s="204"/>
      <c r="AF61" s="217"/>
      <c r="AG61" s="195"/>
      <c r="AH61" s="195"/>
      <c r="AI61" s="195"/>
      <c r="AJ61" s="204"/>
      <c r="AK61" s="208"/>
      <c r="AL61" s="204"/>
      <c r="AM61" s="174"/>
    </row>
    <row r="62" spans="1:39" ht="15.75" thickBot="1" x14ac:dyDescent="0.3">
      <c r="A62" s="144" t="s">
        <v>20</v>
      </c>
      <c r="B62" s="695" t="s">
        <v>27</v>
      </c>
      <c r="C62" s="209">
        <f>SUM(C55)</f>
        <v>589</v>
      </c>
      <c r="D62" s="209">
        <f t="shared" ref="D62:AL62" si="29">SUM(D55)</f>
        <v>289</v>
      </c>
      <c r="E62" s="209">
        <f t="shared" si="29"/>
        <v>271</v>
      </c>
      <c r="F62" s="209">
        <f t="shared" si="29"/>
        <v>592</v>
      </c>
      <c r="G62" s="209">
        <f t="shared" si="29"/>
        <v>388</v>
      </c>
      <c r="H62" s="209">
        <f t="shared" si="29"/>
        <v>494</v>
      </c>
      <c r="I62" s="209">
        <f t="shared" si="29"/>
        <v>1066</v>
      </c>
      <c r="J62" s="209">
        <f t="shared" si="29"/>
        <v>717</v>
      </c>
      <c r="K62" s="209">
        <f t="shared" si="29"/>
        <v>240</v>
      </c>
      <c r="L62" s="209">
        <f t="shared" si="29"/>
        <v>812</v>
      </c>
      <c r="M62" s="209">
        <f t="shared" si="29"/>
        <v>417</v>
      </c>
      <c r="N62" s="209">
        <f t="shared" si="29"/>
        <v>78</v>
      </c>
      <c r="O62" s="209">
        <f t="shared" si="29"/>
        <v>360</v>
      </c>
      <c r="P62" s="209">
        <f t="shared" si="29"/>
        <v>119</v>
      </c>
      <c r="Q62" s="209">
        <f t="shared" si="29"/>
        <v>138</v>
      </c>
      <c r="R62" s="209">
        <f t="shared" si="29"/>
        <v>318</v>
      </c>
      <c r="S62" s="209">
        <f t="shared" si="29"/>
        <v>83</v>
      </c>
      <c r="T62" s="209">
        <f t="shared" si="29"/>
        <v>468</v>
      </c>
      <c r="U62" s="209">
        <f t="shared" si="29"/>
        <v>226</v>
      </c>
      <c r="V62" s="209">
        <f t="shared" si="29"/>
        <v>634</v>
      </c>
      <c r="W62" s="209">
        <f t="shared" si="29"/>
        <v>499</v>
      </c>
      <c r="X62" s="209">
        <f t="shared" si="29"/>
        <v>294</v>
      </c>
      <c r="Y62" s="209">
        <f t="shared" si="29"/>
        <v>521</v>
      </c>
      <c r="Z62" s="209">
        <f t="shared" si="29"/>
        <v>300</v>
      </c>
      <c r="AA62" s="209">
        <f t="shared" si="29"/>
        <v>506</v>
      </c>
      <c r="AB62" s="209">
        <f t="shared" si="29"/>
        <v>317</v>
      </c>
      <c r="AC62" s="209">
        <f t="shared" si="29"/>
        <v>409</v>
      </c>
      <c r="AD62" s="209">
        <f t="shared" si="29"/>
        <v>489</v>
      </c>
      <c r="AE62" s="209">
        <f t="shared" si="29"/>
        <v>164</v>
      </c>
      <c r="AF62" s="209">
        <f t="shared" si="29"/>
        <v>0</v>
      </c>
      <c r="AG62" s="209">
        <f t="shared" si="29"/>
        <v>0</v>
      </c>
      <c r="AH62" s="209">
        <f t="shared" si="29"/>
        <v>0</v>
      </c>
      <c r="AI62" s="209">
        <f t="shared" si="29"/>
        <v>0</v>
      </c>
      <c r="AJ62" s="209">
        <f t="shared" si="29"/>
        <v>0</v>
      </c>
      <c r="AK62" s="209">
        <f t="shared" si="29"/>
        <v>0</v>
      </c>
      <c r="AL62" s="209">
        <f t="shared" si="29"/>
        <v>0</v>
      </c>
      <c r="AM62" s="209">
        <f>SUM(AM55)</f>
        <v>11798</v>
      </c>
    </row>
    <row r="63" spans="1:39" ht="15.75" thickBot="1" x14ac:dyDescent="0.3">
      <c r="A63" s="101" t="s">
        <v>22</v>
      </c>
      <c r="B63" s="695"/>
      <c r="C63" s="209">
        <f>AVERAGE(C55)</f>
        <v>589</v>
      </c>
      <c r="D63" s="209">
        <f t="shared" ref="D63:AM63" si="30">AVERAGE(D55)</f>
        <v>289</v>
      </c>
      <c r="E63" s="209">
        <f t="shared" si="30"/>
        <v>271</v>
      </c>
      <c r="F63" s="209">
        <f t="shared" si="30"/>
        <v>592</v>
      </c>
      <c r="G63" s="209">
        <f t="shared" si="30"/>
        <v>388</v>
      </c>
      <c r="H63" s="209">
        <f t="shared" si="30"/>
        <v>494</v>
      </c>
      <c r="I63" s="209">
        <f t="shared" si="30"/>
        <v>1066</v>
      </c>
      <c r="J63" s="209">
        <f t="shared" si="30"/>
        <v>717</v>
      </c>
      <c r="K63" s="209">
        <f t="shared" si="30"/>
        <v>240</v>
      </c>
      <c r="L63" s="209">
        <f t="shared" si="30"/>
        <v>812</v>
      </c>
      <c r="M63" s="209">
        <f t="shared" si="30"/>
        <v>417</v>
      </c>
      <c r="N63" s="209">
        <f t="shared" si="30"/>
        <v>78</v>
      </c>
      <c r="O63" s="209">
        <f t="shared" si="30"/>
        <v>360</v>
      </c>
      <c r="P63" s="209">
        <f t="shared" si="30"/>
        <v>119</v>
      </c>
      <c r="Q63" s="209">
        <f t="shared" si="30"/>
        <v>138</v>
      </c>
      <c r="R63" s="209">
        <f t="shared" si="30"/>
        <v>318</v>
      </c>
      <c r="S63" s="209">
        <f t="shared" si="30"/>
        <v>83</v>
      </c>
      <c r="T63" s="209">
        <f t="shared" si="30"/>
        <v>468</v>
      </c>
      <c r="U63" s="209">
        <f t="shared" si="30"/>
        <v>226</v>
      </c>
      <c r="V63" s="209">
        <f t="shared" si="30"/>
        <v>634</v>
      </c>
      <c r="W63" s="209">
        <f t="shared" si="30"/>
        <v>499</v>
      </c>
      <c r="X63" s="209">
        <f t="shared" si="30"/>
        <v>294</v>
      </c>
      <c r="Y63" s="209">
        <f t="shared" si="30"/>
        <v>521</v>
      </c>
      <c r="Z63" s="209">
        <f t="shared" si="30"/>
        <v>300</v>
      </c>
      <c r="AA63" s="209">
        <f t="shared" si="30"/>
        <v>506</v>
      </c>
      <c r="AB63" s="209">
        <f t="shared" si="30"/>
        <v>317</v>
      </c>
      <c r="AC63" s="209">
        <f t="shared" si="30"/>
        <v>409</v>
      </c>
      <c r="AD63" s="209">
        <f t="shared" si="30"/>
        <v>489</v>
      </c>
      <c r="AE63" s="209">
        <f t="shared" si="30"/>
        <v>164</v>
      </c>
      <c r="AF63" s="209" t="e">
        <f t="shared" si="30"/>
        <v>#DIV/0!</v>
      </c>
      <c r="AG63" s="209" t="e">
        <f t="shared" si="30"/>
        <v>#DIV/0!</v>
      </c>
      <c r="AH63" s="209" t="e">
        <f t="shared" si="30"/>
        <v>#DIV/0!</v>
      </c>
      <c r="AI63" s="209" t="e">
        <f t="shared" si="30"/>
        <v>#DIV/0!</v>
      </c>
      <c r="AJ63" s="209" t="e">
        <f t="shared" si="30"/>
        <v>#DIV/0!</v>
      </c>
      <c r="AK63" s="209" t="e">
        <f t="shared" si="30"/>
        <v>#DIV/0!</v>
      </c>
      <c r="AL63" s="209" t="e">
        <f t="shared" si="30"/>
        <v>#DIV/0!</v>
      </c>
      <c r="AM63" s="209">
        <f t="shared" si="30"/>
        <v>11798</v>
      </c>
    </row>
    <row r="64" spans="1:39" ht="15.75" thickBot="1" x14ac:dyDescent="0.3">
      <c r="A64" s="26" t="s">
        <v>19</v>
      </c>
      <c r="B64" s="695"/>
      <c r="C64" s="210">
        <f>SUM(C55)</f>
        <v>589</v>
      </c>
      <c r="D64" s="210">
        <f t="shared" ref="D64:AM64" si="31">SUM(D55)</f>
        <v>289</v>
      </c>
      <c r="E64" s="210">
        <f t="shared" si="31"/>
        <v>271</v>
      </c>
      <c r="F64" s="210">
        <f t="shared" si="31"/>
        <v>592</v>
      </c>
      <c r="G64" s="210">
        <f t="shared" si="31"/>
        <v>388</v>
      </c>
      <c r="H64" s="210">
        <f t="shared" si="31"/>
        <v>494</v>
      </c>
      <c r="I64" s="210">
        <f t="shared" si="31"/>
        <v>1066</v>
      </c>
      <c r="J64" s="210">
        <f t="shared" si="31"/>
        <v>717</v>
      </c>
      <c r="K64" s="210">
        <f t="shared" si="31"/>
        <v>240</v>
      </c>
      <c r="L64" s="210">
        <f t="shared" si="31"/>
        <v>812</v>
      </c>
      <c r="M64" s="210">
        <f t="shared" si="31"/>
        <v>417</v>
      </c>
      <c r="N64" s="210">
        <f t="shared" si="31"/>
        <v>78</v>
      </c>
      <c r="O64" s="210">
        <f t="shared" si="31"/>
        <v>360</v>
      </c>
      <c r="P64" s="210">
        <f t="shared" si="31"/>
        <v>119</v>
      </c>
      <c r="Q64" s="210">
        <f t="shared" si="31"/>
        <v>138</v>
      </c>
      <c r="R64" s="210">
        <f t="shared" si="31"/>
        <v>318</v>
      </c>
      <c r="S64" s="210">
        <f t="shared" si="31"/>
        <v>83</v>
      </c>
      <c r="T64" s="210">
        <f t="shared" si="31"/>
        <v>468</v>
      </c>
      <c r="U64" s="210">
        <f t="shared" si="31"/>
        <v>226</v>
      </c>
      <c r="V64" s="210">
        <f t="shared" si="31"/>
        <v>634</v>
      </c>
      <c r="W64" s="210">
        <f t="shared" si="31"/>
        <v>499</v>
      </c>
      <c r="X64" s="210">
        <f t="shared" si="31"/>
        <v>294</v>
      </c>
      <c r="Y64" s="210">
        <f t="shared" si="31"/>
        <v>521</v>
      </c>
      <c r="Z64" s="210">
        <f t="shared" si="31"/>
        <v>300</v>
      </c>
      <c r="AA64" s="210">
        <f t="shared" si="31"/>
        <v>506</v>
      </c>
      <c r="AB64" s="210">
        <f t="shared" si="31"/>
        <v>317</v>
      </c>
      <c r="AC64" s="210">
        <f t="shared" si="31"/>
        <v>409</v>
      </c>
      <c r="AD64" s="210">
        <f t="shared" si="31"/>
        <v>489</v>
      </c>
      <c r="AE64" s="210">
        <f t="shared" si="31"/>
        <v>164</v>
      </c>
      <c r="AF64" s="210">
        <f t="shared" si="31"/>
        <v>0</v>
      </c>
      <c r="AG64" s="210">
        <f t="shared" si="31"/>
        <v>0</v>
      </c>
      <c r="AH64" s="210">
        <f t="shared" si="31"/>
        <v>0</v>
      </c>
      <c r="AI64" s="210">
        <f t="shared" si="31"/>
        <v>0</v>
      </c>
      <c r="AJ64" s="210">
        <f t="shared" si="31"/>
        <v>0</v>
      </c>
      <c r="AK64" s="210">
        <f t="shared" si="31"/>
        <v>0</v>
      </c>
      <c r="AL64" s="210">
        <f t="shared" si="31"/>
        <v>0</v>
      </c>
      <c r="AM64" s="210">
        <f t="shared" si="31"/>
        <v>11798</v>
      </c>
    </row>
    <row r="65" spans="1:39" ht="15.75" thickBot="1" x14ac:dyDescent="0.3">
      <c r="A65" s="26" t="s">
        <v>21</v>
      </c>
      <c r="B65" s="696"/>
      <c r="C65" s="37">
        <f>AVERAGE(C55)</f>
        <v>589</v>
      </c>
      <c r="D65" s="37">
        <f t="shared" ref="D65:AM65" si="32">AVERAGE(D55)</f>
        <v>289</v>
      </c>
      <c r="E65" s="37">
        <f t="shared" si="32"/>
        <v>271</v>
      </c>
      <c r="F65" s="37">
        <f t="shared" si="32"/>
        <v>592</v>
      </c>
      <c r="G65" s="37">
        <f t="shared" si="32"/>
        <v>388</v>
      </c>
      <c r="H65" s="37">
        <f t="shared" si="32"/>
        <v>494</v>
      </c>
      <c r="I65" s="37">
        <f t="shared" si="32"/>
        <v>1066</v>
      </c>
      <c r="J65" s="37">
        <f t="shared" si="32"/>
        <v>717</v>
      </c>
      <c r="K65" s="37">
        <f t="shared" si="32"/>
        <v>240</v>
      </c>
      <c r="L65" s="37">
        <f t="shared" si="32"/>
        <v>812</v>
      </c>
      <c r="M65" s="37">
        <f t="shared" si="32"/>
        <v>417</v>
      </c>
      <c r="N65" s="37">
        <f t="shared" si="32"/>
        <v>78</v>
      </c>
      <c r="O65" s="37">
        <f t="shared" si="32"/>
        <v>360</v>
      </c>
      <c r="P65" s="37">
        <f t="shared" si="32"/>
        <v>119</v>
      </c>
      <c r="Q65" s="37">
        <f t="shared" si="32"/>
        <v>138</v>
      </c>
      <c r="R65" s="37">
        <f t="shared" si="32"/>
        <v>318</v>
      </c>
      <c r="S65" s="37">
        <f t="shared" si="32"/>
        <v>83</v>
      </c>
      <c r="T65" s="37">
        <f t="shared" si="32"/>
        <v>468</v>
      </c>
      <c r="U65" s="37">
        <f t="shared" si="32"/>
        <v>226</v>
      </c>
      <c r="V65" s="37">
        <f t="shared" si="32"/>
        <v>634</v>
      </c>
      <c r="W65" s="37">
        <f t="shared" si="32"/>
        <v>499</v>
      </c>
      <c r="X65" s="37">
        <f t="shared" si="32"/>
        <v>294</v>
      </c>
      <c r="Y65" s="37">
        <f t="shared" si="32"/>
        <v>521</v>
      </c>
      <c r="Z65" s="37">
        <f t="shared" si="32"/>
        <v>300</v>
      </c>
      <c r="AA65" s="37">
        <f t="shared" si="32"/>
        <v>506</v>
      </c>
      <c r="AB65" s="37">
        <f t="shared" si="32"/>
        <v>317</v>
      </c>
      <c r="AC65" s="37">
        <f t="shared" si="32"/>
        <v>409</v>
      </c>
      <c r="AD65" s="37">
        <f t="shared" si="32"/>
        <v>489</v>
      </c>
      <c r="AE65" s="37">
        <f t="shared" si="32"/>
        <v>164</v>
      </c>
      <c r="AF65" s="37" t="e">
        <f t="shared" si="32"/>
        <v>#DIV/0!</v>
      </c>
      <c r="AG65" s="37" t="e">
        <f t="shared" si="32"/>
        <v>#DIV/0!</v>
      </c>
      <c r="AH65" s="37" t="e">
        <f t="shared" si="32"/>
        <v>#DIV/0!</v>
      </c>
      <c r="AI65" s="37" t="e">
        <f t="shared" si="32"/>
        <v>#DIV/0!</v>
      </c>
      <c r="AJ65" s="37" t="e">
        <f t="shared" si="32"/>
        <v>#DIV/0!</v>
      </c>
      <c r="AK65" s="37" t="e">
        <f t="shared" si="32"/>
        <v>#DIV/0!</v>
      </c>
      <c r="AL65" s="37" t="e">
        <f t="shared" si="32"/>
        <v>#DIV/0!</v>
      </c>
      <c r="AM65" s="37">
        <f t="shared" si="32"/>
        <v>11798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44.25" customHeight="1" x14ac:dyDescent="0.25">
      <c r="A67" s="4"/>
      <c r="B67" s="170"/>
      <c r="C67" s="36" t="s">
        <v>10</v>
      </c>
      <c r="D67" s="36" t="s">
        <v>14</v>
      </c>
      <c r="E67" s="36" t="s">
        <v>59</v>
      </c>
      <c r="F67" s="36" t="s">
        <v>61</v>
      </c>
      <c r="G67" s="36" t="s">
        <v>12</v>
      </c>
      <c r="H67" s="36" t="s">
        <v>95</v>
      </c>
      <c r="I67" s="36" t="s">
        <v>60</v>
      </c>
      <c r="J67" s="36" t="s">
        <v>11</v>
      </c>
      <c r="K67" s="36" t="s">
        <v>104</v>
      </c>
      <c r="L67" s="36" t="s">
        <v>67</v>
      </c>
      <c r="M67" s="198" t="s">
        <v>112</v>
      </c>
      <c r="N67" s="198" t="s">
        <v>73</v>
      </c>
      <c r="O67" s="198" t="s">
        <v>72</v>
      </c>
      <c r="P67" s="36" t="s">
        <v>102</v>
      </c>
      <c r="Q67" s="36" t="s">
        <v>75</v>
      </c>
      <c r="R67" s="36" t="s">
        <v>74</v>
      </c>
      <c r="S67" s="36" t="s">
        <v>81</v>
      </c>
      <c r="T67" s="36" t="s">
        <v>82</v>
      </c>
      <c r="U67" s="36" t="s">
        <v>80</v>
      </c>
      <c r="V67" s="36" t="s">
        <v>79</v>
      </c>
      <c r="W67" s="36" t="s">
        <v>30</v>
      </c>
      <c r="X67" s="142"/>
      <c r="Y67" s="142"/>
      <c r="Z67" s="142"/>
      <c r="AA67"/>
      <c r="AC67" s="253"/>
      <c r="AD67" s="215"/>
      <c r="AE67" s="142"/>
      <c r="AF67" s="142"/>
      <c r="AG67" s="1"/>
      <c r="AJ67" s="215"/>
      <c r="AL67"/>
    </row>
    <row r="68" spans="1:39" ht="25.5" x14ac:dyDescent="0.25">
      <c r="B68" s="38" t="s">
        <v>113</v>
      </c>
      <c r="C68" s="171">
        <f>SUM(C7,C18,J7,J18,M7,M18,T7,T18,AA7,AA18,AF7,AF18,AK7,AK18,C29,J29,M29,T29,AA29,AF29,AK29,C40,J40,M40,T40,AA40,AF40,AK40,C51,J51,M51,T51,AA51,AF51,AK51,,C62,J62,M62,T62,AA62,AF62,AK62,)</f>
        <v>125300</v>
      </c>
      <c r="D68" s="171">
        <f>SUM(I7,I18,V7,V18,AB7,AB18,AI7,AI18,I29,V29,AB29,AI29,,I40,V40,AB40,AI40,I51,V51,AB51,AI51,I62,V62,AB62,AI62)</f>
        <v>66762</v>
      </c>
      <c r="E68" s="171">
        <f>SUM(D7,D18,D29,D40,D51,N18,N29,N40,N51,N7,D62,N62)</f>
        <v>35054</v>
      </c>
      <c r="F68" s="171">
        <f>SUM(W7,W18,W29,W40,W51,AJ7,AJ18,AJ29,AJ40,AJ51,W62,AJ62)</f>
        <v>17985</v>
      </c>
      <c r="G68" s="171">
        <f>SUM(G7,G18,G29,G40,G51,G62)</f>
        <v>13247</v>
      </c>
      <c r="H68" s="171">
        <f>SUM(H7,H18,H29,H40,H51,H62)</f>
        <v>17887</v>
      </c>
      <c r="I68" s="171">
        <f>SUM(E7,E18,E29,E40,E51,E62)</f>
        <v>11516</v>
      </c>
      <c r="J68" s="171">
        <f>SUM(F7,F18,F29,F40,F51,F62)</f>
        <v>23027</v>
      </c>
      <c r="K68" s="171">
        <f>SUM(K7,K18,K29,K40,K51,Q7,Q18,Q29,Q40,Q51,K62,Q62)</f>
        <v>15452</v>
      </c>
      <c r="L68" s="171">
        <f>SUM(L7,L18,L29,L40,L51,L62)</f>
        <v>44295</v>
      </c>
      <c r="M68" s="199">
        <f>SUM(O7,O18,O29,O40,O51,O62)</f>
        <v>9424</v>
      </c>
      <c r="N68" s="199">
        <f>SUM(P7,P18,P29,P40,P51,P62)</f>
        <v>4994</v>
      </c>
      <c r="O68" s="171">
        <f>SUM(R7,R18,R29,R40,R51,R62)</f>
        <v>11799</v>
      </c>
      <c r="P68" s="171">
        <f>SUM(U7,U18,U29,U40,U51,U62)</f>
        <v>6073</v>
      </c>
      <c r="Q68" s="171">
        <f>SUM(X7,X18,X29,X40,X51,X62)</f>
        <v>10920</v>
      </c>
      <c r="R68" s="171">
        <f>SUM(Y7,Y18,Y29,Y40,Y51,Y62)</f>
        <v>18556</v>
      </c>
      <c r="S68" s="171">
        <f>SUM(AC7,AC18,AC29,AC40,AC51,AC62,Z7,Z18,Z29,Z40,Z51,Z62)</f>
        <v>22788</v>
      </c>
      <c r="T68" s="171">
        <f>SUM(AD7,AD18,AD29,AD40,AD51,AD62)</f>
        <v>18379</v>
      </c>
      <c r="U68" s="171">
        <f>SUM(AG7,AG18,AG29,AG40,AG51,AG62,S7,S18,S29,S40,S51,S62)</f>
        <v>4256</v>
      </c>
      <c r="V68" s="171">
        <f>SUM(AH7,AH18,AH29,AH40,AH51,AH62,AE7,AE18,AE29,AE40,AE51,AE62)</f>
        <v>5735</v>
      </c>
      <c r="W68" s="171">
        <f>SUM(AL7,AL18,AL29,AL40,AL51,AL62)</f>
        <v>4388</v>
      </c>
      <c r="X68" s="175"/>
      <c r="Y68" s="175"/>
      <c r="Z68" s="175"/>
      <c r="AA68"/>
      <c r="AC68" s="253"/>
      <c r="AD68" s="215"/>
      <c r="AE68" s="175"/>
      <c r="AF68" s="175"/>
      <c r="AG68" s="1"/>
      <c r="AJ68" s="215"/>
      <c r="AL68"/>
    </row>
    <row r="69" spans="1:39" ht="25.5" x14ac:dyDescent="0.25">
      <c r="B69" s="38" t="s">
        <v>29</v>
      </c>
      <c r="C69" s="171">
        <f>SUM(C20,J20,M20,T20,,AA20,AF20,AK20,C31,J31,M31,T31,AA31,AF31,AK31,C42,J42,M42,T42,AA42,AF42,AK42,C53,J53,M53,T53,AA53,AF53,AK53)</f>
        <v>61567</v>
      </c>
      <c r="D69" s="171">
        <f>SUM(I20,V20,AB20,AI20,I31,V31,,AB31,AI31,I42,V42,AB42,AI42,,I53,V53,AB53,AI53)</f>
        <v>40454</v>
      </c>
      <c r="E69" s="171">
        <f>SUM(D20,D31,D42,D53,N20,N31,N42,N53,)</f>
        <v>17266</v>
      </c>
      <c r="F69" s="171">
        <f>SUM(W20,W31,W42,W53,AJ20,AJ31,AJ42,AJ53)</f>
        <v>9971</v>
      </c>
      <c r="G69" s="171">
        <f>SUM(G20,G31,G42,G53)</f>
        <v>7767</v>
      </c>
      <c r="H69" s="171">
        <f>SUM(H20,H31,H42,H53,)</f>
        <v>9420</v>
      </c>
      <c r="I69" s="171">
        <f>SUM(E20,E31,E42,E53)</f>
        <v>6395</v>
      </c>
      <c r="J69" s="171">
        <f>SUM(F20,F31,F42,F53,)</f>
        <v>12486</v>
      </c>
      <c r="K69" s="171">
        <f>SUM(K20,K31,K42,K53,Q20,Q31,Q42,Q53)</f>
        <v>8148</v>
      </c>
      <c r="L69" s="171">
        <f>SUM(L20,L31,L42,L53)</f>
        <v>22016</v>
      </c>
      <c r="M69" s="171">
        <f>SUM(O20,O31,O42,O53)</f>
        <v>4730</v>
      </c>
      <c r="N69" s="171">
        <f>SUM(P20,P31,P42,P53)</f>
        <v>2218</v>
      </c>
      <c r="O69" s="171">
        <f>SUM(R20,R31,R42,R53)</f>
        <v>5713</v>
      </c>
      <c r="P69" s="171">
        <f>SUM(U20,U31,U42,U53)</f>
        <v>3907</v>
      </c>
      <c r="Q69" s="171">
        <f>SUM(X20,X31,X42,X53)</f>
        <v>5562</v>
      </c>
      <c r="R69" s="171">
        <f>SUM(Y20,Y31,Y42,Y53)</f>
        <v>9765</v>
      </c>
      <c r="S69" s="171">
        <f>SUM(AC20,AC31,AC42,AC53,AC64,Z20,Z31,Z42,Z53,Z64)</f>
        <v>11841</v>
      </c>
      <c r="T69" s="171">
        <f>SUM(AD20,AD31,AD42,AD53,)</f>
        <v>11128</v>
      </c>
      <c r="U69" s="171">
        <f>SUM(AG20,AG31,AG42,AG53,AG64,S20,S31,S42,S53,S64)</f>
        <v>2005</v>
      </c>
      <c r="V69" s="171">
        <f>SUM(AH20,AH31,AH42,AH53,AH64,AE20,AE31,AE42,AE53,AE64)</f>
        <v>3298</v>
      </c>
      <c r="W69" s="171">
        <f>SUM(AL20,AL31,AL42,AL53)</f>
        <v>0</v>
      </c>
      <c r="X69" s="197"/>
      <c r="Y69" s="197"/>
      <c r="Z69" s="197"/>
      <c r="AA69"/>
      <c r="AC69" s="253"/>
      <c r="AD69" s="215"/>
      <c r="AE69" s="197"/>
      <c r="AF69" s="197"/>
      <c r="AG69" s="1"/>
      <c r="AJ69" s="215"/>
      <c r="AL69"/>
    </row>
    <row r="70" spans="1:39" x14ac:dyDescent="0.25">
      <c r="B70" s="1"/>
      <c r="C70" s="1"/>
      <c r="E70" s="120"/>
    </row>
    <row r="71" spans="1:39" ht="15.75" thickBot="1" x14ac:dyDescent="0.3">
      <c r="B71" s="1"/>
      <c r="C71" s="1"/>
      <c r="E71" s="120"/>
      <c r="U71" s="214"/>
    </row>
    <row r="72" spans="1:39" x14ac:dyDescent="0.25">
      <c r="B72" s="1"/>
      <c r="C72" s="697" t="s">
        <v>69</v>
      </c>
      <c r="D72" s="698"/>
      <c r="E72" s="699"/>
      <c r="AG72" s="1"/>
      <c r="AH72" s="1"/>
    </row>
    <row r="73" spans="1:39" x14ac:dyDescent="0.25">
      <c r="C73" s="678" t="s">
        <v>18</v>
      </c>
      <c r="D73" s="679"/>
      <c r="E73" s="391">
        <f>SUM(AM7,AM18,AM29,AM40,AM51,AM62)</f>
        <v>487837</v>
      </c>
      <c r="Q73" s="215"/>
      <c r="R73" s="215"/>
      <c r="S73" s="215"/>
      <c r="T73" s="215"/>
      <c r="U73" s="215"/>
      <c r="V73" s="215"/>
    </row>
    <row r="74" spans="1:39" x14ac:dyDescent="0.25">
      <c r="C74" s="678" t="s">
        <v>29</v>
      </c>
      <c r="D74" s="679"/>
      <c r="E74" s="411">
        <f>SUM(,AM20, AM31, AM42, AM53, AM64)</f>
        <v>266499</v>
      </c>
      <c r="N74" s="214"/>
    </row>
    <row r="75" spans="1:39" x14ac:dyDescent="0.25">
      <c r="C75" s="678" t="s">
        <v>119</v>
      </c>
      <c r="D75" s="679"/>
      <c r="E75" s="391">
        <f>AVERAGE(,AM63, AM52, AM41, AM30, AM19)</f>
        <v>12295.071428571429</v>
      </c>
    </row>
    <row r="76" spans="1:39" ht="15.75" thickBot="1" x14ac:dyDescent="0.3">
      <c r="A76"/>
      <c r="B76"/>
      <c r="C76" s="680" t="s">
        <v>21</v>
      </c>
      <c r="D76" s="681"/>
      <c r="E76" s="306">
        <f>AVERAGE(AM21, AM32, AM43, AM54, AM65)</f>
        <v>12547.64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8"/>
  <sheetViews>
    <sheetView zoomScale="106" zoomScaleNormal="106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A56" sqref="A56:XFD59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1.28515625" style="1" bestFit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2"/>
      <c r="C1" s="718" t="s">
        <v>10</v>
      </c>
      <c r="D1" s="719"/>
      <c r="E1" s="719"/>
      <c r="F1" s="719"/>
      <c r="G1" s="719"/>
      <c r="H1" s="718" t="s">
        <v>121</v>
      </c>
      <c r="I1" s="726"/>
      <c r="J1" s="730" t="s">
        <v>120</v>
      </c>
      <c r="K1" s="658" t="s">
        <v>76</v>
      </c>
      <c r="L1" s="663"/>
      <c r="M1" s="663"/>
      <c r="N1" s="671"/>
      <c r="O1" s="719" t="s">
        <v>8</v>
      </c>
      <c r="P1" s="719"/>
      <c r="Q1" s="719"/>
      <c r="R1" s="719"/>
      <c r="S1" s="719"/>
      <c r="T1" s="719"/>
      <c r="U1" s="719"/>
      <c r="V1" s="726"/>
      <c r="W1" s="732" t="s">
        <v>18</v>
      </c>
    </row>
    <row r="2" spans="1:23" ht="15" customHeight="1" thickBot="1" x14ac:dyDescent="0.3">
      <c r="A2" s="24"/>
      <c r="B2" s="153"/>
      <c r="C2" s="720"/>
      <c r="D2" s="721"/>
      <c r="E2" s="721"/>
      <c r="F2" s="721"/>
      <c r="G2" s="721"/>
      <c r="H2" s="720"/>
      <c r="I2" s="727"/>
      <c r="J2" s="731"/>
      <c r="K2" s="722"/>
      <c r="L2" s="708"/>
      <c r="M2" s="708"/>
      <c r="N2" s="709"/>
      <c r="O2" s="737"/>
      <c r="P2" s="737"/>
      <c r="Q2" s="737"/>
      <c r="R2" s="737"/>
      <c r="S2" s="737"/>
      <c r="T2" s="737"/>
      <c r="U2" s="737"/>
      <c r="V2" s="738"/>
      <c r="W2" s="733"/>
    </row>
    <row r="3" spans="1:23" ht="15" customHeight="1" x14ac:dyDescent="0.25">
      <c r="A3" s="646" t="s">
        <v>50</v>
      </c>
      <c r="B3" s="685" t="s">
        <v>51</v>
      </c>
      <c r="C3" s="652" t="s">
        <v>15</v>
      </c>
      <c r="D3" s="653" t="s">
        <v>17</v>
      </c>
      <c r="E3" s="653" t="s">
        <v>16</v>
      </c>
      <c r="F3" s="653" t="s">
        <v>38</v>
      </c>
      <c r="G3" s="654" t="s">
        <v>39</v>
      </c>
      <c r="H3" s="723" t="s">
        <v>122</v>
      </c>
      <c r="I3" s="728" t="s">
        <v>123</v>
      </c>
      <c r="J3" s="682" t="s">
        <v>30</v>
      </c>
      <c r="K3" s="652" t="s">
        <v>15</v>
      </c>
      <c r="L3" s="653" t="s">
        <v>16</v>
      </c>
      <c r="M3" s="653" t="s">
        <v>77</v>
      </c>
      <c r="N3" s="654" t="s">
        <v>37</v>
      </c>
      <c r="O3" s="646" t="s">
        <v>33</v>
      </c>
      <c r="P3" s="735" t="s">
        <v>34</v>
      </c>
      <c r="Q3" s="647" t="s">
        <v>35</v>
      </c>
      <c r="R3" s="735" t="s">
        <v>36</v>
      </c>
      <c r="S3" s="648" t="s">
        <v>86</v>
      </c>
      <c r="T3" s="739" t="s">
        <v>15</v>
      </c>
      <c r="U3" s="741" t="s">
        <v>16</v>
      </c>
      <c r="V3" s="728" t="s">
        <v>77</v>
      </c>
      <c r="W3" s="733"/>
    </row>
    <row r="4" spans="1:23" ht="25.5" customHeight="1" thickBot="1" x14ac:dyDescent="0.3">
      <c r="A4" s="710"/>
      <c r="B4" s="686"/>
      <c r="C4" s="725"/>
      <c r="D4" s="717"/>
      <c r="E4" s="717"/>
      <c r="F4" s="717"/>
      <c r="G4" s="716"/>
      <c r="H4" s="724"/>
      <c r="I4" s="729"/>
      <c r="J4" s="684"/>
      <c r="K4" s="725"/>
      <c r="L4" s="717"/>
      <c r="M4" s="717"/>
      <c r="N4" s="716"/>
      <c r="O4" s="710"/>
      <c r="P4" s="736"/>
      <c r="Q4" s="711"/>
      <c r="R4" s="736"/>
      <c r="S4" s="712"/>
      <c r="T4" s="740"/>
      <c r="U4" s="742"/>
      <c r="V4" s="729"/>
      <c r="W4" s="734"/>
    </row>
    <row r="5" spans="1:23" s="364" customFormat="1" ht="16.5" x14ac:dyDescent="0.3">
      <c r="A5" s="136" t="s">
        <v>1</v>
      </c>
      <c r="B5" s="469">
        <v>44044</v>
      </c>
      <c r="C5" s="212"/>
      <c r="D5" s="194"/>
      <c r="E5" s="194"/>
      <c r="F5" s="194"/>
      <c r="G5" s="206"/>
      <c r="H5" s="212"/>
      <c r="I5" s="474">
        <v>4135</v>
      </c>
      <c r="J5" s="475">
        <v>742</v>
      </c>
      <c r="K5" s="212"/>
      <c r="L5" s="194"/>
      <c r="M5" s="194"/>
      <c r="N5" s="245"/>
      <c r="O5" s="471"/>
      <c r="P5" s="472"/>
      <c r="Q5" s="472"/>
      <c r="R5" s="472"/>
      <c r="S5" s="473"/>
      <c r="T5" s="471"/>
      <c r="U5" s="472"/>
      <c r="V5" s="473"/>
      <c r="W5" s="317">
        <f>SUM(C5:V5)</f>
        <v>4877</v>
      </c>
    </row>
    <row r="6" spans="1:23" s="364" customFormat="1" ht="17.25" thickBot="1" x14ac:dyDescent="0.35">
      <c r="A6" s="136" t="s">
        <v>2</v>
      </c>
      <c r="B6" s="470">
        <v>44045</v>
      </c>
      <c r="C6" s="484"/>
      <c r="D6" s="485"/>
      <c r="E6" s="485"/>
      <c r="F6" s="485"/>
      <c r="G6" s="487"/>
      <c r="H6" s="484"/>
      <c r="I6" s="506">
        <v>2444</v>
      </c>
      <c r="J6" s="507">
        <v>888</v>
      </c>
      <c r="K6" s="484"/>
      <c r="L6" s="485"/>
      <c r="M6" s="485"/>
      <c r="N6" s="491"/>
      <c r="O6" s="484"/>
      <c r="P6" s="485"/>
      <c r="Q6" s="485"/>
      <c r="R6" s="485"/>
      <c r="S6" s="487"/>
      <c r="T6" s="484"/>
      <c r="U6" s="485"/>
      <c r="V6" s="487"/>
      <c r="W6" s="486">
        <f>SUM(C6:V6)</f>
        <v>3332</v>
      </c>
    </row>
    <row r="7" spans="1:23" customFormat="1" ht="15.75" thickBot="1" x14ac:dyDescent="0.3">
      <c r="A7" s="144" t="s">
        <v>20</v>
      </c>
      <c r="B7" s="701" t="s">
        <v>118</v>
      </c>
      <c r="C7" s="450">
        <f t="shared" ref="C7:G7" si="0">SUM(C5)</f>
        <v>0</v>
      </c>
      <c r="D7" s="451">
        <f t="shared" si="0"/>
        <v>0</v>
      </c>
      <c r="E7" s="451">
        <f t="shared" si="0"/>
        <v>0</v>
      </c>
      <c r="F7" s="451">
        <f t="shared" si="0"/>
        <v>0</v>
      </c>
      <c r="G7" s="451">
        <f t="shared" si="0"/>
        <v>0</v>
      </c>
      <c r="H7" s="451">
        <f>SUM(H5:H6)</f>
        <v>0</v>
      </c>
      <c r="I7" s="451">
        <f>SUM(I5:I6)</f>
        <v>6579</v>
      </c>
      <c r="J7" s="451">
        <f>SUM(J5:J6)</f>
        <v>1630</v>
      </c>
      <c r="K7" s="451">
        <f t="shared" ref="K7:V7" si="1">SUM(K5:K6)</f>
        <v>0</v>
      </c>
      <c r="L7" s="451">
        <f t="shared" si="1"/>
        <v>0</v>
      </c>
      <c r="M7" s="451">
        <f t="shared" si="1"/>
        <v>0</v>
      </c>
      <c r="N7" s="451">
        <f t="shared" si="1"/>
        <v>0</v>
      </c>
      <c r="O7" s="451">
        <f t="shared" si="1"/>
        <v>0</v>
      </c>
      <c r="P7" s="451">
        <f t="shared" si="1"/>
        <v>0</v>
      </c>
      <c r="Q7" s="451">
        <f t="shared" si="1"/>
        <v>0</v>
      </c>
      <c r="R7" s="451">
        <f t="shared" si="1"/>
        <v>0</v>
      </c>
      <c r="S7" s="451">
        <f t="shared" si="1"/>
        <v>0</v>
      </c>
      <c r="T7" s="451">
        <f t="shared" si="1"/>
        <v>0</v>
      </c>
      <c r="U7" s="451">
        <f t="shared" si="1"/>
        <v>0</v>
      </c>
      <c r="V7" s="451">
        <f t="shared" si="1"/>
        <v>0</v>
      </c>
      <c r="W7" s="451">
        <f>SUM(W5:W6)</f>
        <v>8209</v>
      </c>
    </row>
    <row r="8" spans="1:23" customFormat="1" ht="15.75" thickBot="1" x14ac:dyDescent="0.3">
      <c r="A8" s="101" t="s">
        <v>22</v>
      </c>
      <c r="B8" s="695"/>
      <c r="C8" s="209" t="e">
        <f t="shared" ref="C8:G8" si="2">AVERAGE(C5)</f>
        <v>#DIV/0!</v>
      </c>
      <c r="D8" s="209" t="e">
        <f t="shared" si="2"/>
        <v>#DIV/0!</v>
      </c>
      <c r="E8" s="209" t="e">
        <f t="shared" si="2"/>
        <v>#DIV/0!</v>
      </c>
      <c r="F8" s="209" t="e">
        <f t="shared" si="2"/>
        <v>#DIV/0!</v>
      </c>
      <c r="G8" s="209" t="e">
        <f t="shared" si="2"/>
        <v>#DIV/0!</v>
      </c>
      <c r="H8" s="209" t="e">
        <f>AVERAGE(H5:H6)</f>
        <v>#DIV/0!</v>
      </c>
      <c r="I8" s="209">
        <f>AVERAGE(I5:I6)</f>
        <v>3289.5</v>
      </c>
      <c r="J8" s="209">
        <f>AVERAGE(J5:J6)</f>
        <v>815</v>
      </c>
      <c r="K8" s="209" t="e">
        <f t="shared" ref="K8:V8" si="3">AVERAGE(K5:K6)</f>
        <v>#DIV/0!</v>
      </c>
      <c r="L8" s="209" t="e">
        <f t="shared" si="3"/>
        <v>#DIV/0!</v>
      </c>
      <c r="M8" s="209" t="e">
        <f t="shared" si="3"/>
        <v>#DIV/0!</v>
      </c>
      <c r="N8" s="209" t="e">
        <f t="shared" si="3"/>
        <v>#DIV/0!</v>
      </c>
      <c r="O8" s="209" t="e">
        <f t="shared" si="3"/>
        <v>#DIV/0!</v>
      </c>
      <c r="P8" s="209" t="e">
        <f t="shared" si="3"/>
        <v>#DIV/0!</v>
      </c>
      <c r="Q8" s="209" t="e">
        <f t="shared" si="3"/>
        <v>#DIV/0!</v>
      </c>
      <c r="R8" s="209" t="e">
        <f t="shared" si="3"/>
        <v>#DIV/0!</v>
      </c>
      <c r="S8" s="209" t="e">
        <f t="shared" si="3"/>
        <v>#DIV/0!</v>
      </c>
      <c r="T8" s="209" t="e">
        <f t="shared" si="3"/>
        <v>#DIV/0!</v>
      </c>
      <c r="U8" s="209" t="e">
        <f t="shared" si="3"/>
        <v>#DIV/0!</v>
      </c>
      <c r="V8" s="209" t="e">
        <f t="shared" si="3"/>
        <v>#DIV/0!</v>
      </c>
      <c r="W8" s="209">
        <f>AVERAGE(W5:W6)</f>
        <v>4104.5</v>
      </c>
    </row>
    <row r="9" spans="1:23" customFormat="1" ht="15.75" thickBot="1" x14ac:dyDescent="0.3">
      <c r="A9" s="26" t="s">
        <v>19</v>
      </c>
      <c r="B9" s="695"/>
      <c r="C9" s="210" t="e">
        <f>SUM(#REF!)</f>
        <v>#REF!</v>
      </c>
      <c r="D9" s="202" t="e">
        <f>SUM(#REF!)</f>
        <v>#REF!</v>
      </c>
      <c r="E9" s="202" t="e">
        <f>SUM(#REF!)</f>
        <v>#REF!</v>
      </c>
      <c r="F9" s="202" t="e">
        <f>SUM(#REF!)</f>
        <v>#REF!</v>
      </c>
      <c r="G9" s="202" t="e">
        <f>SUM(#REF!)</f>
        <v>#REF!</v>
      </c>
      <c r="H9" s="202" t="e">
        <f>SUM(#REF!)</f>
        <v>#REF!</v>
      </c>
      <c r="I9" s="421" t="e">
        <f>SUM(#REF!)</f>
        <v>#REF!</v>
      </c>
      <c r="J9" s="423" t="e">
        <f>SUM(#REF!)</f>
        <v>#REF!</v>
      </c>
      <c r="K9" s="210" t="e">
        <f>SUM(#REF!)</f>
        <v>#REF!</v>
      </c>
      <c r="L9" s="202" t="e">
        <f>SUM(#REF!)</f>
        <v>#REF!</v>
      </c>
      <c r="M9" s="202" t="e">
        <f>SUM(#REF!)</f>
        <v>#REF!</v>
      </c>
      <c r="N9" s="421" t="e">
        <f>SUM(#REF!)</f>
        <v>#REF!</v>
      </c>
      <c r="O9" s="418" t="e">
        <f>SUM(#REF!)</f>
        <v>#REF!</v>
      </c>
      <c r="P9" s="202" t="e">
        <f>SUM(#REF!)</f>
        <v>#REF!</v>
      </c>
      <c r="Q9" s="202" t="e">
        <f>SUM(#REF!)</f>
        <v>#REF!</v>
      </c>
      <c r="R9" s="421" t="e">
        <f>SUM(#REF!)</f>
        <v>#REF!</v>
      </c>
      <c r="S9" s="418" t="e">
        <f>SUM(#REF!)</f>
        <v>#REF!</v>
      </c>
      <c r="T9" s="202" t="e">
        <f>SUM(#REF!)</f>
        <v>#REF!</v>
      </c>
      <c r="U9" s="202" t="e">
        <f>SUM(#REF!)</f>
        <v>#REF!</v>
      </c>
      <c r="V9" s="415" t="e">
        <f>SUM(#REF!)</f>
        <v>#REF!</v>
      </c>
      <c r="W9" s="425" t="e">
        <f>SUM(#REF!)</f>
        <v>#REF!</v>
      </c>
    </row>
    <row r="10" spans="1:23" customFormat="1" ht="15.75" thickBot="1" x14ac:dyDescent="0.3">
      <c r="A10" s="26" t="s">
        <v>21</v>
      </c>
      <c r="B10" s="695"/>
      <c r="C10" s="37" t="e">
        <f>AVERAGE(#REF!)</f>
        <v>#REF!</v>
      </c>
      <c r="D10" s="196" t="e">
        <f>AVERAGE(#REF!)</f>
        <v>#REF!</v>
      </c>
      <c r="E10" s="196" t="e">
        <f>AVERAGE(#REF!)</f>
        <v>#REF!</v>
      </c>
      <c r="F10" s="196" t="e">
        <f>AVERAGE(#REF!)</f>
        <v>#REF!</v>
      </c>
      <c r="G10" s="196" t="e">
        <f>AVERAGE(#REF!)</f>
        <v>#REF!</v>
      </c>
      <c r="H10" s="196" t="e">
        <f>AVERAGE(#REF!)</f>
        <v>#REF!</v>
      </c>
      <c r="I10" s="422" t="e">
        <f>AVERAGE(#REF!)</f>
        <v>#REF!</v>
      </c>
      <c r="J10" s="460" t="e">
        <f>AVERAGE(#REF!)</f>
        <v>#REF!</v>
      </c>
      <c r="K10" s="37" t="e">
        <f>AVERAGE(#REF!)</f>
        <v>#REF!</v>
      </c>
      <c r="L10" s="196" t="e">
        <f>AVERAGE(#REF!)</f>
        <v>#REF!</v>
      </c>
      <c r="M10" s="196" t="e">
        <f>AVERAGE(#REF!)</f>
        <v>#REF!</v>
      </c>
      <c r="N10" s="422" t="e">
        <f>AVERAGE(#REF!)</f>
        <v>#REF!</v>
      </c>
      <c r="O10" s="146" t="e">
        <f>AVERAGE(#REF!)</f>
        <v>#REF!</v>
      </c>
      <c r="P10" s="196" t="e">
        <f>AVERAGE(#REF!)</f>
        <v>#REF!</v>
      </c>
      <c r="Q10" s="196" t="e">
        <f>AVERAGE(#REF!)</f>
        <v>#REF!</v>
      </c>
      <c r="R10" s="422" t="e">
        <f>AVERAGE(#REF!)</f>
        <v>#REF!</v>
      </c>
      <c r="S10" s="146" t="e">
        <f>AVERAGE(#REF!)</f>
        <v>#REF!</v>
      </c>
      <c r="T10" s="196" t="e">
        <f>AVERAGE(#REF!)</f>
        <v>#REF!</v>
      </c>
      <c r="U10" s="196" t="e">
        <f>AVERAGE(#REF!)</f>
        <v>#REF!</v>
      </c>
      <c r="V10" s="416" t="e">
        <f>AVERAGE(#REF!)</f>
        <v>#REF!</v>
      </c>
      <c r="W10" s="426" t="e">
        <f>AVERAGE(#REF!)</f>
        <v>#REF!</v>
      </c>
    </row>
    <row r="11" spans="1:23" ht="15.75" customHeight="1" x14ac:dyDescent="0.25">
      <c r="A11" s="25" t="s">
        <v>3</v>
      </c>
      <c r="B11" s="221">
        <v>44046</v>
      </c>
      <c r="C11" s="212">
        <v>102</v>
      </c>
      <c r="D11" s="194">
        <v>40</v>
      </c>
      <c r="E11" s="194"/>
      <c r="F11" s="14"/>
      <c r="G11" s="13">
        <v>139</v>
      </c>
      <c r="H11" s="317"/>
      <c r="I11" s="206">
        <v>1918</v>
      </c>
      <c r="J11" s="494"/>
      <c r="K11" s="212">
        <v>441</v>
      </c>
      <c r="L11" s="194">
        <v>321</v>
      </c>
      <c r="M11" s="194"/>
      <c r="N11" s="13"/>
      <c r="O11" s="127">
        <v>868</v>
      </c>
      <c r="P11" s="14">
        <v>167</v>
      </c>
      <c r="Q11" s="14"/>
      <c r="R11" s="14">
        <v>385</v>
      </c>
      <c r="S11" s="13"/>
      <c r="T11" s="212"/>
      <c r="U11" s="194"/>
      <c r="V11" s="245"/>
      <c r="W11" s="16">
        <f t="shared" ref="W11:W17" si="4">SUM(C11:V11)</f>
        <v>4381</v>
      </c>
    </row>
    <row r="12" spans="1:23" s="3" customFormat="1" ht="15" customHeight="1" outlineLevel="1" x14ac:dyDescent="0.25">
      <c r="A12" s="25" t="s">
        <v>4</v>
      </c>
      <c r="B12" s="222">
        <v>44047</v>
      </c>
      <c r="C12" s="208">
        <v>21</v>
      </c>
      <c r="D12" s="195">
        <v>6</v>
      </c>
      <c r="E12" s="195"/>
      <c r="F12" s="20"/>
      <c r="G12" s="19">
        <v>15</v>
      </c>
      <c r="H12" s="217"/>
      <c r="I12" s="204">
        <v>75</v>
      </c>
      <c r="J12" s="193"/>
      <c r="K12" s="208">
        <v>74</v>
      </c>
      <c r="L12" s="195">
        <v>39</v>
      </c>
      <c r="M12" s="195"/>
      <c r="N12" s="19"/>
      <c r="O12" s="128">
        <v>181</v>
      </c>
      <c r="P12" s="20">
        <v>23</v>
      </c>
      <c r="Q12" s="20"/>
      <c r="R12" s="20">
        <v>52</v>
      </c>
      <c r="S12" s="19"/>
      <c r="T12" s="208"/>
      <c r="U12" s="195"/>
      <c r="V12" s="203"/>
      <c r="W12" s="254">
        <f t="shared" si="4"/>
        <v>486</v>
      </c>
    </row>
    <row r="13" spans="1:23" s="3" customFormat="1" ht="15" customHeight="1" outlineLevel="1" x14ac:dyDescent="0.25">
      <c r="A13" s="25" t="s">
        <v>5</v>
      </c>
      <c r="B13" s="222">
        <v>44048</v>
      </c>
      <c r="C13" s="208">
        <v>102</v>
      </c>
      <c r="D13" s="195">
        <v>45</v>
      </c>
      <c r="E13" s="195"/>
      <c r="F13" s="241"/>
      <c r="G13" s="242">
        <v>124</v>
      </c>
      <c r="H13" s="217"/>
      <c r="I13" s="204">
        <v>1446</v>
      </c>
      <c r="J13" s="193"/>
      <c r="K13" s="208">
        <v>461</v>
      </c>
      <c r="L13" s="195">
        <v>304</v>
      </c>
      <c r="M13" s="195"/>
      <c r="N13" s="242"/>
      <c r="O13" s="189">
        <v>997</v>
      </c>
      <c r="P13" s="241">
        <v>163</v>
      </c>
      <c r="Q13" s="241"/>
      <c r="R13" s="241">
        <v>346</v>
      </c>
      <c r="S13" s="242"/>
      <c r="T13" s="208"/>
      <c r="U13" s="195"/>
      <c r="V13" s="203"/>
      <c r="W13" s="254">
        <f t="shared" si="4"/>
        <v>3988</v>
      </c>
    </row>
    <row r="14" spans="1:23" s="3" customFormat="1" ht="15" customHeight="1" x14ac:dyDescent="0.25">
      <c r="A14" s="25" t="s">
        <v>6</v>
      </c>
      <c r="B14" s="223">
        <v>44049</v>
      </c>
      <c r="C14" s="208">
        <v>128</v>
      </c>
      <c r="D14" s="195">
        <v>48</v>
      </c>
      <c r="E14" s="195"/>
      <c r="F14" s="20"/>
      <c r="G14" s="19">
        <v>135</v>
      </c>
      <c r="H14" s="217"/>
      <c r="I14" s="204">
        <v>2390</v>
      </c>
      <c r="J14" s="193"/>
      <c r="K14" s="208">
        <v>485</v>
      </c>
      <c r="L14" s="170">
        <v>283</v>
      </c>
      <c r="M14" s="195"/>
      <c r="N14" s="19"/>
      <c r="O14" s="128">
        <v>932</v>
      </c>
      <c r="P14" s="20">
        <v>138</v>
      </c>
      <c r="Q14" s="20"/>
      <c r="R14" s="20">
        <v>408</v>
      </c>
      <c r="S14" s="19"/>
      <c r="T14" s="208"/>
      <c r="U14" s="195"/>
      <c r="V14" s="203"/>
      <c r="W14" s="254">
        <f t="shared" si="4"/>
        <v>4947</v>
      </c>
    </row>
    <row r="15" spans="1:23" s="3" customFormat="1" ht="15" customHeight="1" x14ac:dyDescent="0.25">
      <c r="A15" s="25" t="s">
        <v>0</v>
      </c>
      <c r="B15" s="223">
        <v>44050</v>
      </c>
      <c r="C15" s="208">
        <v>113</v>
      </c>
      <c r="D15" s="195">
        <v>34</v>
      </c>
      <c r="E15" s="195"/>
      <c r="F15" s="20"/>
      <c r="G15" s="19">
        <v>111</v>
      </c>
      <c r="H15" s="217"/>
      <c r="I15" s="204">
        <v>1761</v>
      </c>
      <c r="J15" s="193"/>
      <c r="K15" s="208">
        <v>377</v>
      </c>
      <c r="L15" s="195">
        <v>313</v>
      </c>
      <c r="M15" s="195"/>
      <c r="N15" s="19"/>
      <c r="O15" s="128">
        <v>779</v>
      </c>
      <c r="P15" s="20">
        <v>146</v>
      </c>
      <c r="Q15" s="20"/>
      <c r="R15" s="20">
        <v>299</v>
      </c>
      <c r="S15" s="19"/>
      <c r="T15" s="208"/>
      <c r="U15" s="195"/>
      <c r="V15" s="203"/>
      <c r="W15" s="254">
        <f t="shared" si="4"/>
        <v>3933</v>
      </c>
    </row>
    <row r="16" spans="1:23" s="2" customFormat="1" x14ac:dyDescent="0.25">
      <c r="A16" s="25" t="s">
        <v>1</v>
      </c>
      <c r="B16" s="220">
        <v>44051</v>
      </c>
      <c r="C16" s="208"/>
      <c r="D16" s="195"/>
      <c r="E16" s="195"/>
      <c r="F16" s="20"/>
      <c r="G16" s="19"/>
      <c r="H16" s="217"/>
      <c r="I16" s="204">
        <v>3594</v>
      </c>
      <c r="J16" s="193">
        <v>1607</v>
      </c>
      <c r="K16" s="208"/>
      <c r="L16" s="195"/>
      <c r="M16" s="195"/>
      <c r="N16" s="19"/>
      <c r="O16" s="128"/>
      <c r="P16" s="219"/>
      <c r="Q16" s="20"/>
      <c r="R16" s="20"/>
      <c r="S16" s="19"/>
      <c r="T16" s="208"/>
      <c r="U16" s="275"/>
      <c r="V16" s="203"/>
      <c r="W16" s="254">
        <f t="shared" si="4"/>
        <v>5201</v>
      </c>
    </row>
    <row r="17" spans="1:23" s="2" customFormat="1" ht="15.75" thickBot="1" x14ac:dyDescent="0.3">
      <c r="A17" s="25" t="s">
        <v>2</v>
      </c>
      <c r="B17" s="222">
        <v>44052</v>
      </c>
      <c r="C17" s="484"/>
      <c r="D17" s="485"/>
      <c r="E17" s="485"/>
      <c r="F17" s="477"/>
      <c r="G17" s="22"/>
      <c r="H17" s="486"/>
      <c r="I17" s="487">
        <v>4851</v>
      </c>
      <c r="J17" s="488">
        <v>2056</v>
      </c>
      <c r="K17" s="484"/>
      <c r="L17" s="485"/>
      <c r="M17" s="485"/>
      <c r="N17" s="22"/>
      <c r="O17" s="503"/>
      <c r="P17" s="504"/>
      <c r="Q17" s="504"/>
      <c r="R17" s="504"/>
      <c r="S17" s="505"/>
      <c r="T17" s="484"/>
      <c r="U17" s="485"/>
      <c r="V17" s="491"/>
      <c r="W17" s="489">
        <f t="shared" si="4"/>
        <v>6907</v>
      </c>
    </row>
    <row r="18" spans="1:23" s="2" customFormat="1" ht="15.75" outlineLevel="1" thickBot="1" x14ac:dyDescent="0.3">
      <c r="A18" s="144" t="s">
        <v>20</v>
      </c>
      <c r="B18" s="713" t="s">
        <v>23</v>
      </c>
      <c r="C18" s="450">
        <f t="shared" ref="C18:V18" si="5">SUM(C11:C17)</f>
        <v>466</v>
      </c>
      <c r="D18" s="451">
        <f t="shared" si="5"/>
        <v>173</v>
      </c>
      <c r="E18" s="451">
        <f t="shared" si="5"/>
        <v>0</v>
      </c>
      <c r="F18" s="451">
        <f t="shared" si="5"/>
        <v>0</v>
      </c>
      <c r="G18" s="452">
        <f t="shared" si="5"/>
        <v>524</v>
      </c>
      <c r="H18" s="145">
        <f t="shared" si="5"/>
        <v>0</v>
      </c>
      <c r="I18" s="452">
        <f t="shared" ref="I18:J18" si="6">SUM(I11:I17)</f>
        <v>16035</v>
      </c>
      <c r="J18" s="452">
        <f t="shared" si="6"/>
        <v>3663</v>
      </c>
      <c r="K18" s="450">
        <f t="shared" si="5"/>
        <v>1838</v>
      </c>
      <c r="L18" s="451">
        <f t="shared" si="5"/>
        <v>1260</v>
      </c>
      <c r="M18" s="451">
        <f t="shared" si="5"/>
        <v>0</v>
      </c>
      <c r="N18" s="452">
        <f t="shared" si="5"/>
        <v>0</v>
      </c>
      <c r="O18" s="145">
        <f t="shared" si="5"/>
        <v>3757</v>
      </c>
      <c r="P18" s="450">
        <f t="shared" si="5"/>
        <v>637</v>
      </c>
      <c r="Q18" s="450">
        <f t="shared" si="5"/>
        <v>0</v>
      </c>
      <c r="R18" s="450">
        <f t="shared" si="5"/>
        <v>1490</v>
      </c>
      <c r="S18" s="450">
        <f t="shared" si="5"/>
        <v>0</v>
      </c>
      <c r="T18" s="450">
        <f t="shared" si="5"/>
        <v>0</v>
      </c>
      <c r="U18" s="450">
        <f t="shared" si="5"/>
        <v>0</v>
      </c>
      <c r="V18" s="480">
        <f t="shared" si="5"/>
        <v>0</v>
      </c>
      <c r="W18" s="481">
        <f>SUM(W11:W17)</f>
        <v>29843</v>
      </c>
    </row>
    <row r="19" spans="1:23" s="2" customFormat="1" ht="15.75" outlineLevel="1" thickBot="1" x14ac:dyDescent="0.3">
      <c r="A19" s="101" t="s">
        <v>22</v>
      </c>
      <c r="B19" s="714"/>
      <c r="C19" s="209">
        <f t="shared" ref="C19:W19" si="7">AVERAGE(C11:C17)</f>
        <v>93.2</v>
      </c>
      <c r="D19" s="201">
        <f t="shared" si="7"/>
        <v>34.6</v>
      </c>
      <c r="E19" s="201" t="e">
        <f t="shared" si="7"/>
        <v>#DIV/0!</v>
      </c>
      <c r="F19" s="201" t="e">
        <f t="shared" si="7"/>
        <v>#DIV/0!</v>
      </c>
      <c r="G19" s="419">
        <f t="shared" si="7"/>
        <v>104.8</v>
      </c>
      <c r="H19" s="417" t="e">
        <f t="shared" si="7"/>
        <v>#DIV/0!</v>
      </c>
      <c r="I19" s="419">
        <f t="shared" ref="I19:J19" si="8">AVERAGE(I11:I17)</f>
        <v>2290.7142857142858</v>
      </c>
      <c r="J19" s="419">
        <f t="shared" si="8"/>
        <v>1831.5</v>
      </c>
      <c r="K19" s="209">
        <f t="shared" si="7"/>
        <v>367.6</v>
      </c>
      <c r="L19" s="201">
        <f t="shared" si="7"/>
        <v>252</v>
      </c>
      <c r="M19" s="201" t="e">
        <f t="shared" si="7"/>
        <v>#DIV/0!</v>
      </c>
      <c r="N19" s="419" t="e">
        <f t="shared" si="7"/>
        <v>#DIV/0!</v>
      </c>
      <c r="O19" s="417">
        <f t="shared" si="7"/>
        <v>751.4</v>
      </c>
      <c r="P19" s="209">
        <f t="shared" si="7"/>
        <v>127.4</v>
      </c>
      <c r="Q19" s="209" t="e">
        <f t="shared" si="7"/>
        <v>#DIV/0!</v>
      </c>
      <c r="R19" s="209">
        <f t="shared" si="7"/>
        <v>298</v>
      </c>
      <c r="S19" s="209" t="e">
        <f t="shared" si="7"/>
        <v>#DIV/0!</v>
      </c>
      <c r="T19" s="209" t="e">
        <f t="shared" si="7"/>
        <v>#DIV/0!</v>
      </c>
      <c r="U19" s="209" t="e">
        <f t="shared" si="7"/>
        <v>#DIV/0!</v>
      </c>
      <c r="V19" s="414" t="e">
        <f t="shared" si="7"/>
        <v>#DIV/0!</v>
      </c>
      <c r="W19" s="420">
        <f t="shared" si="7"/>
        <v>4263.2857142857147</v>
      </c>
    </row>
    <row r="20" spans="1:23" s="2" customFormat="1" ht="15.75" outlineLevel="1" thickBot="1" x14ac:dyDescent="0.3">
      <c r="A20" s="26" t="s">
        <v>19</v>
      </c>
      <c r="B20" s="714"/>
      <c r="C20" s="210">
        <f t="shared" ref="C20:V20" si="9">SUM(C11:C15)</f>
        <v>466</v>
      </c>
      <c r="D20" s="202">
        <f t="shared" si="9"/>
        <v>173</v>
      </c>
      <c r="E20" s="202">
        <f t="shared" si="9"/>
        <v>0</v>
      </c>
      <c r="F20" s="202">
        <f t="shared" si="9"/>
        <v>0</v>
      </c>
      <c r="G20" s="421">
        <f t="shared" si="9"/>
        <v>524</v>
      </c>
      <c r="H20" s="418">
        <f t="shared" si="9"/>
        <v>0</v>
      </c>
      <c r="I20" s="421">
        <f t="shared" ref="I20:J20" si="10">SUM(I11:I15)</f>
        <v>7590</v>
      </c>
      <c r="J20" s="421">
        <f t="shared" si="10"/>
        <v>0</v>
      </c>
      <c r="K20" s="210">
        <f t="shared" si="9"/>
        <v>1838</v>
      </c>
      <c r="L20" s="202">
        <f t="shared" si="9"/>
        <v>1260</v>
      </c>
      <c r="M20" s="202">
        <f t="shared" si="9"/>
        <v>0</v>
      </c>
      <c r="N20" s="421">
        <f t="shared" si="9"/>
        <v>0</v>
      </c>
      <c r="O20" s="418">
        <f t="shared" si="9"/>
        <v>3757</v>
      </c>
      <c r="P20" s="210">
        <f t="shared" si="9"/>
        <v>637</v>
      </c>
      <c r="Q20" s="210">
        <f t="shared" si="9"/>
        <v>0</v>
      </c>
      <c r="R20" s="210">
        <f t="shared" si="9"/>
        <v>1490</v>
      </c>
      <c r="S20" s="210">
        <f t="shared" si="9"/>
        <v>0</v>
      </c>
      <c r="T20" s="210">
        <f t="shared" si="9"/>
        <v>0</v>
      </c>
      <c r="U20" s="210">
        <f t="shared" si="9"/>
        <v>0</v>
      </c>
      <c r="V20" s="423">
        <f t="shared" si="9"/>
        <v>0</v>
      </c>
      <c r="W20" s="425">
        <f>SUM(W11:W15)</f>
        <v>17735</v>
      </c>
    </row>
    <row r="21" spans="1:23" s="2" customFormat="1" ht="15.75" outlineLevel="1" thickBot="1" x14ac:dyDescent="0.3">
      <c r="A21" s="26" t="s">
        <v>21</v>
      </c>
      <c r="B21" s="715"/>
      <c r="C21" s="37">
        <f>AVERAGE(C11:C15)</f>
        <v>93.2</v>
      </c>
      <c r="D21" s="196">
        <f t="shared" ref="D21:W21" si="11">AVERAGE(D11:D15)</f>
        <v>34.6</v>
      </c>
      <c r="E21" s="196" t="e">
        <f t="shared" si="11"/>
        <v>#DIV/0!</v>
      </c>
      <c r="F21" s="196" t="e">
        <f t="shared" si="11"/>
        <v>#DIV/0!</v>
      </c>
      <c r="G21" s="422">
        <f t="shared" si="11"/>
        <v>104.8</v>
      </c>
      <c r="H21" s="146" t="e">
        <f t="shared" si="11"/>
        <v>#DIV/0!</v>
      </c>
      <c r="I21" s="422">
        <f t="shared" ref="I21:J21" si="12">AVERAGE(I11:I15)</f>
        <v>1518</v>
      </c>
      <c r="J21" s="422" t="e">
        <f t="shared" si="12"/>
        <v>#DIV/0!</v>
      </c>
      <c r="K21" s="37">
        <f t="shared" si="11"/>
        <v>367.6</v>
      </c>
      <c r="L21" s="196">
        <f t="shared" si="11"/>
        <v>252</v>
      </c>
      <c r="M21" s="196" t="e">
        <f t="shared" si="11"/>
        <v>#DIV/0!</v>
      </c>
      <c r="N21" s="422" t="e">
        <f t="shared" si="11"/>
        <v>#DIV/0!</v>
      </c>
      <c r="O21" s="146">
        <f t="shared" si="11"/>
        <v>751.4</v>
      </c>
      <c r="P21" s="37">
        <f t="shared" si="11"/>
        <v>127.4</v>
      </c>
      <c r="Q21" s="37" t="e">
        <f t="shared" si="11"/>
        <v>#DIV/0!</v>
      </c>
      <c r="R21" s="37">
        <f t="shared" si="11"/>
        <v>298</v>
      </c>
      <c r="S21" s="37" t="e">
        <f t="shared" si="11"/>
        <v>#DIV/0!</v>
      </c>
      <c r="T21" s="37" t="e">
        <f t="shared" si="11"/>
        <v>#DIV/0!</v>
      </c>
      <c r="U21" s="37" t="e">
        <f t="shared" si="11"/>
        <v>#DIV/0!</v>
      </c>
      <c r="V21" s="460" t="e">
        <f t="shared" si="11"/>
        <v>#DIV/0!</v>
      </c>
      <c r="W21" s="426">
        <f t="shared" si="11"/>
        <v>3547</v>
      </c>
    </row>
    <row r="22" spans="1:23" s="2" customFormat="1" ht="15" customHeight="1" outlineLevel="1" x14ac:dyDescent="0.25">
      <c r="A22" s="25" t="s">
        <v>3</v>
      </c>
      <c r="B22" s="224">
        <f>B17+1</f>
        <v>44053</v>
      </c>
      <c r="C22" s="212">
        <v>98</v>
      </c>
      <c r="D22" s="194">
        <v>53</v>
      </c>
      <c r="E22" s="194"/>
      <c r="F22" s="492"/>
      <c r="G22" s="497">
        <v>126</v>
      </c>
      <c r="H22" s="317"/>
      <c r="I22" s="206">
        <v>2267</v>
      </c>
      <c r="J22" s="494"/>
      <c r="K22" s="212">
        <v>437</v>
      </c>
      <c r="L22" s="194">
        <v>260</v>
      </c>
      <c r="M22" s="194"/>
      <c r="N22" s="493"/>
      <c r="O22" s="495">
        <v>843</v>
      </c>
      <c r="P22" s="492">
        <v>112</v>
      </c>
      <c r="Q22" s="496"/>
      <c r="R22" s="496">
        <v>336</v>
      </c>
      <c r="S22" s="497"/>
      <c r="T22" s="212"/>
      <c r="U22" s="194"/>
      <c r="V22" s="245"/>
      <c r="W22" s="16">
        <f>SUM(C22:V22)</f>
        <v>4532</v>
      </c>
    </row>
    <row r="23" spans="1:23" s="3" customFormat="1" ht="15" customHeight="1" outlineLevel="1" x14ac:dyDescent="0.25">
      <c r="A23" s="25" t="s">
        <v>4</v>
      </c>
      <c r="B23" s="216">
        <f t="shared" ref="B23:B28" si="13">B22+1</f>
        <v>44054</v>
      </c>
      <c r="C23" s="208">
        <v>111</v>
      </c>
      <c r="D23" s="195">
        <v>57</v>
      </c>
      <c r="E23" s="195"/>
      <c r="F23" s="178"/>
      <c r="G23" s="191">
        <v>153</v>
      </c>
      <c r="H23" s="217"/>
      <c r="I23" s="204">
        <v>2146</v>
      </c>
      <c r="J23" s="193"/>
      <c r="K23" s="208">
        <v>440</v>
      </c>
      <c r="L23" s="195">
        <v>342</v>
      </c>
      <c r="M23" s="195"/>
      <c r="N23" s="369"/>
      <c r="O23" s="424">
        <v>914</v>
      </c>
      <c r="P23" s="178">
        <v>172</v>
      </c>
      <c r="Q23" s="179"/>
      <c r="R23" s="179">
        <v>346</v>
      </c>
      <c r="S23" s="191"/>
      <c r="T23" s="276"/>
      <c r="U23" s="195"/>
      <c r="V23" s="203"/>
      <c r="W23" s="254">
        <f>SUM(C23:V23)</f>
        <v>4681</v>
      </c>
    </row>
    <row r="24" spans="1:23" s="3" customFormat="1" ht="15" customHeight="1" outlineLevel="1" x14ac:dyDescent="0.25">
      <c r="A24" s="25" t="s">
        <v>5</v>
      </c>
      <c r="B24" s="216">
        <f t="shared" si="13"/>
        <v>44055</v>
      </c>
      <c r="C24" s="208">
        <v>96</v>
      </c>
      <c r="D24" s="195">
        <v>54</v>
      </c>
      <c r="E24" s="195"/>
      <c r="F24" s="178"/>
      <c r="G24" s="191">
        <v>142</v>
      </c>
      <c r="H24" s="217"/>
      <c r="I24" s="204">
        <v>1276</v>
      </c>
      <c r="J24" s="193"/>
      <c r="K24" s="208">
        <v>355</v>
      </c>
      <c r="L24" s="195">
        <v>312</v>
      </c>
      <c r="M24" s="195"/>
      <c r="N24" s="369"/>
      <c r="O24" s="424">
        <v>856</v>
      </c>
      <c r="P24" s="178">
        <v>168</v>
      </c>
      <c r="Q24" s="179"/>
      <c r="R24" s="179">
        <v>308</v>
      </c>
      <c r="S24" s="191"/>
      <c r="T24" s="276"/>
      <c r="U24" s="195"/>
      <c r="V24" s="203"/>
      <c r="W24" s="254">
        <f>SUM(C24:V24)</f>
        <v>3567</v>
      </c>
    </row>
    <row r="25" spans="1:23" s="3" customFormat="1" ht="15" customHeight="1" x14ac:dyDescent="0.25">
      <c r="A25" s="25" t="s">
        <v>6</v>
      </c>
      <c r="B25" s="216">
        <f t="shared" si="13"/>
        <v>44056</v>
      </c>
      <c r="C25" s="208">
        <v>97</v>
      </c>
      <c r="D25" s="195">
        <v>42</v>
      </c>
      <c r="E25" s="195"/>
      <c r="F25" s="178"/>
      <c r="G25" s="191">
        <v>124</v>
      </c>
      <c r="H25" s="217"/>
      <c r="I25" s="204">
        <v>1070</v>
      </c>
      <c r="J25" s="193"/>
      <c r="K25" s="208">
        <v>383</v>
      </c>
      <c r="L25" s="195">
        <v>222</v>
      </c>
      <c r="M25" s="195"/>
      <c r="N25" s="369"/>
      <c r="O25" s="424">
        <v>792</v>
      </c>
      <c r="P25" s="178">
        <v>138</v>
      </c>
      <c r="Q25" s="179"/>
      <c r="R25" s="179">
        <v>307</v>
      </c>
      <c r="S25" s="191"/>
      <c r="T25" s="276"/>
      <c r="U25" s="195"/>
      <c r="V25" s="203"/>
      <c r="W25" s="254">
        <f t="shared" ref="W25" si="14">SUM(C25:V25)</f>
        <v>3175</v>
      </c>
    </row>
    <row r="26" spans="1:23" s="3" customFormat="1" ht="15" customHeight="1" x14ac:dyDescent="0.25">
      <c r="A26" s="25" t="s">
        <v>0</v>
      </c>
      <c r="B26" s="216">
        <f t="shared" si="13"/>
        <v>44057</v>
      </c>
      <c r="C26" s="208">
        <v>64</v>
      </c>
      <c r="D26" s="195">
        <v>29</v>
      </c>
      <c r="E26" s="195"/>
      <c r="F26" s="178"/>
      <c r="G26" s="191">
        <v>132</v>
      </c>
      <c r="H26" s="217"/>
      <c r="I26" s="207">
        <v>2331</v>
      </c>
      <c r="J26" s="392"/>
      <c r="K26" s="208">
        <v>550</v>
      </c>
      <c r="L26" s="195">
        <v>402</v>
      </c>
      <c r="M26" s="195"/>
      <c r="N26" s="369"/>
      <c r="O26" s="424">
        <v>995</v>
      </c>
      <c r="P26" s="178">
        <v>175</v>
      </c>
      <c r="Q26" s="179"/>
      <c r="R26" s="178">
        <v>463</v>
      </c>
      <c r="S26" s="191"/>
      <c r="T26" s="276"/>
      <c r="U26" s="195"/>
      <c r="V26" s="203"/>
      <c r="W26" s="254">
        <f>SUM(C26:V26)</f>
        <v>5141</v>
      </c>
    </row>
    <row r="27" spans="1:23" s="3" customFormat="1" ht="15" customHeight="1" x14ac:dyDescent="0.25">
      <c r="A27" s="25" t="s">
        <v>1</v>
      </c>
      <c r="B27" s="216">
        <f t="shared" si="13"/>
        <v>44058</v>
      </c>
      <c r="C27" s="208"/>
      <c r="D27" s="195"/>
      <c r="E27" s="195"/>
      <c r="F27" s="179"/>
      <c r="G27" s="191"/>
      <c r="H27" s="217"/>
      <c r="I27" s="207">
        <v>5362</v>
      </c>
      <c r="J27" s="392">
        <v>2919</v>
      </c>
      <c r="K27" s="208"/>
      <c r="L27" s="195"/>
      <c r="M27" s="195"/>
      <c r="N27" s="191"/>
      <c r="O27" s="424"/>
      <c r="P27" s="179"/>
      <c r="Q27" s="179"/>
      <c r="R27" s="179"/>
      <c r="S27" s="191"/>
      <c r="T27" s="208"/>
      <c r="U27" s="195"/>
      <c r="V27" s="203"/>
      <c r="W27" s="254">
        <f>SUM(C27:V27)</f>
        <v>8281</v>
      </c>
    </row>
    <row r="28" spans="1:23" s="3" customFormat="1" ht="15" customHeight="1" thickBot="1" x14ac:dyDescent="0.3">
      <c r="A28" s="25" t="s">
        <v>2</v>
      </c>
      <c r="B28" s="216">
        <f t="shared" si="13"/>
        <v>44059</v>
      </c>
      <c r="C28" s="484"/>
      <c r="D28" s="485"/>
      <c r="E28" s="485"/>
      <c r="F28" s="499"/>
      <c r="G28" s="500"/>
      <c r="H28" s="486"/>
      <c r="I28" s="560">
        <v>859</v>
      </c>
      <c r="J28" s="561">
        <v>271</v>
      </c>
      <c r="K28" s="484"/>
      <c r="L28" s="485"/>
      <c r="M28" s="485"/>
      <c r="N28" s="500"/>
      <c r="O28" s="501"/>
      <c r="P28" s="499"/>
      <c r="Q28" s="499"/>
      <c r="R28" s="499"/>
      <c r="S28" s="500"/>
      <c r="T28" s="484"/>
      <c r="U28" s="275"/>
      <c r="V28" s="491"/>
      <c r="W28" s="489">
        <f>SUM(C28:V28)</f>
        <v>1130</v>
      </c>
    </row>
    <row r="29" spans="1:23" s="3" customFormat="1" ht="15" customHeight="1" thickBot="1" x14ac:dyDescent="0.3">
      <c r="A29" s="144" t="s">
        <v>20</v>
      </c>
      <c r="B29" s="713" t="s">
        <v>24</v>
      </c>
      <c r="C29" s="450">
        <f t="shared" ref="C29:V29" si="15">SUM(C22:C28)</f>
        <v>466</v>
      </c>
      <c r="D29" s="451">
        <f t="shared" si="15"/>
        <v>235</v>
      </c>
      <c r="E29" s="451">
        <f t="shared" si="15"/>
        <v>0</v>
      </c>
      <c r="F29" s="451">
        <f t="shared" si="15"/>
        <v>0</v>
      </c>
      <c r="G29" s="452">
        <f t="shared" si="15"/>
        <v>677</v>
      </c>
      <c r="H29" s="145">
        <f t="shared" si="15"/>
        <v>0</v>
      </c>
      <c r="I29" s="452">
        <f t="shared" ref="I29:J29" si="16">SUM(I22:I28)</f>
        <v>15311</v>
      </c>
      <c r="J29" s="452">
        <f t="shared" si="16"/>
        <v>3190</v>
      </c>
      <c r="K29" s="450">
        <f t="shared" si="15"/>
        <v>2165</v>
      </c>
      <c r="L29" s="451">
        <f t="shared" si="15"/>
        <v>1538</v>
      </c>
      <c r="M29" s="451">
        <f t="shared" si="15"/>
        <v>0</v>
      </c>
      <c r="N29" s="452">
        <f t="shared" si="15"/>
        <v>0</v>
      </c>
      <c r="O29" s="145">
        <f t="shared" si="15"/>
        <v>4400</v>
      </c>
      <c r="P29" s="450">
        <f t="shared" si="15"/>
        <v>765</v>
      </c>
      <c r="Q29" s="450">
        <f t="shared" si="15"/>
        <v>0</v>
      </c>
      <c r="R29" s="450">
        <f t="shared" si="15"/>
        <v>1760</v>
      </c>
      <c r="S29" s="450">
        <f t="shared" si="15"/>
        <v>0</v>
      </c>
      <c r="T29" s="450">
        <f t="shared" si="15"/>
        <v>0</v>
      </c>
      <c r="U29" s="450">
        <f t="shared" si="15"/>
        <v>0</v>
      </c>
      <c r="V29" s="480">
        <f t="shared" si="15"/>
        <v>0</v>
      </c>
      <c r="W29" s="481">
        <f>SUM(W22:W28)</f>
        <v>30507</v>
      </c>
    </row>
    <row r="30" spans="1:23" s="3" customFormat="1" ht="15" customHeight="1" thickBot="1" x14ac:dyDescent="0.3">
      <c r="A30" s="101" t="s">
        <v>22</v>
      </c>
      <c r="B30" s="714"/>
      <c r="C30" s="209">
        <f t="shared" ref="C30:V30" si="17">AVERAGE(C22:C28)</f>
        <v>93.2</v>
      </c>
      <c r="D30" s="201">
        <f t="shared" si="17"/>
        <v>47</v>
      </c>
      <c r="E30" s="201" t="e">
        <f t="shared" si="17"/>
        <v>#DIV/0!</v>
      </c>
      <c r="F30" s="201" t="e">
        <f t="shared" si="17"/>
        <v>#DIV/0!</v>
      </c>
      <c r="G30" s="419">
        <f t="shared" si="17"/>
        <v>135.4</v>
      </c>
      <c r="H30" s="417" t="e">
        <f t="shared" si="17"/>
        <v>#DIV/0!</v>
      </c>
      <c r="I30" s="419">
        <f t="shared" ref="I30:J30" si="18">AVERAGE(I22:I28)</f>
        <v>2187.2857142857142</v>
      </c>
      <c r="J30" s="419">
        <f t="shared" si="18"/>
        <v>1595</v>
      </c>
      <c r="K30" s="209">
        <f t="shared" si="17"/>
        <v>433</v>
      </c>
      <c r="L30" s="201">
        <f t="shared" si="17"/>
        <v>307.60000000000002</v>
      </c>
      <c r="M30" s="201" t="e">
        <f t="shared" si="17"/>
        <v>#DIV/0!</v>
      </c>
      <c r="N30" s="419" t="e">
        <f t="shared" si="17"/>
        <v>#DIV/0!</v>
      </c>
      <c r="O30" s="417">
        <f t="shared" si="17"/>
        <v>880</v>
      </c>
      <c r="P30" s="209">
        <f t="shared" si="17"/>
        <v>153</v>
      </c>
      <c r="Q30" s="209" t="e">
        <f t="shared" si="17"/>
        <v>#DIV/0!</v>
      </c>
      <c r="R30" s="209">
        <f t="shared" si="17"/>
        <v>352</v>
      </c>
      <c r="S30" s="209" t="e">
        <f t="shared" si="17"/>
        <v>#DIV/0!</v>
      </c>
      <c r="T30" s="209" t="e">
        <f t="shared" si="17"/>
        <v>#DIV/0!</v>
      </c>
      <c r="U30" s="209" t="e">
        <f t="shared" si="17"/>
        <v>#DIV/0!</v>
      </c>
      <c r="V30" s="414" t="e">
        <f t="shared" si="17"/>
        <v>#DIV/0!</v>
      </c>
      <c r="W30" s="420">
        <f>AVERAGE(W22:W28)</f>
        <v>4358.1428571428569</v>
      </c>
    </row>
    <row r="31" spans="1:23" s="3" customFormat="1" ht="15" customHeight="1" thickBot="1" x14ac:dyDescent="0.3">
      <c r="A31" s="26" t="s">
        <v>19</v>
      </c>
      <c r="B31" s="714"/>
      <c r="C31" s="210">
        <f t="shared" ref="C31:V31" si="19">SUM(C22:C26)</f>
        <v>466</v>
      </c>
      <c r="D31" s="202">
        <f t="shared" si="19"/>
        <v>235</v>
      </c>
      <c r="E31" s="202">
        <f t="shared" si="19"/>
        <v>0</v>
      </c>
      <c r="F31" s="202">
        <f t="shared" si="19"/>
        <v>0</v>
      </c>
      <c r="G31" s="421">
        <f t="shared" si="19"/>
        <v>677</v>
      </c>
      <c r="H31" s="418">
        <f t="shared" si="19"/>
        <v>0</v>
      </c>
      <c r="I31" s="421">
        <f>SUM(I22:I26)</f>
        <v>9090</v>
      </c>
      <c r="J31" s="421">
        <f t="shared" ref="J31" si="20">SUM(J22:J26)</f>
        <v>0</v>
      </c>
      <c r="K31" s="210">
        <f t="shared" si="19"/>
        <v>2165</v>
      </c>
      <c r="L31" s="202">
        <f t="shared" si="19"/>
        <v>1538</v>
      </c>
      <c r="M31" s="202">
        <f t="shared" si="19"/>
        <v>0</v>
      </c>
      <c r="N31" s="421">
        <f t="shared" si="19"/>
        <v>0</v>
      </c>
      <c r="O31" s="418">
        <f t="shared" si="19"/>
        <v>4400</v>
      </c>
      <c r="P31" s="210">
        <f t="shared" si="19"/>
        <v>765</v>
      </c>
      <c r="Q31" s="210">
        <f t="shared" si="19"/>
        <v>0</v>
      </c>
      <c r="R31" s="210">
        <f t="shared" si="19"/>
        <v>1760</v>
      </c>
      <c r="S31" s="210">
        <f t="shared" si="19"/>
        <v>0</v>
      </c>
      <c r="T31" s="210">
        <f t="shared" si="19"/>
        <v>0</v>
      </c>
      <c r="U31" s="210">
        <f t="shared" si="19"/>
        <v>0</v>
      </c>
      <c r="V31" s="423">
        <f t="shared" si="19"/>
        <v>0</v>
      </c>
      <c r="W31" s="425">
        <f>SUM(W22:W26)</f>
        <v>21096</v>
      </c>
    </row>
    <row r="32" spans="1:23" s="3" customFormat="1" ht="15" customHeight="1" outlineLevel="1" thickBot="1" x14ac:dyDescent="0.3">
      <c r="A32" s="26" t="s">
        <v>21</v>
      </c>
      <c r="B32" s="715"/>
      <c r="C32" s="37">
        <f t="shared" ref="C32:V32" si="21">AVERAGE(C22:C26)</f>
        <v>93.2</v>
      </c>
      <c r="D32" s="196">
        <f t="shared" si="21"/>
        <v>47</v>
      </c>
      <c r="E32" s="196" t="e">
        <f t="shared" si="21"/>
        <v>#DIV/0!</v>
      </c>
      <c r="F32" s="196" t="e">
        <f t="shared" si="21"/>
        <v>#DIV/0!</v>
      </c>
      <c r="G32" s="422">
        <f t="shared" si="21"/>
        <v>135.4</v>
      </c>
      <c r="H32" s="146" t="e">
        <f t="shared" si="21"/>
        <v>#DIV/0!</v>
      </c>
      <c r="I32" s="422">
        <f t="shared" ref="I32:J32" si="22">AVERAGE(I22:I26)</f>
        <v>1818</v>
      </c>
      <c r="J32" s="422" t="e">
        <f t="shared" si="22"/>
        <v>#DIV/0!</v>
      </c>
      <c r="K32" s="37">
        <f t="shared" si="21"/>
        <v>433</v>
      </c>
      <c r="L32" s="196">
        <f t="shared" si="21"/>
        <v>307.60000000000002</v>
      </c>
      <c r="M32" s="196" t="e">
        <f t="shared" si="21"/>
        <v>#DIV/0!</v>
      </c>
      <c r="N32" s="422" t="e">
        <f t="shared" si="21"/>
        <v>#DIV/0!</v>
      </c>
      <c r="O32" s="146">
        <f t="shared" si="21"/>
        <v>880</v>
      </c>
      <c r="P32" s="37">
        <f t="shared" si="21"/>
        <v>153</v>
      </c>
      <c r="Q32" s="37" t="e">
        <f t="shared" si="21"/>
        <v>#DIV/0!</v>
      </c>
      <c r="R32" s="37">
        <f t="shared" si="21"/>
        <v>352</v>
      </c>
      <c r="S32" s="37" t="e">
        <f t="shared" si="21"/>
        <v>#DIV/0!</v>
      </c>
      <c r="T32" s="37" t="e">
        <f t="shared" si="21"/>
        <v>#DIV/0!</v>
      </c>
      <c r="U32" s="37" t="e">
        <f t="shared" si="21"/>
        <v>#DIV/0!</v>
      </c>
      <c r="V32" s="460" t="e">
        <f t="shared" si="21"/>
        <v>#DIV/0!</v>
      </c>
      <c r="W32" s="426">
        <f>AVERAGE(W22:W26)</f>
        <v>4219.2</v>
      </c>
    </row>
    <row r="33" spans="1:23" s="3" customFormat="1" ht="15" customHeight="1" outlineLevel="1" x14ac:dyDescent="0.25">
      <c r="A33" s="25" t="s">
        <v>3</v>
      </c>
      <c r="B33" s="225">
        <f>B28+1</f>
        <v>44060</v>
      </c>
      <c r="C33" s="212">
        <v>90</v>
      </c>
      <c r="D33" s="194">
        <v>34</v>
      </c>
      <c r="E33" s="194"/>
      <c r="F33" s="14"/>
      <c r="G33" s="13">
        <v>147</v>
      </c>
      <c r="H33" s="317"/>
      <c r="I33" s="206">
        <v>2385</v>
      </c>
      <c r="J33" s="494"/>
      <c r="K33" s="212">
        <v>405</v>
      </c>
      <c r="L33" s="502">
        <v>320</v>
      </c>
      <c r="M33" s="194"/>
      <c r="N33" s="13"/>
      <c r="O33" s="127">
        <v>884</v>
      </c>
      <c r="P33" s="14">
        <v>140</v>
      </c>
      <c r="Q33" s="14"/>
      <c r="R33" s="14">
        <v>338</v>
      </c>
      <c r="S33" s="13"/>
      <c r="T33" s="212"/>
      <c r="U33" s="194"/>
      <c r="V33" s="245"/>
      <c r="W33" s="16">
        <f>SUM(C33:V33)</f>
        <v>4743</v>
      </c>
    </row>
    <row r="34" spans="1:23" s="3" customFormat="1" ht="15" customHeight="1" outlineLevel="1" x14ac:dyDescent="0.25">
      <c r="A34" s="25" t="s">
        <v>4</v>
      </c>
      <c r="B34" s="226">
        <f t="shared" ref="B34:B39" si="23">B33+1</f>
        <v>44061</v>
      </c>
      <c r="C34" s="208">
        <v>114</v>
      </c>
      <c r="D34" s="195">
        <v>72</v>
      </c>
      <c r="E34" s="195"/>
      <c r="F34" s="20"/>
      <c r="G34" s="19">
        <v>127</v>
      </c>
      <c r="H34" s="217"/>
      <c r="I34" s="204">
        <v>2787</v>
      </c>
      <c r="J34" s="193"/>
      <c r="K34" s="208">
        <v>435</v>
      </c>
      <c r="L34" s="195">
        <v>373</v>
      </c>
      <c r="M34" s="195"/>
      <c r="N34" s="19"/>
      <c r="O34" s="128">
        <v>1046</v>
      </c>
      <c r="P34" s="20">
        <v>147</v>
      </c>
      <c r="Q34" s="20"/>
      <c r="R34" s="20">
        <v>455</v>
      </c>
      <c r="S34" s="19"/>
      <c r="T34" s="208"/>
      <c r="U34" s="195"/>
      <c r="V34" s="203"/>
      <c r="W34" s="254">
        <f>SUM(C34:V34)</f>
        <v>5556</v>
      </c>
    </row>
    <row r="35" spans="1:23" s="3" customFormat="1" ht="15" customHeight="1" outlineLevel="1" x14ac:dyDescent="0.25">
      <c r="A35" s="25" t="s">
        <v>5</v>
      </c>
      <c r="B35" s="226">
        <f t="shared" si="23"/>
        <v>44062</v>
      </c>
      <c r="C35" s="208">
        <v>88</v>
      </c>
      <c r="D35" s="195">
        <v>47</v>
      </c>
      <c r="E35" s="195"/>
      <c r="F35" s="20"/>
      <c r="G35" s="19">
        <v>140</v>
      </c>
      <c r="H35" s="217"/>
      <c r="I35" s="204">
        <v>1460</v>
      </c>
      <c r="J35" s="193"/>
      <c r="K35" s="208">
        <v>359</v>
      </c>
      <c r="L35" s="195">
        <v>295</v>
      </c>
      <c r="M35" s="195"/>
      <c r="N35" s="19"/>
      <c r="O35" s="128">
        <v>927</v>
      </c>
      <c r="P35" s="20">
        <v>163</v>
      </c>
      <c r="Q35" s="20"/>
      <c r="R35" s="20">
        <v>409</v>
      </c>
      <c r="S35" s="19"/>
      <c r="T35" s="208"/>
      <c r="U35" s="195"/>
      <c r="V35" s="203"/>
      <c r="W35" s="254">
        <f>SUM(C35:V35)</f>
        <v>3888</v>
      </c>
    </row>
    <row r="36" spans="1:23" s="3" customFormat="1" ht="15" customHeight="1" x14ac:dyDescent="0.25">
      <c r="A36" s="25" t="s">
        <v>6</v>
      </c>
      <c r="B36" s="226">
        <f t="shared" si="23"/>
        <v>44063</v>
      </c>
      <c r="C36" s="208">
        <v>93</v>
      </c>
      <c r="D36" s="195">
        <v>33</v>
      </c>
      <c r="E36" s="195"/>
      <c r="F36" s="20"/>
      <c r="G36" s="19">
        <v>105</v>
      </c>
      <c r="H36" s="217"/>
      <c r="I36" s="204">
        <v>3066</v>
      </c>
      <c r="J36" s="193"/>
      <c r="K36" s="208">
        <v>477</v>
      </c>
      <c r="L36" s="195">
        <v>441</v>
      </c>
      <c r="M36" s="195"/>
      <c r="N36" s="19"/>
      <c r="O36" s="128">
        <v>1127</v>
      </c>
      <c r="P36" s="20">
        <v>205</v>
      </c>
      <c r="Q36" s="20"/>
      <c r="R36" s="20">
        <v>543</v>
      </c>
      <c r="S36" s="19"/>
      <c r="T36" s="208"/>
      <c r="U36" s="195"/>
      <c r="V36" s="203"/>
      <c r="W36" s="254">
        <f t="shared" ref="W36:W38" si="24">SUM(C36:V36)</f>
        <v>6090</v>
      </c>
    </row>
    <row r="37" spans="1:23" s="3" customFormat="1" ht="15" customHeight="1" x14ac:dyDescent="0.25">
      <c r="A37" s="25" t="s">
        <v>0</v>
      </c>
      <c r="B37" s="226">
        <f t="shared" si="23"/>
        <v>44064</v>
      </c>
      <c r="C37" s="208">
        <v>102</v>
      </c>
      <c r="D37" s="195">
        <v>38</v>
      </c>
      <c r="E37" s="195"/>
      <c r="F37" s="20"/>
      <c r="G37" s="19">
        <v>95</v>
      </c>
      <c r="H37" s="217"/>
      <c r="I37" s="204">
        <v>3317</v>
      </c>
      <c r="J37" s="193"/>
      <c r="K37" s="208">
        <v>506</v>
      </c>
      <c r="L37" s="195">
        <v>411</v>
      </c>
      <c r="M37" s="195"/>
      <c r="N37" s="19"/>
      <c r="O37" s="128">
        <v>1119</v>
      </c>
      <c r="P37" s="20">
        <v>274</v>
      </c>
      <c r="Q37" s="20"/>
      <c r="R37" s="20">
        <v>479</v>
      </c>
      <c r="S37" s="19"/>
      <c r="T37" s="208"/>
      <c r="U37" s="195"/>
      <c r="V37" s="203"/>
      <c r="W37" s="254">
        <f>SUM(C37:V37)</f>
        <v>6341</v>
      </c>
    </row>
    <row r="38" spans="1:23" s="3" customFormat="1" ht="15" customHeight="1" x14ac:dyDescent="0.25">
      <c r="A38" s="25" t="s">
        <v>1</v>
      </c>
      <c r="B38" s="226">
        <f t="shared" si="23"/>
        <v>44065</v>
      </c>
      <c r="C38" s="208"/>
      <c r="D38" s="195"/>
      <c r="E38" s="195"/>
      <c r="F38" s="20"/>
      <c r="G38" s="19"/>
      <c r="H38" s="217"/>
      <c r="I38" s="204">
        <v>4864</v>
      </c>
      <c r="J38" s="193">
        <v>2841</v>
      </c>
      <c r="K38" s="208"/>
      <c r="L38" s="195"/>
      <c r="M38" s="195"/>
      <c r="N38" s="19"/>
      <c r="O38" s="128"/>
      <c r="P38" s="20"/>
      <c r="Q38" s="20"/>
      <c r="R38" s="20"/>
      <c r="S38" s="19"/>
      <c r="T38" s="208"/>
      <c r="U38" s="195"/>
      <c r="V38" s="203"/>
      <c r="W38" s="254">
        <f t="shared" si="24"/>
        <v>7705</v>
      </c>
    </row>
    <row r="39" spans="1:23" s="3" customFormat="1" ht="15" customHeight="1" thickBot="1" x14ac:dyDescent="0.3">
      <c r="A39" s="25" t="s">
        <v>2</v>
      </c>
      <c r="B39" s="226">
        <f t="shared" si="23"/>
        <v>44066</v>
      </c>
      <c r="C39" s="484"/>
      <c r="D39" s="485"/>
      <c r="E39" s="485"/>
      <c r="F39" s="477"/>
      <c r="G39" s="22"/>
      <c r="H39" s="486"/>
      <c r="I39" s="560">
        <v>4777</v>
      </c>
      <c r="J39" s="561">
        <v>2395</v>
      </c>
      <c r="K39" s="484"/>
      <c r="L39" s="485"/>
      <c r="M39" s="485"/>
      <c r="N39" s="22"/>
      <c r="O39" s="490"/>
      <c r="P39" s="477"/>
      <c r="Q39" s="477"/>
      <c r="R39" s="477"/>
      <c r="S39" s="22"/>
      <c r="T39" s="484"/>
      <c r="U39" s="485"/>
      <c r="V39" s="491"/>
      <c r="W39" s="489">
        <f>SUM(C39:V39)</f>
        <v>7172</v>
      </c>
    </row>
    <row r="40" spans="1:23" s="3" customFormat="1" ht="15" customHeight="1" thickBot="1" x14ac:dyDescent="0.3">
      <c r="A40" s="144" t="s">
        <v>20</v>
      </c>
      <c r="B40" s="713" t="s">
        <v>25</v>
      </c>
      <c r="C40" s="450">
        <f t="shared" ref="C40:V40" si="25">SUM(C33:C39)</f>
        <v>487</v>
      </c>
      <c r="D40" s="451">
        <f t="shared" si="25"/>
        <v>224</v>
      </c>
      <c r="E40" s="451">
        <f t="shared" si="25"/>
        <v>0</v>
      </c>
      <c r="F40" s="451">
        <f t="shared" si="25"/>
        <v>0</v>
      </c>
      <c r="G40" s="452">
        <f t="shared" si="25"/>
        <v>614</v>
      </c>
      <c r="H40" s="145">
        <f t="shared" si="25"/>
        <v>0</v>
      </c>
      <c r="I40" s="452">
        <f t="shared" si="25"/>
        <v>22656</v>
      </c>
      <c r="J40" s="452">
        <f t="shared" si="25"/>
        <v>5236</v>
      </c>
      <c r="K40" s="450">
        <f t="shared" si="25"/>
        <v>2182</v>
      </c>
      <c r="L40" s="451">
        <f t="shared" si="25"/>
        <v>1840</v>
      </c>
      <c r="M40" s="451">
        <f t="shared" si="25"/>
        <v>0</v>
      </c>
      <c r="N40" s="452">
        <f t="shared" si="25"/>
        <v>0</v>
      </c>
      <c r="O40" s="145">
        <f t="shared" si="25"/>
        <v>5103</v>
      </c>
      <c r="P40" s="450">
        <f t="shared" si="25"/>
        <v>929</v>
      </c>
      <c r="Q40" s="450">
        <f t="shared" si="25"/>
        <v>0</v>
      </c>
      <c r="R40" s="450">
        <f t="shared" si="25"/>
        <v>2224</v>
      </c>
      <c r="S40" s="450">
        <f t="shared" si="25"/>
        <v>0</v>
      </c>
      <c r="T40" s="450">
        <f t="shared" si="25"/>
        <v>0</v>
      </c>
      <c r="U40" s="450">
        <f t="shared" si="25"/>
        <v>0</v>
      </c>
      <c r="V40" s="480">
        <f t="shared" si="25"/>
        <v>0</v>
      </c>
      <c r="W40" s="481">
        <f>SUM(W33:W39)</f>
        <v>41495</v>
      </c>
    </row>
    <row r="41" spans="1:23" s="3" customFormat="1" ht="15" customHeight="1" thickBot="1" x14ac:dyDescent="0.3">
      <c r="A41" s="101" t="s">
        <v>22</v>
      </c>
      <c r="B41" s="714"/>
      <c r="C41" s="209">
        <f t="shared" ref="C41:W41" si="26">AVERAGE(C33:C39)</f>
        <v>97.4</v>
      </c>
      <c r="D41" s="201">
        <f t="shared" si="26"/>
        <v>44.8</v>
      </c>
      <c r="E41" s="201" t="e">
        <f t="shared" si="26"/>
        <v>#DIV/0!</v>
      </c>
      <c r="F41" s="201" t="e">
        <f t="shared" si="26"/>
        <v>#DIV/0!</v>
      </c>
      <c r="G41" s="419">
        <f t="shared" si="26"/>
        <v>122.8</v>
      </c>
      <c r="H41" s="417" t="e">
        <f t="shared" si="26"/>
        <v>#DIV/0!</v>
      </c>
      <c r="I41" s="419">
        <f t="shared" si="26"/>
        <v>3236.5714285714284</v>
      </c>
      <c r="J41" s="419">
        <f t="shared" si="26"/>
        <v>2618</v>
      </c>
      <c r="K41" s="209">
        <f t="shared" si="26"/>
        <v>436.4</v>
      </c>
      <c r="L41" s="201">
        <f t="shared" si="26"/>
        <v>368</v>
      </c>
      <c r="M41" s="201" t="e">
        <f t="shared" si="26"/>
        <v>#DIV/0!</v>
      </c>
      <c r="N41" s="419" t="e">
        <f t="shared" si="26"/>
        <v>#DIV/0!</v>
      </c>
      <c r="O41" s="417">
        <f t="shared" si="26"/>
        <v>1020.6</v>
      </c>
      <c r="P41" s="209">
        <f t="shared" si="26"/>
        <v>185.8</v>
      </c>
      <c r="Q41" s="209" t="e">
        <f t="shared" si="26"/>
        <v>#DIV/0!</v>
      </c>
      <c r="R41" s="209">
        <f t="shared" si="26"/>
        <v>444.8</v>
      </c>
      <c r="S41" s="209" t="e">
        <f t="shared" si="26"/>
        <v>#DIV/0!</v>
      </c>
      <c r="T41" s="209" t="e">
        <f t="shared" si="26"/>
        <v>#DIV/0!</v>
      </c>
      <c r="U41" s="209" t="e">
        <f t="shared" si="26"/>
        <v>#DIV/0!</v>
      </c>
      <c r="V41" s="414" t="e">
        <f t="shared" si="26"/>
        <v>#DIV/0!</v>
      </c>
      <c r="W41" s="420">
        <f t="shared" si="26"/>
        <v>5927.8571428571431</v>
      </c>
    </row>
    <row r="42" spans="1:23" s="3" customFormat="1" ht="15" customHeight="1" thickBot="1" x14ac:dyDescent="0.3">
      <c r="A42" s="26" t="s">
        <v>19</v>
      </c>
      <c r="B42" s="714"/>
      <c r="C42" s="210">
        <f t="shared" ref="C42:V42" si="27">SUM(C33:C37)</f>
        <v>487</v>
      </c>
      <c r="D42" s="202">
        <f t="shared" si="27"/>
        <v>224</v>
      </c>
      <c r="E42" s="202">
        <f t="shared" si="27"/>
        <v>0</v>
      </c>
      <c r="F42" s="202">
        <f t="shared" si="27"/>
        <v>0</v>
      </c>
      <c r="G42" s="421">
        <f t="shared" si="27"/>
        <v>614</v>
      </c>
      <c r="H42" s="418">
        <f t="shared" si="27"/>
        <v>0</v>
      </c>
      <c r="I42" s="421">
        <f>SUM(I33:I37)</f>
        <v>13015</v>
      </c>
      <c r="J42" s="421">
        <f>SUM(J33:J37)</f>
        <v>0</v>
      </c>
      <c r="K42" s="210">
        <f t="shared" si="27"/>
        <v>2182</v>
      </c>
      <c r="L42" s="202">
        <f t="shared" si="27"/>
        <v>1840</v>
      </c>
      <c r="M42" s="202">
        <f t="shared" si="27"/>
        <v>0</v>
      </c>
      <c r="N42" s="421">
        <f t="shared" si="27"/>
        <v>0</v>
      </c>
      <c r="O42" s="418">
        <f t="shared" si="27"/>
        <v>5103</v>
      </c>
      <c r="P42" s="210">
        <f t="shared" si="27"/>
        <v>929</v>
      </c>
      <c r="Q42" s="210">
        <f t="shared" si="27"/>
        <v>0</v>
      </c>
      <c r="R42" s="210">
        <f t="shared" si="27"/>
        <v>2224</v>
      </c>
      <c r="S42" s="210">
        <f t="shared" si="27"/>
        <v>0</v>
      </c>
      <c r="T42" s="210">
        <f t="shared" si="27"/>
        <v>0</v>
      </c>
      <c r="U42" s="210">
        <f t="shared" si="27"/>
        <v>0</v>
      </c>
      <c r="V42" s="423">
        <f t="shared" si="27"/>
        <v>0</v>
      </c>
      <c r="W42" s="425">
        <f>SUM(W33:W37)</f>
        <v>26618</v>
      </c>
    </row>
    <row r="43" spans="1:23" s="3" customFormat="1" ht="15" customHeight="1" outlineLevel="1" thickBot="1" x14ac:dyDescent="0.3">
      <c r="A43" s="26" t="s">
        <v>21</v>
      </c>
      <c r="B43" s="715"/>
      <c r="C43" s="37">
        <f>AVERAGE(C33:C37)</f>
        <v>97.4</v>
      </c>
      <c r="D43" s="196">
        <f t="shared" ref="D43:V43" si="28">AVERAGE(D33:D37)</f>
        <v>44.8</v>
      </c>
      <c r="E43" s="196" t="e">
        <f t="shared" si="28"/>
        <v>#DIV/0!</v>
      </c>
      <c r="F43" s="196" t="e">
        <f t="shared" si="28"/>
        <v>#DIV/0!</v>
      </c>
      <c r="G43" s="422">
        <f t="shared" si="28"/>
        <v>122.8</v>
      </c>
      <c r="H43" s="146" t="e">
        <f t="shared" si="28"/>
        <v>#DIV/0!</v>
      </c>
      <c r="I43" s="422">
        <f t="shared" si="28"/>
        <v>2603</v>
      </c>
      <c r="J43" s="422" t="e">
        <f t="shared" si="28"/>
        <v>#DIV/0!</v>
      </c>
      <c r="K43" s="37">
        <f t="shared" si="28"/>
        <v>436.4</v>
      </c>
      <c r="L43" s="196">
        <f t="shared" si="28"/>
        <v>368</v>
      </c>
      <c r="M43" s="196" t="e">
        <f t="shared" si="28"/>
        <v>#DIV/0!</v>
      </c>
      <c r="N43" s="422" t="e">
        <f t="shared" si="28"/>
        <v>#DIV/0!</v>
      </c>
      <c r="O43" s="146">
        <f t="shared" si="28"/>
        <v>1020.6</v>
      </c>
      <c r="P43" s="37">
        <f t="shared" si="28"/>
        <v>185.8</v>
      </c>
      <c r="Q43" s="37" t="e">
        <f t="shared" si="28"/>
        <v>#DIV/0!</v>
      </c>
      <c r="R43" s="37">
        <f t="shared" si="28"/>
        <v>444.8</v>
      </c>
      <c r="S43" s="37" t="e">
        <f t="shared" si="28"/>
        <v>#DIV/0!</v>
      </c>
      <c r="T43" s="37" t="e">
        <f t="shared" si="28"/>
        <v>#DIV/0!</v>
      </c>
      <c r="U43" s="37" t="e">
        <f t="shared" si="28"/>
        <v>#DIV/0!</v>
      </c>
      <c r="V43" s="460" t="e">
        <f t="shared" si="28"/>
        <v>#DIV/0!</v>
      </c>
      <c r="W43" s="426">
        <f>AVERAGE(W33:W37)</f>
        <v>5323.6</v>
      </c>
    </row>
    <row r="44" spans="1:23" s="3" customFormat="1" ht="15" customHeight="1" outlineLevel="1" x14ac:dyDescent="0.25">
      <c r="A44" s="25" t="s">
        <v>3</v>
      </c>
      <c r="B44" s="225">
        <f>B39+1</f>
        <v>44067</v>
      </c>
      <c r="C44" s="212">
        <v>91</v>
      </c>
      <c r="D44" s="194">
        <v>47</v>
      </c>
      <c r="E44" s="194"/>
      <c r="F44" s="492"/>
      <c r="G44" s="493">
        <v>121</v>
      </c>
      <c r="H44" s="317"/>
      <c r="I44" s="206">
        <v>1826</v>
      </c>
      <c r="J44" s="494"/>
      <c r="K44" s="212">
        <v>329</v>
      </c>
      <c r="L44" s="194">
        <v>274</v>
      </c>
      <c r="M44" s="194"/>
      <c r="N44" s="493"/>
      <c r="O44" s="495">
        <v>940</v>
      </c>
      <c r="P44" s="492">
        <v>200</v>
      </c>
      <c r="Q44" s="492"/>
      <c r="R44" s="496">
        <v>313</v>
      </c>
      <c r="S44" s="497"/>
      <c r="T44" s="212"/>
      <c r="U44" s="194"/>
      <c r="V44" s="498"/>
      <c r="W44" s="16">
        <f t="shared" ref="W44:W50" si="29">SUM(C44:V44)</f>
        <v>4141</v>
      </c>
    </row>
    <row r="45" spans="1:23" s="3" customFormat="1" ht="15" customHeight="1" outlineLevel="1" x14ac:dyDescent="0.25">
      <c r="A45" s="136" t="s">
        <v>4</v>
      </c>
      <c r="B45" s="226">
        <f t="shared" ref="B45:B50" si="30">B44+1</f>
        <v>44068</v>
      </c>
      <c r="C45" s="208">
        <v>109</v>
      </c>
      <c r="D45" s="195">
        <v>55</v>
      </c>
      <c r="E45" s="195"/>
      <c r="F45" s="179"/>
      <c r="G45" s="191">
        <v>138</v>
      </c>
      <c r="H45" s="217"/>
      <c r="I45" s="204">
        <v>1731</v>
      </c>
      <c r="J45" s="193"/>
      <c r="K45" s="208">
        <v>401</v>
      </c>
      <c r="L45" s="170">
        <v>336</v>
      </c>
      <c r="M45" s="195"/>
      <c r="N45" s="191"/>
      <c r="O45" s="424">
        <v>978</v>
      </c>
      <c r="P45" s="178">
        <v>120</v>
      </c>
      <c r="Q45" s="179"/>
      <c r="R45" s="179">
        <v>416</v>
      </c>
      <c r="S45" s="191"/>
      <c r="T45" s="208"/>
      <c r="U45" s="195"/>
      <c r="V45" s="172"/>
      <c r="W45" s="254">
        <f t="shared" si="29"/>
        <v>4284</v>
      </c>
    </row>
    <row r="46" spans="1:23" s="3" customFormat="1" ht="15" customHeight="1" outlineLevel="1" x14ac:dyDescent="0.25">
      <c r="A46" s="136" t="s">
        <v>5</v>
      </c>
      <c r="B46" s="226">
        <f t="shared" si="30"/>
        <v>44069</v>
      </c>
      <c r="C46" s="208">
        <v>100</v>
      </c>
      <c r="D46" s="195">
        <v>45</v>
      </c>
      <c r="E46" s="195"/>
      <c r="F46" s="179"/>
      <c r="G46" s="191">
        <v>136</v>
      </c>
      <c r="H46" s="217"/>
      <c r="I46" s="204">
        <v>3175</v>
      </c>
      <c r="J46" s="193"/>
      <c r="K46" s="208">
        <v>430</v>
      </c>
      <c r="L46" s="195">
        <v>424</v>
      </c>
      <c r="M46" s="195"/>
      <c r="N46" s="191"/>
      <c r="O46" s="424">
        <v>1075</v>
      </c>
      <c r="P46" s="179">
        <v>137</v>
      </c>
      <c r="Q46" s="179"/>
      <c r="R46" s="179">
        <v>565</v>
      </c>
      <c r="S46" s="191"/>
      <c r="T46" s="208"/>
      <c r="U46" s="195"/>
      <c r="V46" s="172"/>
      <c r="W46" s="254">
        <f t="shared" si="29"/>
        <v>6087</v>
      </c>
    </row>
    <row r="47" spans="1:23" s="3" customFormat="1" ht="15" customHeight="1" x14ac:dyDescent="0.25">
      <c r="A47" s="136" t="s">
        <v>6</v>
      </c>
      <c r="B47" s="226">
        <f t="shared" si="30"/>
        <v>44070</v>
      </c>
      <c r="C47" s="208">
        <v>95</v>
      </c>
      <c r="D47" s="195">
        <v>41</v>
      </c>
      <c r="E47" s="195"/>
      <c r="F47" s="179"/>
      <c r="G47" s="191">
        <v>137</v>
      </c>
      <c r="H47" s="217"/>
      <c r="I47" s="204">
        <v>1761</v>
      </c>
      <c r="J47" s="193"/>
      <c r="K47" s="211">
        <v>375</v>
      </c>
      <c r="L47" s="195">
        <v>284</v>
      </c>
      <c r="M47" s="195"/>
      <c r="N47" s="191"/>
      <c r="O47" s="424">
        <v>912</v>
      </c>
      <c r="P47" s="179">
        <v>107</v>
      </c>
      <c r="Q47" s="179"/>
      <c r="R47" s="179">
        <v>418</v>
      </c>
      <c r="S47" s="191"/>
      <c r="T47" s="208"/>
      <c r="U47" s="195"/>
      <c r="V47" s="172"/>
      <c r="W47" s="254">
        <f t="shared" si="29"/>
        <v>4130</v>
      </c>
    </row>
    <row r="48" spans="1:23" s="3" customFormat="1" ht="15" customHeight="1" x14ac:dyDescent="0.25">
      <c r="A48" s="25" t="s">
        <v>0</v>
      </c>
      <c r="B48" s="227">
        <f t="shared" si="30"/>
        <v>44071</v>
      </c>
      <c r="C48" s="208">
        <v>105</v>
      </c>
      <c r="D48" s="195">
        <v>35</v>
      </c>
      <c r="E48" s="195"/>
      <c r="F48" s="179"/>
      <c r="G48" s="191">
        <v>90</v>
      </c>
      <c r="H48" s="217"/>
      <c r="I48" s="204">
        <v>2893</v>
      </c>
      <c r="J48" s="193"/>
      <c r="K48" s="208">
        <v>514</v>
      </c>
      <c r="L48" s="195">
        <v>373</v>
      </c>
      <c r="M48" s="195"/>
      <c r="N48" s="191"/>
      <c r="O48" s="424">
        <v>1010</v>
      </c>
      <c r="P48" s="179">
        <v>157</v>
      </c>
      <c r="Q48" s="179"/>
      <c r="R48" s="179">
        <v>516</v>
      </c>
      <c r="S48" s="191"/>
      <c r="T48" s="208"/>
      <c r="U48" s="195"/>
      <c r="V48" s="172"/>
      <c r="W48" s="254">
        <f t="shared" si="29"/>
        <v>5693</v>
      </c>
    </row>
    <row r="49" spans="1:23" s="3" customFormat="1" ht="15" customHeight="1" x14ac:dyDescent="0.25">
      <c r="A49" s="25" t="s">
        <v>1</v>
      </c>
      <c r="B49" s="227">
        <f t="shared" si="30"/>
        <v>44072</v>
      </c>
      <c r="C49" s="208"/>
      <c r="D49" s="195"/>
      <c r="E49" s="195"/>
      <c r="F49" s="20"/>
      <c r="G49" s="19"/>
      <c r="H49" s="217"/>
      <c r="I49" s="204">
        <v>908</v>
      </c>
      <c r="J49" s="193">
        <v>189</v>
      </c>
      <c r="K49" s="208"/>
      <c r="L49" s="195"/>
      <c r="M49" s="195"/>
      <c r="N49" s="19"/>
      <c r="O49" s="128"/>
      <c r="P49" s="20"/>
      <c r="Q49" s="20"/>
      <c r="R49" s="20"/>
      <c r="S49" s="19"/>
      <c r="T49" s="208"/>
      <c r="U49" s="195"/>
      <c r="V49" s="172"/>
      <c r="W49" s="254">
        <f t="shared" si="29"/>
        <v>1097</v>
      </c>
    </row>
    <row r="50" spans="1:23" s="3" customFormat="1" ht="15" customHeight="1" thickBot="1" x14ac:dyDescent="0.3">
      <c r="A50" s="136" t="s">
        <v>2</v>
      </c>
      <c r="B50" s="227">
        <f t="shared" si="30"/>
        <v>44073</v>
      </c>
      <c r="C50" s="484"/>
      <c r="D50" s="485"/>
      <c r="E50" s="485"/>
      <c r="F50" s="477"/>
      <c r="G50" s="22"/>
      <c r="H50" s="486"/>
      <c r="I50" s="560">
        <v>5769</v>
      </c>
      <c r="J50" s="561">
        <v>3119</v>
      </c>
      <c r="K50" s="484"/>
      <c r="L50" s="485"/>
      <c r="M50" s="485"/>
      <c r="N50" s="22"/>
      <c r="O50" s="478"/>
      <c r="P50" s="477"/>
      <c r="Q50" s="477"/>
      <c r="R50" s="477"/>
      <c r="S50" s="22"/>
      <c r="T50" s="484"/>
      <c r="U50" s="485"/>
      <c r="V50" s="275"/>
      <c r="W50" s="489">
        <f t="shared" si="29"/>
        <v>8888</v>
      </c>
    </row>
    <row r="51" spans="1:23" s="3" customFormat="1" ht="15" customHeight="1" thickBot="1" x14ac:dyDescent="0.3">
      <c r="A51" s="144" t="s">
        <v>20</v>
      </c>
      <c r="B51" s="713" t="s">
        <v>26</v>
      </c>
      <c r="C51" s="450">
        <f t="shared" ref="C51:V51" si="31">SUM(C44:C50)</f>
        <v>500</v>
      </c>
      <c r="D51" s="451">
        <f t="shared" si="31"/>
        <v>223</v>
      </c>
      <c r="E51" s="451">
        <f t="shared" si="31"/>
        <v>0</v>
      </c>
      <c r="F51" s="451">
        <f t="shared" si="31"/>
        <v>0</v>
      </c>
      <c r="G51" s="452">
        <f t="shared" si="31"/>
        <v>622</v>
      </c>
      <c r="H51" s="145">
        <f t="shared" si="31"/>
        <v>0</v>
      </c>
      <c r="I51" s="452">
        <f>SUM(I44:I50)</f>
        <v>18063</v>
      </c>
      <c r="J51" s="452">
        <f>SUM(J44:J50)</f>
        <v>3308</v>
      </c>
      <c r="K51" s="450">
        <f t="shared" si="31"/>
        <v>2049</v>
      </c>
      <c r="L51" s="451">
        <f t="shared" si="31"/>
        <v>1691</v>
      </c>
      <c r="M51" s="451">
        <f t="shared" si="31"/>
        <v>0</v>
      </c>
      <c r="N51" s="452">
        <f t="shared" si="31"/>
        <v>0</v>
      </c>
      <c r="O51" s="145">
        <f t="shared" si="31"/>
        <v>4915</v>
      </c>
      <c r="P51" s="450">
        <f t="shared" si="31"/>
        <v>721</v>
      </c>
      <c r="Q51" s="450">
        <f t="shared" si="31"/>
        <v>0</v>
      </c>
      <c r="R51" s="450">
        <f t="shared" si="31"/>
        <v>2228</v>
      </c>
      <c r="S51" s="450">
        <f t="shared" si="31"/>
        <v>0</v>
      </c>
      <c r="T51" s="450">
        <f t="shared" si="31"/>
        <v>0</v>
      </c>
      <c r="U51" s="450">
        <f t="shared" si="31"/>
        <v>0</v>
      </c>
      <c r="V51" s="480">
        <f t="shared" si="31"/>
        <v>0</v>
      </c>
      <c r="W51" s="481">
        <f>SUM(W44:W50)</f>
        <v>34320</v>
      </c>
    </row>
    <row r="52" spans="1:23" s="3" customFormat="1" ht="15" customHeight="1" thickBot="1" x14ac:dyDescent="0.3">
      <c r="A52" s="101" t="s">
        <v>22</v>
      </c>
      <c r="B52" s="714"/>
      <c r="C52" s="209">
        <f t="shared" ref="C52:W52" si="32">AVERAGE(C44:C50)</f>
        <v>100</v>
      </c>
      <c r="D52" s="201">
        <f t="shared" si="32"/>
        <v>44.6</v>
      </c>
      <c r="E52" s="201" t="e">
        <f t="shared" si="32"/>
        <v>#DIV/0!</v>
      </c>
      <c r="F52" s="201" t="e">
        <f t="shared" si="32"/>
        <v>#DIV/0!</v>
      </c>
      <c r="G52" s="419">
        <f t="shared" si="32"/>
        <v>124.4</v>
      </c>
      <c r="H52" s="417" t="e">
        <f t="shared" si="32"/>
        <v>#DIV/0!</v>
      </c>
      <c r="I52" s="419">
        <f t="shared" si="32"/>
        <v>2580.4285714285716</v>
      </c>
      <c r="J52" s="419">
        <f t="shared" si="32"/>
        <v>1654</v>
      </c>
      <c r="K52" s="209">
        <f t="shared" si="32"/>
        <v>409.8</v>
      </c>
      <c r="L52" s="201">
        <f t="shared" si="32"/>
        <v>338.2</v>
      </c>
      <c r="M52" s="201" t="e">
        <f t="shared" si="32"/>
        <v>#DIV/0!</v>
      </c>
      <c r="N52" s="419" t="e">
        <f t="shared" si="32"/>
        <v>#DIV/0!</v>
      </c>
      <c r="O52" s="417">
        <f t="shared" si="32"/>
        <v>983</v>
      </c>
      <c r="P52" s="209">
        <f t="shared" si="32"/>
        <v>144.19999999999999</v>
      </c>
      <c r="Q52" s="209" t="e">
        <f t="shared" si="32"/>
        <v>#DIV/0!</v>
      </c>
      <c r="R52" s="209">
        <f t="shared" si="32"/>
        <v>445.6</v>
      </c>
      <c r="S52" s="209" t="e">
        <f t="shared" si="32"/>
        <v>#DIV/0!</v>
      </c>
      <c r="T52" s="209" t="e">
        <f t="shared" si="32"/>
        <v>#DIV/0!</v>
      </c>
      <c r="U52" s="209" t="e">
        <f t="shared" si="32"/>
        <v>#DIV/0!</v>
      </c>
      <c r="V52" s="414" t="e">
        <f t="shared" si="32"/>
        <v>#DIV/0!</v>
      </c>
      <c r="W52" s="420">
        <f t="shared" si="32"/>
        <v>4902.8571428571431</v>
      </c>
    </row>
    <row r="53" spans="1:23" s="3" customFormat="1" ht="15" customHeight="1" thickBot="1" x14ac:dyDescent="0.3">
      <c r="A53" s="26" t="s">
        <v>19</v>
      </c>
      <c r="B53" s="714"/>
      <c r="C53" s="210">
        <f t="shared" ref="C53:W53" si="33">SUM(C44:C48)</f>
        <v>500</v>
      </c>
      <c r="D53" s="202">
        <f t="shared" si="33"/>
        <v>223</v>
      </c>
      <c r="E53" s="202">
        <f t="shared" si="33"/>
        <v>0</v>
      </c>
      <c r="F53" s="202">
        <f t="shared" si="33"/>
        <v>0</v>
      </c>
      <c r="G53" s="421">
        <f t="shared" si="33"/>
        <v>622</v>
      </c>
      <c r="H53" s="418">
        <f t="shared" si="33"/>
        <v>0</v>
      </c>
      <c r="I53" s="421">
        <f t="shared" si="33"/>
        <v>11386</v>
      </c>
      <c r="J53" s="421">
        <f t="shared" si="33"/>
        <v>0</v>
      </c>
      <c r="K53" s="210">
        <f t="shared" si="33"/>
        <v>2049</v>
      </c>
      <c r="L53" s="202">
        <f t="shared" si="33"/>
        <v>1691</v>
      </c>
      <c r="M53" s="202">
        <f t="shared" si="33"/>
        <v>0</v>
      </c>
      <c r="N53" s="421">
        <f t="shared" si="33"/>
        <v>0</v>
      </c>
      <c r="O53" s="418">
        <f t="shared" si="33"/>
        <v>4915</v>
      </c>
      <c r="P53" s="210">
        <f t="shared" si="33"/>
        <v>721</v>
      </c>
      <c r="Q53" s="210">
        <f t="shared" si="33"/>
        <v>0</v>
      </c>
      <c r="R53" s="210">
        <f t="shared" si="33"/>
        <v>2228</v>
      </c>
      <c r="S53" s="210">
        <f t="shared" si="33"/>
        <v>0</v>
      </c>
      <c r="T53" s="210">
        <f t="shared" si="33"/>
        <v>0</v>
      </c>
      <c r="U53" s="210">
        <f t="shared" si="33"/>
        <v>0</v>
      </c>
      <c r="V53" s="423">
        <f t="shared" si="33"/>
        <v>0</v>
      </c>
      <c r="W53" s="425">
        <f t="shared" si="33"/>
        <v>24335</v>
      </c>
    </row>
    <row r="54" spans="1:23" s="3" customFormat="1" ht="15" customHeight="1" outlineLevel="1" thickBot="1" x14ac:dyDescent="0.3">
      <c r="A54" s="26" t="s">
        <v>21</v>
      </c>
      <c r="B54" s="714"/>
      <c r="C54" s="37">
        <f t="shared" ref="C54:W54" si="34">AVERAGE(C44:C48)</f>
        <v>100</v>
      </c>
      <c r="D54" s="196">
        <f t="shared" si="34"/>
        <v>44.6</v>
      </c>
      <c r="E54" s="196" t="e">
        <f t="shared" si="34"/>
        <v>#DIV/0!</v>
      </c>
      <c r="F54" s="196" t="e">
        <f t="shared" si="34"/>
        <v>#DIV/0!</v>
      </c>
      <c r="G54" s="422">
        <f t="shared" si="34"/>
        <v>124.4</v>
      </c>
      <c r="H54" s="146" t="e">
        <f t="shared" si="34"/>
        <v>#DIV/0!</v>
      </c>
      <c r="I54" s="422">
        <f t="shared" si="34"/>
        <v>2277.1999999999998</v>
      </c>
      <c r="J54" s="422" t="e">
        <f t="shared" si="34"/>
        <v>#DIV/0!</v>
      </c>
      <c r="K54" s="37">
        <f t="shared" si="34"/>
        <v>409.8</v>
      </c>
      <c r="L54" s="196">
        <f t="shared" si="34"/>
        <v>338.2</v>
      </c>
      <c r="M54" s="196" t="e">
        <f t="shared" si="34"/>
        <v>#DIV/0!</v>
      </c>
      <c r="N54" s="422" t="e">
        <f t="shared" si="34"/>
        <v>#DIV/0!</v>
      </c>
      <c r="O54" s="146">
        <f t="shared" si="34"/>
        <v>983</v>
      </c>
      <c r="P54" s="37">
        <f t="shared" si="34"/>
        <v>144.19999999999999</v>
      </c>
      <c r="Q54" s="37" t="e">
        <f t="shared" si="34"/>
        <v>#DIV/0!</v>
      </c>
      <c r="R54" s="37">
        <f t="shared" si="34"/>
        <v>445.6</v>
      </c>
      <c r="S54" s="37" t="e">
        <f t="shared" si="34"/>
        <v>#DIV/0!</v>
      </c>
      <c r="T54" s="37" t="e">
        <f t="shared" si="34"/>
        <v>#DIV/0!</v>
      </c>
      <c r="U54" s="37" t="e">
        <f t="shared" si="34"/>
        <v>#DIV/0!</v>
      </c>
      <c r="V54" s="460" t="e">
        <f t="shared" si="34"/>
        <v>#DIV/0!</v>
      </c>
      <c r="W54" s="426">
        <f t="shared" si="34"/>
        <v>4867</v>
      </c>
    </row>
    <row r="55" spans="1:23" s="3" customFormat="1" ht="15" customHeight="1" outlineLevel="1" thickBot="1" x14ac:dyDescent="0.3">
      <c r="A55" s="136" t="s">
        <v>3</v>
      </c>
      <c r="B55" s="483">
        <f>B50+1</f>
        <v>44074</v>
      </c>
      <c r="C55" s="127">
        <v>108</v>
      </c>
      <c r="D55" s="14">
        <v>58</v>
      </c>
      <c r="E55" s="14"/>
      <c r="F55" s="14"/>
      <c r="G55" s="13">
        <v>137</v>
      </c>
      <c r="H55" s="127"/>
      <c r="I55" s="13">
        <v>2028</v>
      </c>
      <c r="J55" s="447"/>
      <c r="K55" s="449">
        <v>414</v>
      </c>
      <c r="L55" s="431">
        <v>326</v>
      </c>
      <c r="M55" s="431"/>
      <c r="N55" s="13"/>
      <c r="O55" s="12">
        <v>954</v>
      </c>
      <c r="P55" s="14">
        <v>136</v>
      </c>
      <c r="Q55" s="14"/>
      <c r="R55" s="14">
        <v>448</v>
      </c>
      <c r="S55" s="56"/>
      <c r="T55" s="14"/>
      <c r="U55" s="14"/>
      <c r="V55" s="56"/>
      <c r="W55" s="16">
        <f t="shared" ref="W55:W61" si="35">SUM(C55:V55)</f>
        <v>4609</v>
      </c>
    </row>
    <row r="56" spans="1:23" s="3" customFormat="1" ht="15" hidden="1" customHeight="1" outlineLevel="1" x14ac:dyDescent="0.25">
      <c r="A56" s="136" t="s">
        <v>4</v>
      </c>
      <c r="B56" s="160">
        <f>B55+1</f>
        <v>44075</v>
      </c>
      <c r="C56" s="128"/>
      <c r="D56" s="20"/>
      <c r="E56" s="20"/>
      <c r="F56" s="20"/>
      <c r="G56" s="19"/>
      <c r="H56" s="128"/>
      <c r="I56" s="19"/>
      <c r="J56" s="447"/>
      <c r="K56" s="449"/>
      <c r="L56" s="431"/>
      <c r="M56" s="431"/>
      <c r="N56" s="13"/>
      <c r="O56" s="18"/>
      <c r="P56" s="20"/>
      <c r="Q56" s="20"/>
      <c r="R56" s="20"/>
      <c r="S56" s="57"/>
      <c r="T56" s="20"/>
      <c r="U56" s="20"/>
      <c r="V56" s="57"/>
      <c r="W56" s="254">
        <f t="shared" si="35"/>
        <v>0</v>
      </c>
    </row>
    <row r="57" spans="1:23" s="3" customFormat="1" ht="15" hidden="1" customHeight="1" outlineLevel="1" x14ac:dyDescent="0.25">
      <c r="A57" s="136" t="s">
        <v>5</v>
      </c>
      <c r="B57" s="160">
        <f t="shared" ref="B57:B61" si="36">B56+1</f>
        <v>44076</v>
      </c>
      <c r="C57" s="128"/>
      <c r="D57" s="20"/>
      <c r="E57" s="20"/>
      <c r="F57" s="20"/>
      <c r="G57" s="19"/>
      <c r="H57" s="128"/>
      <c r="I57" s="19"/>
      <c r="J57" s="447"/>
      <c r="K57" s="449"/>
      <c r="L57" s="431"/>
      <c r="M57" s="431"/>
      <c r="N57" s="13"/>
      <c r="O57" s="18"/>
      <c r="P57" s="20"/>
      <c r="Q57" s="20"/>
      <c r="R57" s="20"/>
      <c r="S57" s="57"/>
      <c r="T57" s="20"/>
      <c r="U57" s="20"/>
      <c r="V57" s="57"/>
      <c r="W57" s="254">
        <f t="shared" si="35"/>
        <v>0</v>
      </c>
    </row>
    <row r="58" spans="1:23" s="3" customFormat="1" ht="15" hidden="1" customHeight="1" x14ac:dyDescent="0.25">
      <c r="A58" s="136" t="s">
        <v>6</v>
      </c>
      <c r="B58" s="160">
        <f t="shared" si="36"/>
        <v>44077</v>
      </c>
      <c r="C58" s="128"/>
      <c r="D58" s="20"/>
      <c r="E58" s="20"/>
      <c r="F58" s="20"/>
      <c r="G58" s="19"/>
      <c r="H58" s="128"/>
      <c r="I58" s="19"/>
      <c r="J58" s="447"/>
      <c r="K58" s="12"/>
      <c r="L58" s="14"/>
      <c r="M58" s="14"/>
      <c r="N58" s="13"/>
      <c r="O58" s="18"/>
      <c r="P58" s="20"/>
      <c r="Q58" s="20"/>
      <c r="R58" s="20"/>
      <c r="S58" s="57"/>
      <c r="T58" s="20"/>
      <c r="U58" s="20"/>
      <c r="V58" s="57"/>
      <c r="W58" s="254">
        <f>SUM(C58:V58)</f>
        <v>0</v>
      </c>
    </row>
    <row r="59" spans="1:23" s="3" customFormat="1" ht="15" hidden="1" customHeight="1" thickBot="1" x14ac:dyDescent="0.3">
      <c r="A59" s="136" t="s">
        <v>0</v>
      </c>
      <c r="B59" s="402">
        <f t="shared" si="36"/>
        <v>44078</v>
      </c>
      <c r="C59" s="128"/>
      <c r="D59" s="20"/>
      <c r="E59" s="20"/>
      <c r="F59" s="20"/>
      <c r="G59" s="19"/>
      <c r="H59" s="128"/>
      <c r="I59" s="19"/>
      <c r="J59" s="447"/>
      <c r="K59" s="12"/>
      <c r="L59" s="14"/>
      <c r="M59" s="14"/>
      <c r="N59" s="13"/>
      <c r="O59" s="18"/>
      <c r="P59" s="20"/>
      <c r="Q59" s="20"/>
      <c r="R59" s="20"/>
      <c r="S59" s="57"/>
      <c r="T59" s="20"/>
      <c r="U59" s="20"/>
      <c r="V59" s="57"/>
      <c r="W59" s="476">
        <f t="shared" si="35"/>
        <v>0</v>
      </c>
    </row>
    <row r="60" spans="1:23" s="3" customFormat="1" ht="15" hidden="1" customHeight="1" thickBot="1" x14ac:dyDescent="0.3">
      <c r="A60" s="136" t="s">
        <v>1</v>
      </c>
      <c r="B60" s="482">
        <f t="shared" si="36"/>
        <v>44079</v>
      </c>
      <c r="C60" s="18"/>
      <c r="D60" s="20"/>
      <c r="E60" s="20"/>
      <c r="F60" s="20"/>
      <c r="G60" s="19"/>
      <c r="H60" s="128"/>
      <c r="I60" s="19"/>
      <c r="J60" s="123"/>
      <c r="K60" s="18"/>
      <c r="L60" s="20"/>
      <c r="M60" s="20"/>
      <c r="N60" s="19"/>
      <c r="O60" s="18"/>
      <c r="P60" s="20"/>
      <c r="Q60" s="20"/>
      <c r="R60" s="20"/>
      <c r="S60" s="57"/>
      <c r="T60" s="20"/>
      <c r="U60" s="20"/>
      <c r="V60" s="57"/>
      <c r="W60" s="16"/>
    </row>
    <row r="61" spans="1:23" s="3" customFormat="1" ht="15" hidden="1" customHeight="1" thickBot="1" x14ac:dyDescent="0.3">
      <c r="A61" s="136" t="s">
        <v>2</v>
      </c>
      <c r="B61" s="225">
        <f t="shared" si="36"/>
        <v>44080</v>
      </c>
      <c r="C61" s="21"/>
      <c r="D61" s="477"/>
      <c r="E61" s="477"/>
      <c r="F61" s="477"/>
      <c r="G61" s="22"/>
      <c r="H61" s="478"/>
      <c r="I61" s="22"/>
      <c r="J61" s="448"/>
      <c r="K61" s="21"/>
      <c r="L61" s="477"/>
      <c r="M61" s="477"/>
      <c r="N61" s="22"/>
      <c r="O61" s="21"/>
      <c r="P61" s="477"/>
      <c r="Q61" s="477"/>
      <c r="R61" s="477"/>
      <c r="S61" s="479"/>
      <c r="T61" s="477"/>
      <c r="U61" s="477"/>
      <c r="V61" s="479"/>
      <c r="W61" s="58">
        <f t="shared" si="35"/>
        <v>0</v>
      </c>
    </row>
    <row r="62" spans="1:23" s="3" customFormat="1" ht="15.75" thickBot="1" x14ac:dyDescent="0.3">
      <c r="A62" s="144" t="s">
        <v>20</v>
      </c>
      <c r="B62" s="713" t="s">
        <v>27</v>
      </c>
      <c r="C62" s="450">
        <f t="shared" ref="C62:N62" si="37">SUM(C55:C61)</f>
        <v>108</v>
      </c>
      <c r="D62" s="451">
        <f t="shared" si="37"/>
        <v>58</v>
      </c>
      <c r="E62" s="451">
        <f>SUM(E55:E61)</f>
        <v>0</v>
      </c>
      <c r="F62" s="451">
        <f t="shared" si="37"/>
        <v>0</v>
      </c>
      <c r="G62" s="452">
        <f t="shared" si="37"/>
        <v>137</v>
      </c>
      <c r="H62" s="145">
        <f>SUM(H55:H61)</f>
        <v>0</v>
      </c>
      <c r="I62" s="452">
        <f>SUM(I55:I61)</f>
        <v>2028</v>
      </c>
      <c r="J62" s="452">
        <f>SUM(J55:J61)</f>
        <v>0</v>
      </c>
      <c r="K62" s="450">
        <f t="shared" si="37"/>
        <v>414</v>
      </c>
      <c r="L62" s="451">
        <f t="shared" si="37"/>
        <v>326</v>
      </c>
      <c r="M62" s="451">
        <f t="shared" si="37"/>
        <v>0</v>
      </c>
      <c r="N62" s="452">
        <f t="shared" si="37"/>
        <v>0</v>
      </c>
      <c r="O62" s="450">
        <f>SUM(O55:O61)</f>
        <v>954</v>
      </c>
      <c r="P62" s="450">
        <f t="shared" ref="P62:U62" si="38">SUM(P55:P61)</f>
        <v>136</v>
      </c>
      <c r="Q62" s="450">
        <f t="shared" si="38"/>
        <v>0</v>
      </c>
      <c r="R62" s="450">
        <f t="shared" si="38"/>
        <v>448</v>
      </c>
      <c r="S62" s="450">
        <f t="shared" si="38"/>
        <v>0</v>
      </c>
      <c r="T62" s="450">
        <f t="shared" si="38"/>
        <v>0</v>
      </c>
      <c r="U62" s="450">
        <f t="shared" si="38"/>
        <v>0</v>
      </c>
      <c r="V62" s="480">
        <f>SUM(V55:V61)</f>
        <v>0</v>
      </c>
      <c r="W62" s="481">
        <f>SUM(W55:W61)</f>
        <v>4609</v>
      </c>
    </row>
    <row r="63" spans="1:23" s="3" customFormat="1" ht="15.75" thickBot="1" x14ac:dyDescent="0.3">
      <c r="A63" s="101" t="s">
        <v>22</v>
      </c>
      <c r="B63" s="714"/>
      <c r="C63" s="209">
        <f t="shared" ref="C63:N63" si="39">AVERAGE(C55:C61)</f>
        <v>108</v>
      </c>
      <c r="D63" s="201">
        <f t="shared" si="39"/>
        <v>58</v>
      </c>
      <c r="E63" s="201" t="e">
        <f>AVERAGE(E55:E61)</f>
        <v>#DIV/0!</v>
      </c>
      <c r="F63" s="201" t="e">
        <f t="shared" si="39"/>
        <v>#DIV/0!</v>
      </c>
      <c r="G63" s="419">
        <f t="shared" si="39"/>
        <v>137</v>
      </c>
      <c r="H63" s="417" t="e">
        <f>AVERAGE(H55:H61)</f>
        <v>#DIV/0!</v>
      </c>
      <c r="I63" s="419">
        <f>AVERAGE(I55:I61)</f>
        <v>2028</v>
      </c>
      <c r="J63" s="419" t="e">
        <f>AVERAGE(J55:J61)</f>
        <v>#DIV/0!</v>
      </c>
      <c r="K63" s="453">
        <f t="shared" si="39"/>
        <v>414</v>
      </c>
      <c r="L63" s="454">
        <f t="shared" si="39"/>
        <v>326</v>
      </c>
      <c r="M63" s="454" t="e">
        <f t="shared" si="39"/>
        <v>#DIV/0!</v>
      </c>
      <c r="N63" s="455" t="e">
        <f t="shared" si="39"/>
        <v>#DIV/0!</v>
      </c>
      <c r="O63" s="453">
        <f>AVERAGE(O55:O61)</f>
        <v>954</v>
      </c>
      <c r="P63" s="453">
        <f t="shared" ref="P63:W63" si="40">AVERAGE(P55:P61)</f>
        <v>136</v>
      </c>
      <c r="Q63" s="453" t="e">
        <f t="shared" si="40"/>
        <v>#DIV/0!</v>
      </c>
      <c r="R63" s="453">
        <f t="shared" si="40"/>
        <v>448</v>
      </c>
      <c r="S63" s="453" t="e">
        <f t="shared" si="40"/>
        <v>#DIV/0!</v>
      </c>
      <c r="T63" s="453" t="e">
        <f t="shared" si="40"/>
        <v>#DIV/0!</v>
      </c>
      <c r="U63" s="453" t="e">
        <f t="shared" si="40"/>
        <v>#DIV/0!</v>
      </c>
      <c r="V63" s="461" t="e">
        <f t="shared" si="40"/>
        <v>#DIV/0!</v>
      </c>
      <c r="W63" s="463">
        <f t="shared" si="40"/>
        <v>768.16666666666663</v>
      </c>
    </row>
    <row r="64" spans="1:23" s="3" customFormat="1" ht="15.75" thickBot="1" x14ac:dyDescent="0.3">
      <c r="A64" s="26" t="s">
        <v>19</v>
      </c>
      <c r="B64" s="714"/>
      <c r="C64" s="210">
        <f t="shared" ref="C64:N64" si="41">SUM(C55:C59)</f>
        <v>108</v>
      </c>
      <c r="D64" s="202">
        <f t="shared" si="41"/>
        <v>58</v>
      </c>
      <c r="E64" s="202">
        <f>SUM(E55:E59)</f>
        <v>0</v>
      </c>
      <c r="F64" s="202">
        <f t="shared" si="41"/>
        <v>0</v>
      </c>
      <c r="G64" s="421">
        <f t="shared" si="41"/>
        <v>137</v>
      </c>
      <c r="H64" s="418">
        <f>SUM(H55:H59)</f>
        <v>0</v>
      </c>
      <c r="I64" s="421">
        <f>SUM(I55:I59)</f>
        <v>2028</v>
      </c>
      <c r="J64" s="421">
        <f>SUM(J55:J59)</f>
        <v>0</v>
      </c>
      <c r="K64" s="456">
        <f t="shared" si="41"/>
        <v>414</v>
      </c>
      <c r="L64" s="457">
        <f t="shared" si="41"/>
        <v>326</v>
      </c>
      <c r="M64" s="457">
        <f t="shared" si="41"/>
        <v>0</v>
      </c>
      <c r="N64" s="458">
        <f t="shared" si="41"/>
        <v>0</v>
      </c>
      <c r="O64" s="456">
        <f>SUM(O55:O59)</f>
        <v>954</v>
      </c>
      <c r="P64" s="456">
        <f t="shared" ref="P64:V64" si="42">SUM(P55:P59)</f>
        <v>136</v>
      </c>
      <c r="Q64" s="456">
        <f t="shared" si="42"/>
        <v>0</v>
      </c>
      <c r="R64" s="456">
        <f t="shared" si="42"/>
        <v>448</v>
      </c>
      <c r="S64" s="456">
        <f t="shared" si="42"/>
        <v>0</v>
      </c>
      <c r="T64" s="456">
        <f t="shared" si="42"/>
        <v>0</v>
      </c>
      <c r="U64" s="456">
        <f t="shared" si="42"/>
        <v>0</v>
      </c>
      <c r="V64" s="462">
        <f t="shared" si="42"/>
        <v>0</v>
      </c>
      <c r="W64" s="464">
        <f>SUM(W55:W59)</f>
        <v>4609</v>
      </c>
    </row>
    <row r="65" spans="1:23" s="3" customFormat="1" ht="15.75" outlineLevel="1" thickBot="1" x14ac:dyDescent="0.3">
      <c r="A65" s="26" t="s">
        <v>21</v>
      </c>
      <c r="B65" s="715"/>
      <c r="C65" s="37">
        <f t="shared" ref="C65:N65" si="43">AVERAGE(C55:C59)</f>
        <v>108</v>
      </c>
      <c r="D65" s="196">
        <f t="shared" si="43"/>
        <v>58</v>
      </c>
      <c r="E65" s="196" t="e">
        <f>AVERAGE(E55:E59)</f>
        <v>#DIV/0!</v>
      </c>
      <c r="F65" s="196" t="e">
        <f t="shared" si="43"/>
        <v>#DIV/0!</v>
      </c>
      <c r="G65" s="422">
        <f t="shared" si="43"/>
        <v>137</v>
      </c>
      <c r="H65" s="146" t="e">
        <f>AVERAGE(H55:H59)</f>
        <v>#DIV/0!</v>
      </c>
      <c r="I65" s="422">
        <f>AVERAGE(I55:I59)</f>
        <v>2028</v>
      </c>
      <c r="J65" s="422" t="e">
        <f>AVERAGE(J55:J59)</f>
        <v>#DIV/0!</v>
      </c>
      <c r="K65" s="37">
        <f t="shared" si="43"/>
        <v>414</v>
      </c>
      <c r="L65" s="196">
        <f t="shared" si="43"/>
        <v>326</v>
      </c>
      <c r="M65" s="196" t="e">
        <f t="shared" si="43"/>
        <v>#DIV/0!</v>
      </c>
      <c r="N65" s="422" t="e">
        <f t="shared" si="43"/>
        <v>#DIV/0!</v>
      </c>
      <c r="O65" s="37">
        <f>AVERAGE(O55:O59)</f>
        <v>954</v>
      </c>
      <c r="P65" s="37">
        <f t="shared" ref="P65:W65" si="44">AVERAGE(P55:P59)</f>
        <v>136</v>
      </c>
      <c r="Q65" s="37" t="e">
        <f t="shared" si="44"/>
        <v>#DIV/0!</v>
      </c>
      <c r="R65" s="37">
        <f t="shared" si="44"/>
        <v>448</v>
      </c>
      <c r="S65" s="37" t="e">
        <f t="shared" si="44"/>
        <v>#DIV/0!</v>
      </c>
      <c r="T65" s="37" t="e">
        <f t="shared" si="44"/>
        <v>#DIV/0!</v>
      </c>
      <c r="U65" s="37" t="e">
        <f t="shared" si="44"/>
        <v>#DIV/0!</v>
      </c>
      <c r="V65" s="460" t="e">
        <f t="shared" si="44"/>
        <v>#DIV/0!</v>
      </c>
      <c r="W65" s="426">
        <f t="shared" si="44"/>
        <v>921.8</v>
      </c>
    </row>
    <row r="66" spans="1:23" s="3" customFormat="1" ht="15.75" outlineLevel="1" thickBot="1" x14ac:dyDescent="0.3">
      <c r="A66" s="4"/>
      <c r="B66" s="1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46"/>
      <c r="P66" s="46"/>
      <c r="Q66" s="46"/>
      <c r="R66" s="46"/>
      <c r="S66" s="46"/>
      <c r="T66" s="46"/>
      <c r="U66" s="46"/>
      <c r="V66" s="46"/>
      <c r="W66" s="46"/>
    </row>
    <row r="67" spans="1:23" s="3" customFormat="1" ht="39" outlineLevel="1" thickBot="1" x14ac:dyDescent="0.3">
      <c r="A67" s="4"/>
      <c r="B67" s="119"/>
      <c r="C67" s="518"/>
      <c r="D67" s="510" t="s">
        <v>10</v>
      </c>
      <c r="E67" s="511" t="s">
        <v>83</v>
      </c>
      <c r="F67" s="511" t="s">
        <v>9</v>
      </c>
      <c r="G67" s="512" t="s">
        <v>8</v>
      </c>
      <c r="H67" s="511" t="s">
        <v>30</v>
      </c>
      <c r="I67" s="513" t="s">
        <v>120</v>
      </c>
      <c r="K67" s="54"/>
      <c r="L67" s="743" t="s">
        <v>55</v>
      </c>
      <c r="M67" s="744"/>
      <c r="N67" s="745"/>
      <c r="O67" s="54"/>
      <c r="P67" s="54"/>
      <c r="Q67" s="54"/>
    </row>
    <row r="68" spans="1:23" s="3" customFormat="1" ht="25.5" outlineLevel="1" x14ac:dyDescent="0.25">
      <c r="A68" s="1"/>
      <c r="B68" s="120"/>
      <c r="C68" s="519" t="s">
        <v>113</v>
      </c>
      <c r="D68" s="516">
        <f>SUM(C7:G7,C18:G18,C29:G29,C40:G40,C51:G51,C62:G62)</f>
        <v>5514</v>
      </c>
      <c r="E68" s="508">
        <f>SUM(,H51, H40, H29, H18, ,H62)</f>
        <v>0</v>
      </c>
      <c r="F68" s="508">
        <f>SUM(,K51:N51, K40:N40, K29:N29, K18:N18, K62:N62 )</f>
        <v>15303</v>
      </c>
      <c r="G68" s="508">
        <f>SUM(,O51:V51, O40:V40, O29:V29, O18:V18, O62:V62  )</f>
        <v>30467</v>
      </c>
      <c r="H68" s="509">
        <f>SUM(I7,,I18,I29,I40,I51,I62)</f>
        <v>80672</v>
      </c>
      <c r="I68" s="514">
        <f>SUM(J7,J18,J29,J40,J51,J62)</f>
        <v>17027</v>
      </c>
      <c r="J68" s="1"/>
      <c r="K68" s="55"/>
      <c r="L68" s="678" t="s">
        <v>29</v>
      </c>
      <c r="M68" s="679"/>
      <c r="N68" s="411">
        <f>SUM(W20,W31,W42,W53,W64)</f>
        <v>94393</v>
      </c>
      <c r="O68" s="55"/>
      <c r="P68" s="55"/>
      <c r="Q68" s="55"/>
      <c r="R68" s="1"/>
      <c r="S68" s="1"/>
      <c r="T68" s="1"/>
      <c r="U68" s="1"/>
      <c r="V68" s="1"/>
      <c r="W68" s="1"/>
    </row>
    <row r="69" spans="1:23" s="3" customFormat="1" ht="26.25" thickBot="1" x14ac:dyDescent="0.3">
      <c r="A69" s="1"/>
      <c r="B69" s="120"/>
      <c r="C69" s="520" t="s">
        <v>29</v>
      </c>
      <c r="D69" s="517">
        <f>SUM(,C53:G53, C42:G42, C31:G31, C20:G20,, C64:G64)</f>
        <v>5514</v>
      </c>
      <c r="E69" s="409">
        <f>SUM(H53, H42, H31, H20, ,H64)</f>
        <v>0</v>
      </c>
      <c r="F69" s="409">
        <f>SUM(K53:N53, K42:N42, K31:N31, K20:N20,, K64:N64)</f>
        <v>15303</v>
      </c>
      <c r="G69" s="409">
        <f>SUM(O53:V53, O42:V42, O31:V31, O20:V20, O64:V64 )</f>
        <v>30467</v>
      </c>
      <c r="H69" s="303">
        <f>SUM(,I20,I31,I42,I53,I64,)</f>
        <v>43109</v>
      </c>
      <c r="I69" s="515">
        <f>SUM(,J20,J31,J42,J53,J64,)</f>
        <v>0</v>
      </c>
      <c r="J69" s="1"/>
      <c r="K69" s="55"/>
      <c r="L69" s="678" t="s">
        <v>113</v>
      </c>
      <c r="M69" s="679"/>
      <c r="N69" s="391">
        <f>SUM(W7,W18,W29,W40,W51,W62)</f>
        <v>148983</v>
      </c>
      <c r="O69" s="55"/>
      <c r="P69" s="55"/>
      <c r="Q69" s="55"/>
      <c r="R69" s="1"/>
      <c r="S69" s="1"/>
      <c r="T69" s="1"/>
      <c r="U69" s="1"/>
      <c r="V69" s="1"/>
      <c r="W69" s="1"/>
    </row>
    <row r="70" spans="1:23" s="3" customFormat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1"/>
      <c r="L70" s="678" t="s">
        <v>21</v>
      </c>
      <c r="M70" s="679"/>
      <c r="N70" s="391">
        <f>AVERAGE(W21,W32,W54,W43,W65)</f>
        <v>3775.7200000000003</v>
      </c>
      <c r="O70" s="11"/>
      <c r="P70" s="11"/>
      <c r="Q70" s="11"/>
      <c r="R70" s="1"/>
      <c r="S70" s="1"/>
      <c r="T70" s="1"/>
      <c r="U70" s="1"/>
      <c r="V70" s="1"/>
      <c r="W70" s="1"/>
    </row>
    <row r="71" spans="1:23" s="3" customFormat="1" ht="15.75" thickBot="1" x14ac:dyDescent="0.3">
      <c r="A71" s="1"/>
      <c r="B71" s="120"/>
      <c r="C71" s="1"/>
      <c r="D71" s="1"/>
      <c r="E71" s="1"/>
      <c r="F71" s="1"/>
      <c r="G71" s="1"/>
      <c r="H71" s="1"/>
      <c r="I71" s="1"/>
      <c r="J71" s="1"/>
      <c r="K71" s="11"/>
      <c r="L71" s="680" t="s">
        <v>119</v>
      </c>
      <c r="M71" s="681"/>
      <c r="N71" s="306">
        <f>AVERAGE(W19,W30,W41,W52,W63)</f>
        <v>4044.0619047619052</v>
      </c>
      <c r="O71" s="11"/>
      <c r="P71" s="11"/>
      <c r="Q71" s="11"/>
      <c r="R71" s="1"/>
      <c r="S71" s="1"/>
      <c r="T71" s="1"/>
      <c r="U71" s="1"/>
      <c r="V71" s="1"/>
      <c r="W71" s="1"/>
    </row>
    <row r="72" spans="1:23" s="3" customFormat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outlineLevel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outlineLevel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3" customFormat="1" outlineLevel="1" x14ac:dyDescent="0.25">
      <c r="A78" s="1"/>
      <c r="B78" s="12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3" customFormat="1" outlineLevel="1" x14ac:dyDescent="0.25">
      <c r="A79" s="1"/>
      <c r="B79" s="12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3" customFormat="1" x14ac:dyDescent="0.25">
      <c r="A80" s="1"/>
      <c r="B80" s="1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3" customFormat="1" x14ac:dyDescent="0.25">
      <c r="A81" s="1"/>
      <c r="B81" s="12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3" customFormat="1" ht="21" customHeight="1" x14ac:dyDescent="0.25">
      <c r="A82" s="1"/>
      <c r="B82" s="12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3" customFormat="1" ht="40.5" customHeight="1" x14ac:dyDescent="0.25">
      <c r="A83" s="1"/>
      <c r="B83" s="12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29.25" customHeight="1" x14ac:dyDescent="0.25"/>
    <row r="85" spans="1:23" ht="29.25" customHeight="1" x14ac:dyDescent="0.25"/>
    <row r="86" spans="1:23" ht="30" customHeight="1" x14ac:dyDescent="0.25"/>
    <row r="87" spans="1:23" ht="30" customHeight="1" x14ac:dyDescent="0.25"/>
    <row r="88" spans="1:23" ht="30" customHeight="1" x14ac:dyDescent="0.25"/>
  </sheetData>
  <mergeCells count="39">
    <mergeCell ref="L67:N67"/>
    <mergeCell ref="L68:M68"/>
    <mergeCell ref="L69:M69"/>
    <mergeCell ref="L70:M70"/>
    <mergeCell ref="L71:M71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B7:B10"/>
    <mergeCell ref="N3:N4"/>
    <mergeCell ref="F3:F4"/>
    <mergeCell ref="G3:G4"/>
    <mergeCell ref="A3:A4"/>
    <mergeCell ref="B3:B4"/>
    <mergeCell ref="J3:J4"/>
    <mergeCell ref="B29:B32"/>
    <mergeCell ref="B51:B54"/>
    <mergeCell ref="B62:B65"/>
    <mergeCell ref="B40:B43"/>
    <mergeCell ref="B18:B21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A56" sqref="A56:XFD59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152"/>
      <c r="C1" s="718" t="s">
        <v>10</v>
      </c>
      <c r="D1" s="726"/>
      <c r="E1" s="718" t="s">
        <v>130</v>
      </c>
      <c r="F1" s="726"/>
      <c r="G1" s="718" t="s">
        <v>14</v>
      </c>
      <c r="H1" s="726"/>
      <c r="I1" s="732" t="s">
        <v>18</v>
      </c>
    </row>
    <row r="2" spans="1:10" ht="14.25" customHeight="1" thickBot="1" x14ac:dyDescent="0.3">
      <c r="A2" s="24"/>
      <c r="B2" s="153"/>
      <c r="C2" s="749"/>
      <c r="D2" s="750"/>
      <c r="E2" s="749"/>
      <c r="F2" s="750"/>
      <c r="G2" s="749"/>
      <c r="H2" s="750"/>
      <c r="I2" s="733"/>
    </row>
    <row r="3" spans="1:10" ht="14.25" customHeight="1" x14ac:dyDescent="0.25">
      <c r="A3" s="646" t="s">
        <v>50</v>
      </c>
      <c r="B3" s="756" t="s">
        <v>51</v>
      </c>
      <c r="C3" s="754" t="s">
        <v>40</v>
      </c>
      <c r="D3" s="657" t="s">
        <v>41</v>
      </c>
      <c r="E3" s="754" t="s">
        <v>40</v>
      </c>
      <c r="F3" s="657" t="s">
        <v>41</v>
      </c>
      <c r="G3" s="754" t="s">
        <v>52</v>
      </c>
      <c r="H3" s="657" t="s">
        <v>41</v>
      </c>
      <c r="I3" s="733"/>
    </row>
    <row r="4" spans="1:10" ht="14.25" thickBot="1" x14ac:dyDescent="0.3">
      <c r="A4" s="710"/>
      <c r="B4" s="757"/>
      <c r="C4" s="649"/>
      <c r="D4" s="755"/>
      <c r="E4" s="649"/>
      <c r="F4" s="755"/>
      <c r="G4" s="649"/>
      <c r="H4" s="755"/>
      <c r="I4" s="734"/>
    </row>
    <row r="5" spans="1:10" ht="13.5" x14ac:dyDescent="0.25">
      <c r="A5" s="371" t="s">
        <v>1</v>
      </c>
      <c r="B5" s="368">
        <v>44044</v>
      </c>
      <c r="C5" s="438"/>
      <c r="D5" s="537">
        <v>461</v>
      </c>
      <c r="E5" s="438"/>
      <c r="F5" s="439"/>
      <c r="G5" s="441"/>
      <c r="H5" s="439">
        <v>618</v>
      </c>
      <c r="I5" s="433">
        <f>SUM(C5:H5)</f>
        <v>1079</v>
      </c>
    </row>
    <row r="6" spans="1:10" ht="14.25" thickBot="1" x14ac:dyDescent="0.3">
      <c r="A6" s="371" t="s">
        <v>2</v>
      </c>
      <c r="B6" s="368">
        <v>44045</v>
      </c>
      <c r="C6" s="467"/>
      <c r="D6" s="538">
        <v>181</v>
      </c>
      <c r="E6" s="535"/>
      <c r="F6" s="536"/>
      <c r="G6" s="541"/>
      <c r="H6" s="536">
        <v>279</v>
      </c>
      <c r="I6" s="433">
        <f>SUM(C6:H6)</f>
        <v>460</v>
      </c>
    </row>
    <row r="7" spans="1:10" s="43" customFormat="1" ht="15" customHeight="1" outlineLevel="1" thickBot="1" x14ac:dyDescent="0.3">
      <c r="A7" s="144" t="s">
        <v>20</v>
      </c>
      <c r="B7" s="746" t="s">
        <v>118</v>
      </c>
      <c r="C7" s="250">
        <f>SUM(C5)</f>
        <v>0</v>
      </c>
      <c r="D7" s="532">
        <f>SUM(D5:D6)</f>
        <v>642</v>
      </c>
      <c r="E7" s="250">
        <f t="shared" ref="E7:F7" si="0">SUM(E5)</f>
        <v>0</v>
      </c>
      <c r="F7" s="271">
        <f t="shared" si="0"/>
        <v>0</v>
      </c>
      <c r="G7" s="442">
        <f>SUM(G5)</f>
        <v>0</v>
      </c>
      <c r="H7" s="271">
        <f>SUM(H5:H6)</f>
        <v>897</v>
      </c>
      <c r="I7" s="434">
        <f>SUM(I5:I6)</f>
        <v>1539</v>
      </c>
    </row>
    <row r="8" spans="1:10" s="43" customFormat="1" ht="15" customHeight="1" outlineLevel="1" thickBot="1" x14ac:dyDescent="0.3">
      <c r="A8" s="101" t="s">
        <v>22</v>
      </c>
      <c r="B8" s="747"/>
      <c r="C8" s="250" t="e">
        <f>AVERAGE(C5)</f>
        <v>#DIV/0!</v>
      </c>
      <c r="D8" s="532">
        <f>AVERAGE(D5)</f>
        <v>461</v>
      </c>
      <c r="E8" s="250" t="e">
        <f t="shared" ref="E8:F8" si="1">AVERAGE(E5)</f>
        <v>#DIV/0!</v>
      </c>
      <c r="F8" s="271" t="e">
        <f t="shared" si="1"/>
        <v>#DIV/0!</v>
      </c>
      <c r="G8" s="442" t="e">
        <f>AVERAGE(G5)</f>
        <v>#DIV/0!</v>
      </c>
      <c r="H8" s="271">
        <f>AVERAGE(H5)</f>
        <v>618</v>
      </c>
      <c r="I8" s="434">
        <f>AVERAGE(I5:I6)</f>
        <v>769.5</v>
      </c>
    </row>
    <row r="9" spans="1:10" s="43" customFormat="1" ht="15" customHeight="1" thickBot="1" x14ac:dyDescent="0.3">
      <c r="A9" s="26" t="s">
        <v>19</v>
      </c>
      <c r="B9" s="747"/>
      <c r="C9" s="251" t="e">
        <f>SUM(#REF!)</f>
        <v>#REF!</v>
      </c>
      <c r="D9" s="533" t="e">
        <f>SUM(#REF!)</f>
        <v>#REF!</v>
      </c>
      <c r="E9" s="251" t="e">
        <f>SUM(#REF!)</f>
        <v>#REF!</v>
      </c>
      <c r="F9" s="269" t="e">
        <f>SUM(#REF!)</f>
        <v>#REF!</v>
      </c>
      <c r="G9" s="443" t="e">
        <f>SUM(#REF!)</f>
        <v>#REF!</v>
      </c>
      <c r="H9" s="269" t="e">
        <f>SUM(#REF!)</f>
        <v>#REF!</v>
      </c>
      <c r="I9" s="435" t="e">
        <f>SUM(#REF!)</f>
        <v>#REF!</v>
      </c>
    </row>
    <row r="10" spans="1:10" s="43" customFormat="1" ht="15" customHeight="1" thickBot="1" x14ac:dyDescent="0.3">
      <c r="A10" s="26" t="s">
        <v>21</v>
      </c>
      <c r="B10" s="748"/>
      <c r="C10" s="251" t="e">
        <f>AVERAGE(#REF!)</f>
        <v>#REF!</v>
      </c>
      <c r="D10" s="533" t="e">
        <f>AVERAGE(#REF!)</f>
        <v>#REF!</v>
      </c>
      <c r="E10" s="251" t="e">
        <f>AVERAGE(#REF!)</f>
        <v>#REF!</v>
      </c>
      <c r="F10" s="269" t="e">
        <f>AVERAGE(#REF!)</f>
        <v>#REF!</v>
      </c>
      <c r="G10" s="443" t="e">
        <f>AVERAGE(#REF!)</f>
        <v>#REF!</v>
      </c>
      <c r="H10" s="269" t="e">
        <f>AVERAGE(#REF!)</f>
        <v>#REF!</v>
      </c>
      <c r="I10" s="435" t="e">
        <f>AVERAGE(#REF!)</f>
        <v>#REF!</v>
      </c>
    </row>
    <row r="11" spans="1:10" s="42" customFormat="1" ht="13.5" x14ac:dyDescent="0.25">
      <c r="A11" s="25" t="s">
        <v>3</v>
      </c>
      <c r="B11" s="322">
        <v>44046</v>
      </c>
      <c r="C11" s="18"/>
      <c r="D11" s="57">
        <v>340</v>
      </c>
      <c r="E11" s="18"/>
      <c r="F11" s="19"/>
      <c r="G11" s="128"/>
      <c r="H11" s="19">
        <v>398</v>
      </c>
      <c r="I11" s="436">
        <f t="shared" ref="I11:I17" si="2">SUM(C11:H11)</f>
        <v>738</v>
      </c>
    </row>
    <row r="12" spans="1:10" s="42" customFormat="1" ht="13.5" x14ac:dyDescent="0.25">
      <c r="A12" s="25" t="s">
        <v>4</v>
      </c>
      <c r="B12" s="222">
        <v>44047</v>
      </c>
      <c r="C12" s="249"/>
      <c r="D12" s="539">
        <v>0</v>
      </c>
      <c r="E12" s="249"/>
      <c r="F12" s="272"/>
      <c r="G12" s="444"/>
      <c r="H12" s="272">
        <v>0</v>
      </c>
      <c r="I12" s="436">
        <f t="shared" si="2"/>
        <v>0</v>
      </c>
    </row>
    <row r="13" spans="1:10" s="42" customFormat="1" ht="13.5" x14ac:dyDescent="0.25">
      <c r="A13" s="25" t="s">
        <v>5</v>
      </c>
      <c r="B13" s="222">
        <v>44048</v>
      </c>
      <c r="C13" s="249"/>
      <c r="D13" s="539">
        <v>344</v>
      </c>
      <c r="E13" s="249"/>
      <c r="F13" s="272"/>
      <c r="G13" s="444"/>
      <c r="H13" s="272">
        <v>427</v>
      </c>
      <c r="I13" s="436">
        <f t="shared" si="2"/>
        <v>771</v>
      </c>
    </row>
    <row r="14" spans="1:10" s="42" customFormat="1" ht="13.5" x14ac:dyDescent="0.25">
      <c r="A14" s="25" t="s">
        <v>6</v>
      </c>
      <c r="B14" s="222">
        <v>44049</v>
      </c>
      <c r="C14" s="249"/>
      <c r="D14" s="539">
        <v>395</v>
      </c>
      <c r="E14" s="249"/>
      <c r="F14" s="272"/>
      <c r="G14" s="444"/>
      <c r="H14" s="272">
        <v>370</v>
      </c>
      <c r="I14" s="436">
        <f t="shared" si="2"/>
        <v>765</v>
      </c>
      <c r="J14" s="137"/>
    </row>
    <row r="15" spans="1:10" s="42" customFormat="1" ht="13.5" x14ac:dyDescent="0.25">
      <c r="A15" s="25" t="s">
        <v>0</v>
      </c>
      <c r="B15" s="227">
        <v>44050</v>
      </c>
      <c r="C15" s="249"/>
      <c r="D15" s="539">
        <v>359</v>
      </c>
      <c r="E15" s="249"/>
      <c r="F15" s="272"/>
      <c r="G15" s="444"/>
      <c r="H15" s="272">
        <v>339</v>
      </c>
      <c r="I15" s="436">
        <f t="shared" si="2"/>
        <v>698</v>
      </c>
      <c r="J15" s="137"/>
    </row>
    <row r="16" spans="1:10" s="42" customFormat="1" ht="13.5" outlineLevel="1" x14ac:dyDescent="0.25">
      <c r="A16" s="25" t="s">
        <v>1</v>
      </c>
      <c r="B16" s="227">
        <v>44051</v>
      </c>
      <c r="C16" s="249"/>
      <c r="D16" s="539">
        <v>411</v>
      </c>
      <c r="E16" s="249"/>
      <c r="F16" s="272"/>
      <c r="G16" s="444"/>
      <c r="H16" s="272">
        <v>367</v>
      </c>
      <c r="I16" s="436">
        <f t="shared" si="2"/>
        <v>778</v>
      </c>
      <c r="J16" s="137"/>
    </row>
    <row r="17" spans="1:10" s="42" customFormat="1" ht="15" customHeight="1" outlineLevel="1" thickBot="1" x14ac:dyDescent="0.3">
      <c r="A17" s="136" t="s">
        <v>2</v>
      </c>
      <c r="B17" s="227">
        <v>44052</v>
      </c>
      <c r="C17" s="249"/>
      <c r="D17" s="539">
        <v>625</v>
      </c>
      <c r="E17" s="249"/>
      <c r="F17" s="272"/>
      <c r="G17" s="444"/>
      <c r="H17" s="272">
        <v>597</v>
      </c>
      <c r="I17" s="436">
        <f t="shared" si="2"/>
        <v>1222</v>
      </c>
      <c r="J17" s="137"/>
    </row>
    <row r="18" spans="1:10" s="43" customFormat="1" ht="15" customHeight="1" outlineLevel="1" thickBot="1" x14ac:dyDescent="0.3">
      <c r="A18" s="144" t="s">
        <v>20</v>
      </c>
      <c r="B18" s="695" t="s">
        <v>23</v>
      </c>
      <c r="C18" s="250">
        <f>SUM(C11:C17)</f>
        <v>0</v>
      </c>
      <c r="D18" s="532">
        <f>SUM(D11:D17)</f>
        <v>2474</v>
      </c>
      <c r="E18" s="250">
        <f t="shared" ref="E18:F18" si="3">SUM(E11:E17)</f>
        <v>0</v>
      </c>
      <c r="F18" s="271">
        <f t="shared" si="3"/>
        <v>0</v>
      </c>
      <c r="G18" s="442">
        <f>SUM(G11:G17)</f>
        <v>0</v>
      </c>
      <c r="H18" s="271">
        <f>SUM(H11:H17)</f>
        <v>2498</v>
      </c>
      <c r="I18" s="434">
        <f>SUM(I11:I17)</f>
        <v>4972</v>
      </c>
    </row>
    <row r="19" spans="1:10" s="43" customFormat="1" ht="15" customHeight="1" outlineLevel="1" thickBot="1" x14ac:dyDescent="0.3">
      <c r="A19" s="101" t="s">
        <v>22</v>
      </c>
      <c r="B19" s="695"/>
      <c r="C19" s="250" t="e">
        <f>AVERAGE(C11:C17)</f>
        <v>#DIV/0!</v>
      </c>
      <c r="D19" s="532">
        <f>AVERAGE(D11:D17)</f>
        <v>353.42857142857144</v>
      </c>
      <c r="E19" s="250" t="e">
        <f t="shared" ref="E19:F19" si="4">AVERAGE(E11:E17)</f>
        <v>#DIV/0!</v>
      </c>
      <c r="F19" s="271" t="e">
        <f t="shared" si="4"/>
        <v>#DIV/0!</v>
      </c>
      <c r="G19" s="442" t="e">
        <f>AVERAGE(G11:G17)</f>
        <v>#DIV/0!</v>
      </c>
      <c r="H19" s="271">
        <f>AVERAGE(H11:H17)</f>
        <v>356.85714285714283</v>
      </c>
      <c r="I19" s="434">
        <f>AVERAGE(I11:I17)</f>
        <v>710.28571428571433</v>
      </c>
    </row>
    <row r="20" spans="1:10" s="43" customFormat="1" ht="15" customHeight="1" thickBot="1" x14ac:dyDescent="0.3">
      <c r="A20" s="26" t="s">
        <v>19</v>
      </c>
      <c r="B20" s="695"/>
      <c r="C20" s="251">
        <f>SUM(C11:C15)</f>
        <v>0</v>
      </c>
      <c r="D20" s="533">
        <f>SUM(D11:D15)</f>
        <v>1438</v>
      </c>
      <c r="E20" s="251">
        <f t="shared" ref="E20:F20" si="5">SUM(E11:E15)</f>
        <v>0</v>
      </c>
      <c r="F20" s="269">
        <f t="shared" si="5"/>
        <v>0</v>
      </c>
      <c r="G20" s="443">
        <f>SUM(G11:G15)</f>
        <v>0</v>
      </c>
      <c r="H20" s="269">
        <f>SUM(H11:H15)</f>
        <v>1534</v>
      </c>
      <c r="I20" s="435">
        <f>SUM(I11:I15)</f>
        <v>2972</v>
      </c>
    </row>
    <row r="21" spans="1:10" s="43" customFormat="1" ht="15" customHeight="1" thickBot="1" x14ac:dyDescent="0.3">
      <c r="A21" s="26" t="s">
        <v>21</v>
      </c>
      <c r="B21" s="695"/>
      <c r="C21" s="251" t="e">
        <f>AVERAGE(C11:C15)</f>
        <v>#DIV/0!</v>
      </c>
      <c r="D21" s="533">
        <f>AVERAGE(D11:D15)</f>
        <v>287.60000000000002</v>
      </c>
      <c r="E21" s="251" t="e">
        <f t="shared" ref="E21:F21" si="6">AVERAGE(E11:E15)</f>
        <v>#DIV/0!</v>
      </c>
      <c r="F21" s="269" t="e">
        <f t="shared" si="6"/>
        <v>#DIV/0!</v>
      </c>
      <c r="G21" s="443" t="e">
        <f>AVERAGE(G11:G15)</f>
        <v>#DIV/0!</v>
      </c>
      <c r="H21" s="269">
        <f>AVERAGE(H11:H15)</f>
        <v>306.8</v>
      </c>
      <c r="I21" s="435">
        <f>AVERAGE(I11:I15)</f>
        <v>594.4</v>
      </c>
    </row>
    <row r="22" spans="1:10" s="43" customFormat="1" ht="15" customHeight="1" x14ac:dyDescent="0.25">
      <c r="A22" s="25" t="s">
        <v>3</v>
      </c>
      <c r="B22" s="222">
        <f>B17+1</f>
        <v>44053</v>
      </c>
      <c r="C22" s="240"/>
      <c r="D22" s="540">
        <v>408</v>
      </c>
      <c r="E22" s="240"/>
      <c r="F22" s="270"/>
      <c r="G22" s="445"/>
      <c r="H22" s="270">
        <v>401</v>
      </c>
      <c r="I22" s="436">
        <f>SUM(C22:H22)</f>
        <v>809</v>
      </c>
    </row>
    <row r="23" spans="1:10" s="43" customFormat="1" ht="15" customHeight="1" x14ac:dyDescent="0.25">
      <c r="A23" s="25" t="s">
        <v>4</v>
      </c>
      <c r="B23" s="222">
        <f t="shared" ref="B23:B28" si="7">B22+1</f>
        <v>44054</v>
      </c>
      <c r="C23" s="240"/>
      <c r="D23" s="540">
        <v>349</v>
      </c>
      <c r="E23" s="240"/>
      <c r="F23" s="270"/>
      <c r="G23" s="445"/>
      <c r="H23" s="270">
        <v>410</v>
      </c>
      <c r="I23" s="436">
        <f t="shared" ref="I23:I28" si="8">SUM(C23:H23)</f>
        <v>759</v>
      </c>
    </row>
    <row r="24" spans="1:10" s="43" customFormat="1" ht="15" customHeight="1" x14ac:dyDescent="0.25">
      <c r="A24" s="25" t="s">
        <v>5</v>
      </c>
      <c r="B24" s="222">
        <f t="shared" si="7"/>
        <v>44055</v>
      </c>
      <c r="C24" s="240"/>
      <c r="D24" s="540"/>
      <c r="E24" s="240"/>
      <c r="F24" s="270">
        <v>334</v>
      </c>
      <c r="G24" s="445"/>
      <c r="H24" s="270">
        <v>364</v>
      </c>
      <c r="I24" s="436">
        <f t="shared" si="8"/>
        <v>698</v>
      </c>
    </row>
    <row r="25" spans="1:10" s="43" customFormat="1" ht="15" customHeight="1" x14ac:dyDescent="0.25">
      <c r="A25" s="25" t="s">
        <v>6</v>
      </c>
      <c r="B25" s="222">
        <f t="shared" si="7"/>
        <v>44056</v>
      </c>
      <c r="C25" s="240"/>
      <c r="D25" s="540"/>
      <c r="E25" s="240"/>
      <c r="F25" s="270">
        <v>323</v>
      </c>
      <c r="G25" s="445"/>
      <c r="H25" s="270">
        <v>326</v>
      </c>
      <c r="I25" s="436">
        <f>SUM(C25:H25)</f>
        <v>649</v>
      </c>
    </row>
    <row r="26" spans="1:10" s="43" customFormat="1" ht="15" customHeight="1" x14ac:dyDescent="0.25">
      <c r="A26" s="25" t="s">
        <v>0</v>
      </c>
      <c r="B26" s="222">
        <f t="shared" si="7"/>
        <v>44057</v>
      </c>
      <c r="C26" s="240"/>
      <c r="D26" s="540"/>
      <c r="E26" s="240"/>
      <c r="F26" s="270">
        <v>303</v>
      </c>
      <c r="G26" s="445"/>
      <c r="H26" s="270">
        <v>419</v>
      </c>
      <c r="I26" s="436">
        <f t="shared" si="8"/>
        <v>722</v>
      </c>
    </row>
    <row r="27" spans="1:10" s="43" customFormat="1" ht="15" customHeight="1" outlineLevel="1" x14ac:dyDescent="0.25">
      <c r="A27" s="25" t="s">
        <v>1</v>
      </c>
      <c r="B27" s="222">
        <f t="shared" si="7"/>
        <v>44058</v>
      </c>
      <c r="C27" s="240"/>
      <c r="D27" s="540"/>
      <c r="E27" s="240"/>
      <c r="F27" s="270">
        <v>465</v>
      </c>
      <c r="G27" s="445"/>
      <c r="H27" s="270">
        <v>655</v>
      </c>
      <c r="I27" s="436">
        <f t="shared" si="8"/>
        <v>1120</v>
      </c>
      <c r="J27" s="140"/>
    </row>
    <row r="28" spans="1:10" s="43" customFormat="1" ht="15" customHeight="1" outlineLevel="1" thickBot="1" x14ac:dyDescent="0.3">
      <c r="A28" s="25" t="s">
        <v>2</v>
      </c>
      <c r="B28" s="222">
        <f t="shared" si="7"/>
        <v>44059</v>
      </c>
      <c r="C28" s="240"/>
      <c r="D28" s="540"/>
      <c r="E28" s="240"/>
      <c r="F28" s="270">
        <v>159</v>
      </c>
      <c r="G28" s="445"/>
      <c r="H28" s="270">
        <v>212</v>
      </c>
      <c r="I28" s="436">
        <f t="shared" si="8"/>
        <v>371</v>
      </c>
    </row>
    <row r="29" spans="1:10" s="43" customFormat="1" ht="15" customHeight="1" outlineLevel="1" thickBot="1" x14ac:dyDescent="0.3">
      <c r="A29" s="144" t="s">
        <v>20</v>
      </c>
      <c r="B29" s="695" t="s">
        <v>24</v>
      </c>
      <c r="C29" s="250">
        <f>SUM(C22:C28)</f>
        <v>0</v>
      </c>
      <c r="D29" s="532">
        <f>SUM(D22:D28)</f>
        <v>757</v>
      </c>
      <c r="E29" s="250">
        <f t="shared" ref="E29" si="9">SUM(E22:E28)</f>
        <v>0</v>
      </c>
      <c r="F29" s="271">
        <f>SUM(F22:F28)</f>
        <v>1584</v>
      </c>
      <c r="G29" s="442">
        <f>SUM(G22:G28)</f>
        <v>0</v>
      </c>
      <c r="H29" s="271">
        <f>SUM(H22:H28)</f>
        <v>2787</v>
      </c>
      <c r="I29" s="434">
        <f>SUM(I22:I28)</f>
        <v>5128</v>
      </c>
    </row>
    <row r="30" spans="1:10" s="43" customFormat="1" ht="15" customHeight="1" outlineLevel="1" thickBot="1" x14ac:dyDescent="0.3">
      <c r="A30" s="101" t="s">
        <v>22</v>
      </c>
      <c r="B30" s="695"/>
      <c r="C30" s="250" t="e">
        <f>AVERAGE(C22:C28)</f>
        <v>#DIV/0!</v>
      </c>
      <c r="D30" s="532">
        <f>AVERAGE(D22:D28)</f>
        <v>378.5</v>
      </c>
      <c r="E30" s="250" t="e">
        <f t="shared" ref="E30:F30" si="10">AVERAGE(E22:E28)</f>
        <v>#DIV/0!</v>
      </c>
      <c r="F30" s="271">
        <f t="shared" si="10"/>
        <v>316.8</v>
      </c>
      <c r="G30" s="442" t="e">
        <f>AVERAGE(G22:G28)</f>
        <v>#DIV/0!</v>
      </c>
      <c r="H30" s="271">
        <f>AVERAGE(H22:H28)</f>
        <v>398.14285714285717</v>
      </c>
      <c r="I30" s="434">
        <f>AVERAGE(I22:I28)</f>
        <v>732.57142857142856</v>
      </c>
    </row>
    <row r="31" spans="1:10" s="43" customFormat="1" ht="15" customHeight="1" thickBot="1" x14ac:dyDescent="0.3">
      <c r="A31" s="26" t="s">
        <v>19</v>
      </c>
      <c r="B31" s="695"/>
      <c r="C31" s="251">
        <f>SUM(C22:C26)</f>
        <v>0</v>
      </c>
      <c r="D31" s="533">
        <f>SUM(D22:D26)</f>
        <v>757</v>
      </c>
      <c r="E31" s="251">
        <f t="shared" ref="E31" si="11">SUM(E22:E26)</f>
        <v>0</v>
      </c>
      <c r="F31" s="269">
        <f>SUM(F22:F26)</f>
        <v>960</v>
      </c>
      <c r="G31" s="443">
        <f>SUM(G22:G26)</f>
        <v>0</v>
      </c>
      <c r="H31" s="269">
        <f>SUM(H22:H26)</f>
        <v>1920</v>
      </c>
      <c r="I31" s="435">
        <f>SUM(I22:I26)</f>
        <v>3637</v>
      </c>
    </row>
    <row r="32" spans="1:10" s="43" customFormat="1" ht="15" customHeight="1" thickBot="1" x14ac:dyDescent="0.3">
      <c r="A32" s="26" t="s">
        <v>21</v>
      </c>
      <c r="B32" s="695"/>
      <c r="C32" s="251" t="e">
        <f>AVERAGE(C22:C26)</f>
        <v>#DIV/0!</v>
      </c>
      <c r="D32" s="533">
        <f>AVERAGE(D22:D26)</f>
        <v>378.5</v>
      </c>
      <c r="E32" s="251" t="e">
        <f t="shared" ref="E32:F32" si="12">AVERAGE(E22:E26)</f>
        <v>#DIV/0!</v>
      </c>
      <c r="F32" s="269">
        <f t="shared" si="12"/>
        <v>320</v>
      </c>
      <c r="G32" s="443" t="e">
        <f>AVERAGE(G22:G26)</f>
        <v>#DIV/0!</v>
      </c>
      <c r="H32" s="269">
        <f>AVERAGE(H22:H26)</f>
        <v>384</v>
      </c>
      <c r="I32" s="435">
        <f>AVERAGE(I22:I26)</f>
        <v>727.4</v>
      </c>
    </row>
    <row r="33" spans="1:10" s="43" customFormat="1" ht="15" customHeight="1" x14ac:dyDescent="0.25">
      <c r="A33" s="25" t="s">
        <v>3</v>
      </c>
      <c r="B33" s="216">
        <f>B28+1</f>
        <v>44060</v>
      </c>
      <c r="C33" s="240"/>
      <c r="D33" s="540"/>
      <c r="E33" s="240"/>
      <c r="F33" s="270">
        <v>337</v>
      </c>
      <c r="G33" s="445"/>
      <c r="H33" s="270">
        <v>436</v>
      </c>
      <c r="I33" s="436">
        <f t="shared" ref="I33:I39" si="13">SUM(C33:H33)</f>
        <v>773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44061</v>
      </c>
      <c r="C34" s="240"/>
      <c r="D34" s="540"/>
      <c r="E34" s="240"/>
      <c r="F34" s="270">
        <v>353</v>
      </c>
      <c r="G34" s="445"/>
      <c r="H34" s="270">
        <v>503</v>
      </c>
      <c r="I34" s="436">
        <f t="shared" si="13"/>
        <v>856</v>
      </c>
    </row>
    <row r="35" spans="1:10" s="43" customFormat="1" ht="15" customHeight="1" x14ac:dyDescent="0.25">
      <c r="A35" s="25" t="s">
        <v>5</v>
      </c>
      <c r="B35" s="216">
        <f t="shared" si="14"/>
        <v>44062</v>
      </c>
      <c r="C35" s="240"/>
      <c r="D35" s="540"/>
      <c r="E35" s="240"/>
      <c r="F35" s="270">
        <v>306</v>
      </c>
      <c r="G35" s="445"/>
      <c r="H35" s="270">
        <v>343</v>
      </c>
      <c r="I35" s="436">
        <f t="shared" si="13"/>
        <v>649</v>
      </c>
    </row>
    <row r="36" spans="1:10" s="43" customFormat="1" ht="15" customHeight="1" x14ac:dyDescent="0.25">
      <c r="A36" s="25" t="s">
        <v>6</v>
      </c>
      <c r="B36" s="216">
        <f t="shared" si="14"/>
        <v>44063</v>
      </c>
      <c r="C36" s="249"/>
      <c r="D36" s="540"/>
      <c r="E36" s="240"/>
      <c r="F36" s="270">
        <v>392</v>
      </c>
      <c r="G36" s="559"/>
      <c r="H36" s="270">
        <v>516</v>
      </c>
      <c r="I36" s="436">
        <f t="shared" si="13"/>
        <v>908</v>
      </c>
    </row>
    <row r="37" spans="1:10" s="43" customFormat="1" ht="15" customHeight="1" x14ac:dyDescent="0.25">
      <c r="A37" s="25" t="s">
        <v>0</v>
      </c>
      <c r="B37" s="216">
        <f t="shared" si="14"/>
        <v>44064</v>
      </c>
      <c r="C37" s="249"/>
      <c r="D37" s="540"/>
      <c r="E37" s="240"/>
      <c r="F37" s="270">
        <v>354</v>
      </c>
      <c r="G37" s="444"/>
      <c r="H37" s="270">
        <v>557</v>
      </c>
      <c r="I37" s="436">
        <f t="shared" si="13"/>
        <v>911</v>
      </c>
    </row>
    <row r="38" spans="1:10" s="43" customFormat="1" ht="15" customHeight="1" outlineLevel="1" x14ac:dyDescent="0.25">
      <c r="A38" s="25" t="s">
        <v>1</v>
      </c>
      <c r="B38" s="216">
        <f t="shared" si="14"/>
        <v>44065</v>
      </c>
      <c r="C38" s="249"/>
      <c r="D38" s="540"/>
      <c r="E38" s="240"/>
      <c r="F38" s="270">
        <v>424</v>
      </c>
      <c r="G38" s="444"/>
      <c r="H38" s="270">
        <v>709</v>
      </c>
      <c r="I38" s="436">
        <f t="shared" si="13"/>
        <v>1133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44066</v>
      </c>
      <c r="C39" s="249"/>
      <c r="D39" s="540"/>
      <c r="E39" s="240"/>
      <c r="F39" s="270">
        <v>443</v>
      </c>
      <c r="G39" s="444"/>
      <c r="H39" s="270">
        <v>525</v>
      </c>
      <c r="I39" s="436">
        <f t="shared" si="13"/>
        <v>968</v>
      </c>
      <c r="J39" s="140"/>
    </row>
    <row r="40" spans="1:10" s="43" customFormat="1" ht="15" customHeight="1" outlineLevel="1" thickBot="1" x14ac:dyDescent="0.3">
      <c r="A40" s="144" t="s">
        <v>20</v>
      </c>
      <c r="B40" s="695" t="s">
        <v>25</v>
      </c>
      <c r="C40" s="250">
        <f>SUM(C33:C39)</f>
        <v>0</v>
      </c>
      <c r="D40" s="532">
        <f>SUM(D33:D39)</f>
        <v>0</v>
      </c>
      <c r="E40" s="250">
        <f t="shared" ref="E40" si="15">SUM(E33:E39)</f>
        <v>0</v>
      </c>
      <c r="F40" s="271">
        <f>SUM(F33:F39)</f>
        <v>2609</v>
      </c>
      <c r="G40" s="442">
        <f>SUM(G33:G39)</f>
        <v>0</v>
      </c>
      <c r="H40" s="271">
        <f>SUM(H33:H39)</f>
        <v>3589</v>
      </c>
      <c r="I40" s="434">
        <f>SUM(I33:I39)</f>
        <v>6198</v>
      </c>
    </row>
    <row r="41" spans="1:10" s="43" customFormat="1" ht="15" customHeight="1" outlineLevel="1" thickBot="1" x14ac:dyDescent="0.3">
      <c r="A41" s="101" t="s">
        <v>22</v>
      </c>
      <c r="B41" s="695"/>
      <c r="C41" s="250" t="e">
        <f>AVERAGE(C33:C39)</f>
        <v>#DIV/0!</v>
      </c>
      <c r="D41" s="532" t="e">
        <f>AVERAGE(D33:D39)</f>
        <v>#DIV/0!</v>
      </c>
      <c r="E41" s="250" t="e">
        <f t="shared" ref="E41:F41" si="16">AVERAGE(E33:E39)</f>
        <v>#DIV/0!</v>
      </c>
      <c r="F41" s="271">
        <f t="shared" si="16"/>
        <v>372.71428571428572</v>
      </c>
      <c r="G41" s="442" t="e">
        <f>AVERAGE(G33:G39)</f>
        <v>#DIV/0!</v>
      </c>
      <c r="H41" s="271">
        <f>AVERAGE(H33:H39)</f>
        <v>512.71428571428567</v>
      </c>
      <c r="I41" s="434">
        <f>AVERAGE(I33:I39)</f>
        <v>885.42857142857144</v>
      </c>
    </row>
    <row r="42" spans="1:10" s="43" customFormat="1" ht="15" customHeight="1" thickBot="1" x14ac:dyDescent="0.3">
      <c r="A42" s="26" t="s">
        <v>19</v>
      </c>
      <c r="B42" s="695"/>
      <c r="C42" s="251">
        <f>SUM(C33:C37)</f>
        <v>0</v>
      </c>
      <c r="D42" s="533">
        <f>SUM(D33:D37)</f>
        <v>0</v>
      </c>
      <c r="E42" s="251">
        <f t="shared" ref="E42" si="17">SUM(E33:E37)</f>
        <v>0</v>
      </c>
      <c r="F42" s="269">
        <f>SUM(F33:F37)</f>
        <v>1742</v>
      </c>
      <c r="G42" s="443">
        <f>SUM(G33:G37)</f>
        <v>0</v>
      </c>
      <c r="H42" s="269">
        <f>SUM(H33:H37)</f>
        <v>2355</v>
      </c>
      <c r="I42" s="435">
        <f>SUM(I33:I37)</f>
        <v>4097</v>
      </c>
    </row>
    <row r="43" spans="1:10" s="43" customFormat="1" ht="15" customHeight="1" thickBot="1" x14ac:dyDescent="0.3">
      <c r="A43" s="26" t="s">
        <v>21</v>
      </c>
      <c r="B43" s="695"/>
      <c r="C43" s="251" t="e">
        <f>AVERAGE(C33:C37)</f>
        <v>#DIV/0!</v>
      </c>
      <c r="D43" s="533" t="e">
        <f>AVERAGE(D33:D37)</f>
        <v>#DIV/0!</v>
      </c>
      <c r="E43" s="251" t="e">
        <f t="shared" ref="E43:F43" si="18">AVERAGE(E33:E37)</f>
        <v>#DIV/0!</v>
      </c>
      <c r="F43" s="269">
        <f t="shared" si="18"/>
        <v>348.4</v>
      </c>
      <c r="G43" s="443" t="e">
        <f>AVERAGE(G33:G37)</f>
        <v>#DIV/0!</v>
      </c>
      <c r="H43" s="269">
        <f>AVERAGE(H33:H37)</f>
        <v>471</v>
      </c>
      <c r="I43" s="435">
        <f>AVERAGE(I33:I37)</f>
        <v>819.4</v>
      </c>
    </row>
    <row r="44" spans="1:10" s="43" customFormat="1" ht="15" customHeight="1" x14ac:dyDescent="0.25">
      <c r="A44" s="25" t="s">
        <v>3</v>
      </c>
      <c r="B44" s="226">
        <f>B39+1</f>
        <v>44067</v>
      </c>
      <c r="C44" s="249"/>
      <c r="D44" s="540"/>
      <c r="E44" s="240"/>
      <c r="F44" s="270">
        <v>362</v>
      </c>
      <c r="G44" s="444"/>
      <c r="H44" s="270">
        <v>397</v>
      </c>
      <c r="I44" s="436">
        <f t="shared" ref="I44:I50" si="19">SUM(C44:H44)</f>
        <v>759</v>
      </c>
      <c r="J44" s="140"/>
    </row>
    <row r="45" spans="1:10" s="43" customFormat="1" ht="15" customHeight="1" x14ac:dyDescent="0.25">
      <c r="A45" s="25" t="s">
        <v>4</v>
      </c>
      <c r="B45" s="226">
        <f t="shared" ref="B45:B50" si="20">B44+1</f>
        <v>44068</v>
      </c>
      <c r="C45" s="249"/>
      <c r="D45" s="540"/>
      <c r="E45" s="240"/>
      <c r="F45" s="270">
        <v>379</v>
      </c>
      <c r="G45" s="444"/>
      <c r="H45" s="270">
        <v>402</v>
      </c>
      <c r="I45" s="436">
        <f t="shared" si="19"/>
        <v>781</v>
      </c>
      <c r="J45" s="140"/>
    </row>
    <row r="46" spans="1:10" s="43" customFormat="1" ht="15" customHeight="1" x14ac:dyDescent="0.25">
      <c r="A46" s="25" t="s">
        <v>5</v>
      </c>
      <c r="B46" s="226">
        <f t="shared" si="20"/>
        <v>44069</v>
      </c>
      <c r="C46" s="249"/>
      <c r="D46" s="540"/>
      <c r="E46" s="240"/>
      <c r="F46" s="270">
        <v>382</v>
      </c>
      <c r="G46" s="444"/>
      <c r="H46" s="270">
        <v>497</v>
      </c>
      <c r="I46" s="436">
        <f>SUM(C46:H46)</f>
        <v>879</v>
      </c>
      <c r="J46" s="140"/>
    </row>
    <row r="47" spans="1:10" s="43" customFormat="1" ht="15" customHeight="1" x14ac:dyDescent="0.25">
      <c r="A47" s="25" t="s">
        <v>6</v>
      </c>
      <c r="B47" s="226">
        <f t="shared" si="20"/>
        <v>44070</v>
      </c>
      <c r="C47" s="249"/>
      <c r="D47" s="540"/>
      <c r="E47" s="240"/>
      <c r="F47" s="270">
        <v>343</v>
      </c>
      <c r="G47" s="445"/>
      <c r="H47" s="270">
        <v>391</v>
      </c>
      <c r="I47" s="436">
        <f t="shared" si="19"/>
        <v>734</v>
      </c>
      <c r="J47" s="140"/>
    </row>
    <row r="48" spans="1:10" s="43" customFormat="1" ht="15" customHeight="1" x14ac:dyDescent="0.25">
      <c r="A48" s="25" t="s">
        <v>0</v>
      </c>
      <c r="B48" s="226">
        <f t="shared" si="20"/>
        <v>44071</v>
      </c>
      <c r="C48" s="249"/>
      <c r="D48" s="540"/>
      <c r="E48" s="240"/>
      <c r="F48" s="270">
        <v>429</v>
      </c>
      <c r="G48" s="445"/>
      <c r="H48" s="270">
        <v>430</v>
      </c>
      <c r="I48" s="436">
        <f t="shared" si="19"/>
        <v>859</v>
      </c>
      <c r="J48" s="140"/>
    </row>
    <row r="49" spans="1:10" s="43" customFormat="1" ht="15" customHeight="1" outlineLevel="1" x14ac:dyDescent="0.25">
      <c r="A49" s="25" t="s">
        <v>1</v>
      </c>
      <c r="B49" s="226">
        <f t="shared" si="20"/>
        <v>44072</v>
      </c>
      <c r="C49" s="249"/>
      <c r="D49" s="540"/>
      <c r="E49" s="240"/>
      <c r="F49" s="270">
        <v>83</v>
      </c>
      <c r="G49" s="444"/>
      <c r="H49" s="270">
        <v>106</v>
      </c>
      <c r="I49" s="436">
        <f t="shared" si="19"/>
        <v>189</v>
      </c>
      <c r="J49" s="140"/>
    </row>
    <row r="50" spans="1:10" s="43" customFormat="1" ht="15" customHeight="1" outlineLevel="1" thickBot="1" x14ac:dyDescent="0.3">
      <c r="A50" s="25" t="s">
        <v>2</v>
      </c>
      <c r="B50" s="226">
        <f t="shared" si="20"/>
        <v>44073</v>
      </c>
      <c r="C50" s="249"/>
      <c r="D50" s="540"/>
      <c r="E50" s="240"/>
      <c r="F50" s="270">
        <v>447</v>
      </c>
      <c r="G50" s="444"/>
      <c r="H50" s="270">
        <v>757</v>
      </c>
      <c r="I50" s="436">
        <f t="shared" si="19"/>
        <v>1204</v>
      </c>
      <c r="J50" s="140"/>
    </row>
    <row r="51" spans="1:10" s="43" customFormat="1" ht="15" customHeight="1" outlineLevel="1" thickBot="1" x14ac:dyDescent="0.3">
      <c r="A51" s="144" t="s">
        <v>20</v>
      </c>
      <c r="B51" s="695" t="s">
        <v>26</v>
      </c>
      <c r="C51" s="250">
        <f>SUM(C44:C50)</f>
        <v>0</v>
      </c>
      <c r="D51" s="532">
        <f>SUM(D44:D50)</f>
        <v>0</v>
      </c>
      <c r="E51" s="250">
        <f t="shared" ref="E51:F51" si="21">SUM(E44:E50)</f>
        <v>0</v>
      </c>
      <c r="F51" s="271">
        <f t="shared" si="21"/>
        <v>2425</v>
      </c>
      <c r="G51" s="442">
        <f>SUM(G44:G50)</f>
        <v>0</v>
      </c>
      <c r="H51" s="271">
        <f>SUM(H44:H50)</f>
        <v>2980</v>
      </c>
      <c r="I51" s="434">
        <f>SUM(I44:I50)</f>
        <v>5405</v>
      </c>
    </row>
    <row r="52" spans="1:10" s="43" customFormat="1" ht="15" customHeight="1" outlineLevel="1" thickBot="1" x14ac:dyDescent="0.3">
      <c r="A52" s="101" t="s">
        <v>22</v>
      </c>
      <c r="B52" s="695"/>
      <c r="C52" s="250" t="e">
        <f>AVERAGE(C44:C50)</f>
        <v>#DIV/0!</v>
      </c>
      <c r="D52" s="532" t="e">
        <f>AVERAGE(D44:D50)</f>
        <v>#DIV/0!</v>
      </c>
      <c r="E52" s="250" t="e">
        <f t="shared" ref="E52" si="22">AVERAGE(E44:E50)</f>
        <v>#DIV/0!</v>
      </c>
      <c r="F52" s="271">
        <f>AVERAGE(F44:F50)</f>
        <v>346.42857142857144</v>
      </c>
      <c r="G52" s="442" t="e">
        <f>AVERAGE(G44:G50)</f>
        <v>#DIV/0!</v>
      </c>
      <c r="H52" s="271">
        <f>AVERAGE(H44:H50)</f>
        <v>425.71428571428572</v>
      </c>
      <c r="I52" s="434">
        <f>AVERAGE(I44:I50)</f>
        <v>772.14285714285711</v>
      </c>
    </row>
    <row r="53" spans="1:10" s="43" customFormat="1" ht="15" customHeight="1" thickBot="1" x14ac:dyDescent="0.3">
      <c r="A53" s="26" t="s">
        <v>19</v>
      </c>
      <c r="B53" s="695"/>
      <c r="C53" s="251">
        <f>SUM(C44:C48)</f>
        <v>0</v>
      </c>
      <c r="D53" s="533">
        <f>SUM(D44:D48)</f>
        <v>0</v>
      </c>
      <c r="E53" s="251">
        <f t="shared" ref="E53" si="23">SUM(E44:E48)</f>
        <v>0</v>
      </c>
      <c r="F53" s="269">
        <f>SUM(F44:F48)</f>
        <v>1895</v>
      </c>
      <c r="G53" s="443">
        <f>SUM(G44:G48)</f>
        <v>0</v>
      </c>
      <c r="H53" s="269">
        <f>SUM(H44:H48)</f>
        <v>2117</v>
      </c>
      <c r="I53" s="435">
        <f>SUM(I44:I48)</f>
        <v>4012</v>
      </c>
    </row>
    <row r="54" spans="1:10" s="43" customFormat="1" ht="15" customHeight="1" thickBot="1" x14ac:dyDescent="0.3">
      <c r="A54" s="26" t="s">
        <v>21</v>
      </c>
      <c r="B54" s="695"/>
      <c r="C54" s="251" t="e">
        <f>AVERAGE(C44:C48)</f>
        <v>#DIV/0!</v>
      </c>
      <c r="D54" s="533" t="e">
        <f>AVERAGE(D44:D48)</f>
        <v>#DIV/0!</v>
      </c>
      <c r="E54" s="251" t="e">
        <f t="shared" ref="E54:F54" si="24">AVERAGE(E44:E48)</f>
        <v>#DIV/0!</v>
      </c>
      <c r="F54" s="269">
        <f t="shared" si="24"/>
        <v>379</v>
      </c>
      <c r="G54" s="443" t="e">
        <f>AVERAGE(G44:G48)</f>
        <v>#DIV/0!</v>
      </c>
      <c r="H54" s="269">
        <f>AVERAGE(H44:H48)</f>
        <v>423.4</v>
      </c>
      <c r="I54" s="435">
        <f>AVERAGE(I44:I48)</f>
        <v>802.4</v>
      </c>
    </row>
    <row r="55" spans="1:10" s="43" customFormat="1" ht="15" customHeight="1" thickBot="1" x14ac:dyDescent="0.3">
      <c r="A55" s="25" t="s">
        <v>3</v>
      </c>
      <c r="B55" s="226">
        <f>B50+1</f>
        <v>44074</v>
      </c>
      <c r="C55" s="240"/>
      <c r="D55" s="540"/>
      <c r="E55" s="240"/>
      <c r="F55" s="270">
        <v>335</v>
      </c>
      <c r="G55" s="445"/>
      <c r="H55" s="270">
        <v>421</v>
      </c>
      <c r="I55" s="436">
        <f>SUM(C55:H55)</f>
        <v>756</v>
      </c>
      <c r="J55" s="140"/>
    </row>
    <row r="56" spans="1:10" s="43" customFormat="1" ht="15" hidden="1" customHeight="1" x14ac:dyDescent="0.25">
      <c r="A56" s="136" t="s">
        <v>4</v>
      </c>
      <c r="B56" s="226">
        <f t="shared" ref="B56:B61" si="25">B55+1</f>
        <v>44075</v>
      </c>
      <c r="C56" s="240"/>
      <c r="D56" s="540"/>
      <c r="E56" s="240"/>
      <c r="F56" s="270"/>
      <c r="G56" s="445"/>
      <c r="H56" s="270"/>
      <c r="I56" s="436">
        <f t="shared" ref="I56:I61" si="26">SUM(C56:H56)</f>
        <v>0</v>
      </c>
      <c r="J56" s="140"/>
    </row>
    <row r="57" spans="1:10" s="43" customFormat="1" ht="15" hidden="1" customHeight="1" x14ac:dyDescent="0.25">
      <c r="A57" s="136" t="s">
        <v>5</v>
      </c>
      <c r="B57" s="226">
        <f t="shared" si="25"/>
        <v>44076</v>
      </c>
      <c r="C57" s="240"/>
      <c r="D57" s="540"/>
      <c r="E57" s="240"/>
      <c r="F57" s="270"/>
      <c r="G57" s="445"/>
      <c r="H57" s="270"/>
      <c r="I57" s="436">
        <f t="shared" si="26"/>
        <v>0</v>
      </c>
      <c r="J57" s="140"/>
    </row>
    <row r="58" spans="1:10" s="43" customFormat="1" ht="13.5" hidden="1" x14ac:dyDescent="0.25">
      <c r="A58" s="136" t="s">
        <v>6</v>
      </c>
      <c r="B58" s="226">
        <f t="shared" si="25"/>
        <v>44077</v>
      </c>
      <c r="C58" s="249"/>
      <c r="D58" s="539"/>
      <c r="E58" s="249"/>
      <c r="F58" s="272"/>
      <c r="G58" s="444"/>
      <c r="H58" s="272"/>
      <c r="I58" s="436">
        <f t="shared" si="26"/>
        <v>0</v>
      </c>
      <c r="J58" s="140"/>
    </row>
    <row r="59" spans="1:10" s="43" customFormat="1" ht="14.25" hidden="1" thickBot="1" x14ac:dyDescent="0.3">
      <c r="A59" s="25" t="s">
        <v>0</v>
      </c>
      <c r="B59" s="227">
        <f t="shared" si="25"/>
        <v>44078</v>
      </c>
      <c r="C59" s="249"/>
      <c r="D59" s="539"/>
      <c r="E59" s="249"/>
      <c r="F59" s="272"/>
      <c r="G59" s="444"/>
      <c r="H59" s="272"/>
      <c r="I59" s="436">
        <f t="shared" si="26"/>
        <v>0</v>
      </c>
      <c r="J59" s="140"/>
    </row>
    <row r="60" spans="1:10" s="43" customFormat="1" ht="14.25" hidden="1" outlineLevel="1" thickBot="1" x14ac:dyDescent="0.3">
      <c r="A60" s="25" t="s">
        <v>1</v>
      </c>
      <c r="B60" s="227">
        <f t="shared" si="25"/>
        <v>44079</v>
      </c>
      <c r="C60" s="249"/>
      <c r="D60" s="539"/>
      <c r="E60" s="249"/>
      <c r="F60" s="272"/>
      <c r="G60" s="444"/>
      <c r="H60" s="272"/>
      <c r="I60" s="436">
        <f t="shared" si="26"/>
        <v>0</v>
      </c>
      <c r="J60" s="140"/>
    </row>
    <row r="61" spans="1:10" s="43" customFormat="1" ht="14.25" hidden="1" outlineLevel="1" thickBot="1" x14ac:dyDescent="0.3">
      <c r="A61" s="136" t="s">
        <v>2</v>
      </c>
      <c r="B61" s="440">
        <f t="shared" si="25"/>
        <v>44080</v>
      </c>
      <c r="C61" s="249"/>
      <c r="D61" s="539"/>
      <c r="E61" s="249"/>
      <c r="F61" s="272"/>
      <c r="G61" s="444"/>
      <c r="H61" s="272"/>
      <c r="I61" s="436">
        <f t="shared" si="26"/>
        <v>0</v>
      </c>
    </row>
    <row r="62" spans="1:10" s="43" customFormat="1" ht="15" customHeight="1" outlineLevel="1" thickBot="1" x14ac:dyDescent="0.3">
      <c r="A62" s="144" t="s">
        <v>20</v>
      </c>
      <c r="B62" s="714" t="s">
        <v>27</v>
      </c>
      <c r="C62" s="250">
        <f>SUM(C55:C61)</f>
        <v>0</v>
      </c>
      <c r="D62" s="532">
        <f>SUM(D55:D61)</f>
        <v>0</v>
      </c>
      <c r="E62" s="250">
        <f t="shared" ref="E62:F62" si="27">SUM(E55:E61)</f>
        <v>0</v>
      </c>
      <c r="F62" s="271">
        <f t="shared" si="27"/>
        <v>335</v>
      </c>
      <c r="G62" s="442">
        <f>SUM(G55:G61)</f>
        <v>0</v>
      </c>
      <c r="H62" s="271">
        <f>SUM(H55:H61)</f>
        <v>421</v>
      </c>
      <c r="I62" s="434">
        <f>SUM(I55:I61)</f>
        <v>756</v>
      </c>
    </row>
    <row r="63" spans="1:10" s="43" customFormat="1" ht="15" customHeight="1" outlineLevel="1" thickBot="1" x14ac:dyDescent="0.3">
      <c r="A63" s="101" t="s">
        <v>22</v>
      </c>
      <c r="B63" s="714"/>
      <c r="C63" s="250" t="e">
        <f>AVERAGE(C55:C61)</f>
        <v>#DIV/0!</v>
      </c>
      <c r="D63" s="532" t="e">
        <f>AVERAGE(D55:D61)</f>
        <v>#DIV/0!</v>
      </c>
      <c r="E63" s="250" t="e">
        <f t="shared" ref="E63:F63" si="28">AVERAGE(E55:E61)</f>
        <v>#DIV/0!</v>
      </c>
      <c r="F63" s="271">
        <f t="shared" si="28"/>
        <v>335</v>
      </c>
      <c r="G63" s="442" t="e">
        <f>AVERAGE(G55:G61)</f>
        <v>#DIV/0!</v>
      </c>
      <c r="H63" s="271">
        <f>AVERAGE(H55:H61)</f>
        <v>421</v>
      </c>
      <c r="I63" s="434">
        <f>AVERAGE(I55:I61)</f>
        <v>108</v>
      </c>
    </row>
    <row r="64" spans="1:10" s="43" customFormat="1" ht="15" customHeight="1" thickBot="1" x14ac:dyDescent="0.3">
      <c r="A64" s="26" t="s">
        <v>19</v>
      </c>
      <c r="B64" s="714"/>
      <c r="C64" s="251">
        <f>SUM(C55:C59)</f>
        <v>0</v>
      </c>
      <c r="D64" s="533">
        <f>SUM(D55:D59)</f>
        <v>0</v>
      </c>
      <c r="E64" s="251">
        <f t="shared" ref="E64:F64" si="29">SUM(E55:E59)</f>
        <v>0</v>
      </c>
      <c r="F64" s="269">
        <f t="shared" si="29"/>
        <v>335</v>
      </c>
      <c r="G64" s="443">
        <f>SUM(G55:G59)</f>
        <v>0</v>
      </c>
      <c r="H64" s="269">
        <f>SUM(H55:H59)</f>
        <v>421</v>
      </c>
      <c r="I64" s="435">
        <f>SUM(I55:I59)</f>
        <v>756</v>
      </c>
    </row>
    <row r="65" spans="1:9" s="43" customFormat="1" ht="14.25" thickBot="1" x14ac:dyDescent="0.3">
      <c r="A65" s="26" t="s">
        <v>21</v>
      </c>
      <c r="B65" s="715"/>
      <c r="C65" s="239" t="e">
        <f>AVERAGE(C55:C59)</f>
        <v>#DIV/0!</v>
      </c>
      <c r="D65" s="534" t="e">
        <f>AVERAGE(D55:D59)</f>
        <v>#DIV/0!</v>
      </c>
      <c r="E65" s="239" t="e">
        <f t="shared" ref="E65:F65" si="30">AVERAGE(E55:E59)</f>
        <v>#DIV/0!</v>
      </c>
      <c r="F65" s="273">
        <f t="shared" si="30"/>
        <v>335</v>
      </c>
      <c r="G65" s="446" t="e">
        <f>AVERAGE(G55:G59)</f>
        <v>#DIV/0!</v>
      </c>
      <c r="H65" s="273">
        <f>AVERAGE(H55:H59)</f>
        <v>421</v>
      </c>
      <c r="I65" s="437">
        <f>AVERAGE(I55:I59)</f>
        <v>151.19999999999999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42"/>
      <c r="B67" s="545" t="s">
        <v>10</v>
      </c>
      <c r="C67" s="298" t="s">
        <v>130</v>
      </c>
      <c r="D67" s="432" t="s">
        <v>14</v>
      </c>
      <c r="E67" s="46"/>
      <c r="F67" s="46"/>
      <c r="G67" s="751" t="s">
        <v>56</v>
      </c>
      <c r="H67" s="752"/>
      <c r="I67" s="753"/>
    </row>
    <row r="68" spans="1:9" ht="30" customHeight="1" x14ac:dyDescent="0.25">
      <c r="A68" s="543" t="s">
        <v>113</v>
      </c>
      <c r="B68" s="546">
        <f xml:space="preserve"> SUM(,C7:D7,C62:D62, C51:D51, C40:D40, C29:D29, C18:D18,)</f>
        <v>3873</v>
      </c>
      <c r="C68" s="171">
        <f>SUM(E7:F7,E18:F18,E29:F29,E40:F40,E51:F51,E62:F62)</f>
        <v>6953</v>
      </c>
      <c r="D68" s="408">
        <f>SUM(,G7:H7,, G62:H62, G51:H51, G40:H40, G29:H29, G18:H18)</f>
        <v>13172</v>
      </c>
      <c r="E68" s="106"/>
      <c r="F68" s="106"/>
      <c r="G68" s="762" t="s">
        <v>29</v>
      </c>
      <c r="H68" s="763"/>
      <c r="I68" s="390">
        <f xml:space="preserve"> SUM(I20, I31, I42, I53, I64,)</f>
        <v>15474</v>
      </c>
    </row>
    <row r="69" spans="1:9" ht="30" customHeight="1" thickBot="1" x14ac:dyDescent="0.3">
      <c r="A69" s="544" t="s">
        <v>29</v>
      </c>
      <c r="B69" s="547">
        <f xml:space="preserve"> SUM(C7:D7,C64:D64, C53:D53, C42:D42, C31:D31, C20:D20,)</f>
        <v>2837</v>
      </c>
      <c r="C69" s="303">
        <f>SUM(E20:F20,E31:F31,E42:F42,E53:F53,E64:F64)</f>
        <v>4932</v>
      </c>
      <c r="D69" s="410">
        <f>SUM( G64:H64, G53:H53, G42:H42, G31:H31, G20:H20)</f>
        <v>8347</v>
      </c>
      <c r="E69" s="106"/>
      <c r="F69" s="106"/>
      <c r="G69" s="758" t="s">
        <v>113</v>
      </c>
      <c r="H69" s="759"/>
      <c r="I69" s="391">
        <f xml:space="preserve"> SUM(,I7,I62, I51, I40, I29, I18,)</f>
        <v>23998</v>
      </c>
    </row>
    <row r="70" spans="1:9" ht="30" customHeight="1" x14ac:dyDescent="0.25">
      <c r="G70" s="758" t="s">
        <v>21</v>
      </c>
      <c r="H70" s="759"/>
      <c r="I70" s="391">
        <f>AVERAGE(I21,I32,I43,I54,I65)</f>
        <v>618.95999999999992</v>
      </c>
    </row>
    <row r="71" spans="1:9" ht="26.25" customHeight="1" thickBot="1" x14ac:dyDescent="0.3">
      <c r="G71" s="760" t="s">
        <v>119</v>
      </c>
      <c r="H71" s="761"/>
      <c r="I71" s="306">
        <f>AVERAGE(I19,I30,I41,I52,I63)</f>
        <v>641.68571428571431</v>
      </c>
    </row>
    <row r="72" spans="1:9" x14ac:dyDescent="0.25">
      <c r="C72" s="138"/>
    </row>
  </sheetData>
  <mergeCells count="23"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  <mergeCell ref="A3:A4"/>
    <mergeCell ref="B3:B4"/>
    <mergeCell ref="G3:G4"/>
    <mergeCell ref="H3:H4"/>
    <mergeCell ref="C3:C4"/>
    <mergeCell ref="D3:D4"/>
    <mergeCell ref="B7:B10"/>
    <mergeCell ref="I1:I4"/>
    <mergeCell ref="G1:H2"/>
    <mergeCell ref="C1:D2"/>
    <mergeCell ref="G67:I67"/>
    <mergeCell ref="E1:F2"/>
    <mergeCell ref="E3:E4"/>
    <mergeCell ref="F3:F4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C42" activePane="bottomRight" state="frozen"/>
      <selection pane="topRight" activeCell="C1" sqref="C1"/>
      <selection pane="bottomLeft" activeCell="A5" sqref="A5"/>
      <selection pane="bottomRight" activeCell="A56" sqref="A56:XFD59"/>
    </sheetView>
  </sheetViews>
  <sheetFormatPr defaultRowHeight="15" outlineLevelRow="1" x14ac:dyDescent="0.25"/>
  <cols>
    <col min="1" max="1" width="18.7109375" style="1" bestFit="1" customWidth="1"/>
    <col min="2" max="2" width="16.28515625" style="120" customWidth="1"/>
    <col min="3" max="3" width="16.28515625" style="290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18" t="s">
        <v>93</v>
      </c>
      <c r="D1" s="719"/>
      <c r="E1" s="719"/>
      <c r="F1" s="719"/>
      <c r="G1" s="719"/>
      <c r="H1" s="718" t="s">
        <v>90</v>
      </c>
      <c r="I1" s="726"/>
      <c r="J1" s="719" t="s">
        <v>91</v>
      </c>
      <c r="K1" s="726"/>
      <c r="L1" s="732" t="s">
        <v>18</v>
      </c>
    </row>
    <row r="2" spans="1:13" ht="15" customHeight="1" thickBot="1" x14ac:dyDescent="0.3">
      <c r="A2" s="24"/>
      <c r="B2" s="153"/>
      <c r="C2" s="720"/>
      <c r="D2" s="721"/>
      <c r="E2" s="721"/>
      <c r="F2" s="721"/>
      <c r="G2" s="721"/>
      <c r="H2" s="720"/>
      <c r="I2" s="727"/>
      <c r="J2" s="721"/>
      <c r="K2" s="727"/>
      <c r="L2" s="733"/>
    </row>
    <row r="3" spans="1:13" ht="13.5" customHeight="1" x14ac:dyDescent="0.25">
      <c r="A3" s="646" t="s">
        <v>50</v>
      </c>
      <c r="B3" s="685" t="s">
        <v>51</v>
      </c>
      <c r="C3" s="770" t="s">
        <v>100</v>
      </c>
      <c r="D3" s="653" t="s">
        <v>7</v>
      </c>
      <c r="E3" s="653" t="s">
        <v>87</v>
      </c>
      <c r="F3" s="653" t="s">
        <v>88</v>
      </c>
      <c r="G3" s="768" t="s">
        <v>89</v>
      </c>
      <c r="H3" s="646" t="s">
        <v>84</v>
      </c>
      <c r="I3" s="403" t="s">
        <v>103</v>
      </c>
      <c r="J3" s="723" t="s">
        <v>10</v>
      </c>
      <c r="K3" s="654" t="s">
        <v>98</v>
      </c>
      <c r="L3" s="661"/>
    </row>
    <row r="4" spans="1:13" ht="15" customHeight="1" thickBot="1" x14ac:dyDescent="0.3">
      <c r="A4" s="710"/>
      <c r="B4" s="766"/>
      <c r="C4" s="771"/>
      <c r="D4" s="656"/>
      <c r="E4" s="656"/>
      <c r="F4" s="656"/>
      <c r="G4" s="769"/>
      <c r="H4" s="649"/>
      <c r="I4" s="468" t="s">
        <v>97</v>
      </c>
      <c r="J4" s="767"/>
      <c r="K4" s="657"/>
      <c r="L4" s="662"/>
    </row>
    <row r="5" spans="1:13" s="365" customFormat="1" ht="15" customHeight="1" x14ac:dyDescent="0.25">
      <c r="A5" s="371" t="s">
        <v>1</v>
      </c>
      <c r="B5" s="368">
        <v>44044</v>
      </c>
      <c r="C5" s="548"/>
      <c r="D5" s="549"/>
      <c r="E5" s="549"/>
      <c r="F5" s="549"/>
      <c r="G5" s="554"/>
      <c r="H5" s="556"/>
      <c r="I5" s="554"/>
      <c r="J5" s="556"/>
      <c r="K5" s="550"/>
      <c r="L5" s="377"/>
    </row>
    <row r="6" spans="1:13" s="365" customFormat="1" ht="15" customHeight="1" thickBot="1" x14ac:dyDescent="0.3">
      <c r="A6" s="371" t="s">
        <v>2</v>
      </c>
      <c r="B6" s="368">
        <v>44045</v>
      </c>
      <c r="C6" s="551"/>
      <c r="D6" s="552"/>
      <c r="E6" s="552"/>
      <c r="F6" s="552"/>
      <c r="G6" s="555"/>
      <c r="H6" s="557"/>
      <c r="I6" s="555"/>
      <c r="J6" s="557"/>
      <c r="K6" s="553"/>
      <c r="L6" s="465"/>
    </row>
    <row r="7" spans="1:13" s="43" customFormat="1" ht="15" customHeight="1" outlineLevel="1" thickBot="1" x14ac:dyDescent="0.3">
      <c r="A7" s="144" t="s">
        <v>20</v>
      </c>
      <c r="B7" s="713" t="s">
        <v>118</v>
      </c>
      <c r="C7" s="326" t="e">
        <f>SUM(#REF!)</f>
        <v>#REF!</v>
      </c>
      <c r="D7" s="327">
        <f>SUM(D5)</f>
        <v>0</v>
      </c>
      <c r="E7" s="327">
        <f t="shared" ref="E7:K7" si="0">SUM(E5)</f>
        <v>0</v>
      </c>
      <c r="F7" s="327">
        <f t="shared" si="0"/>
        <v>0</v>
      </c>
      <c r="G7" s="328">
        <f t="shared" si="0"/>
        <v>0</v>
      </c>
      <c r="H7" s="252">
        <f t="shared" si="0"/>
        <v>0</v>
      </c>
      <c r="I7" s="266">
        <f t="shared" si="0"/>
        <v>0</v>
      </c>
      <c r="J7" s="405">
        <f t="shared" si="0"/>
        <v>0</v>
      </c>
      <c r="K7" s="266">
        <f t="shared" si="0"/>
        <v>0</v>
      </c>
      <c r="L7" s="405">
        <f>SUM(L5)</f>
        <v>0</v>
      </c>
    </row>
    <row r="8" spans="1:13" s="43" customFormat="1" ht="15" customHeight="1" outlineLevel="1" thickBot="1" x14ac:dyDescent="0.3">
      <c r="A8" s="101" t="s">
        <v>22</v>
      </c>
      <c r="B8" s="714"/>
      <c r="C8" s="278" t="e">
        <f>AVERAGE(#REF!)</f>
        <v>#REF!</v>
      </c>
      <c r="D8" s="231" t="e">
        <f>AVERAGE(D5)</f>
        <v>#DIV/0!</v>
      </c>
      <c r="E8" s="231" t="e">
        <f t="shared" ref="E8:L8" si="1">AVERAGE(E5)</f>
        <v>#DIV/0!</v>
      </c>
      <c r="F8" s="231" t="e">
        <f t="shared" si="1"/>
        <v>#DIV/0!</v>
      </c>
      <c r="G8" s="318" t="e">
        <f t="shared" si="1"/>
        <v>#DIV/0!</v>
      </c>
      <c r="H8" s="234" t="e">
        <f t="shared" si="1"/>
        <v>#DIV/0!</v>
      </c>
      <c r="I8" s="235" t="e">
        <f t="shared" si="1"/>
        <v>#DIV/0!</v>
      </c>
      <c r="J8" s="406" t="e">
        <f t="shared" si="1"/>
        <v>#DIV/0!</v>
      </c>
      <c r="K8" s="235" t="e">
        <f t="shared" si="1"/>
        <v>#DIV/0!</v>
      </c>
      <c r="L8" s="406" t="e">
        <f t="shared" si="1"/>
        <v>#DIV/0!</v>
      </c>
    </row>
    <row r="9" spans="1:13" s="43" customFormat="1" ht="15" customHeight="1" thickBot="1" x14ac:dyDescent="0.3">
      <c r="A9" s="26" t="s">
        <v>19</v>
      </c>
      <c r="B9" s="714"/>
      <c r="C9" s="279" t="e">
        <f>SUM(#REF!)</f>
        <v>#REF!</v>
      </c>
      <c r="D9" s="232" t="e">
        <f>SUM(#REF!)</f>
        <v>#REF!</v>
      </c>
      <c r="E9" s="232" t="e">
        <f>SUM(#REF!)</f>
        <v>#REF!</v>
      </c>
      <c r="F9" s="232" t="e">
        <f>SUM(#REF!)</f>
        <v>#REF!</v>
      </c>
      <c r="G9" s="319" t="e">
        <f>SUM(#REF!)</f>
        <v>#REF!</v>
      </c>
      <c r="H9" s="236" t="e">
        <f>SUM(#REF!)</f>
        <v>#REF!</v>
      </c>
      <c r="I9" s="237" t="e">
        <f>SUM(#REF!)</f>
        <v>#REF!</v>
      </c>
      <c r="J9" s="263" t="e">
        <f>SUM(#REF!)</f>
        <v>#REF!</v>
      </c>
      <c r="K9" s="430" t="e">
        <f>SUM(#REF!)</f>
        <v>#REF!</v>
      </c>
      <c r="L9" s="427" t="e">
        <f>SUM(#REF!)</f>
        <v>#REF!</v>
      </c>
    </row>
    <row r="10" spans="1:13" s="43" customFormat="1" ht="15" customHeight="1" thickBot="1" x14ac:dyDescent="0.3">
      <c r="A10" s="26" t="s">
        <v>21</v>
      </c>
      <c r="B10" s="715"/>
      <c r="C10" s="283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20" t="e">
        <f>AVERAGE(#REF!)</f>
        <v>#REF!</v>
      </c>
      <c r="H10" s="29" t="e">
        <f>AVERAGE(#REF!)</f>
        <v>#REF!</v>
      </c>
      <c r="I10" s="30" t="e">
        <f>AVERAGE(I3)</f>
        <v>#DIV/0!</v>
      </c>
      <c r="J10" s="257" t="e">
        <f>AVERAGE(#REF!)</f>
        <v>#REF!</v>
      </c>
      <c r="K10" s="33" t="e">
        <f>AVERAGE(#REF!)</f>
        <v>#REF!</v>
      </c>
      <c r="L10" s="428" t="e">
        <f>AVERAGE(#REF!)</f>
        <v>#REF!</v>
      </c>
    </row>
    <row r="11" spans="1:13" s="42" customFormat="1" ht="14.25" thickBot="1" x14ac:dyDescent="0.3">
      <c r="A11" s="25" t="s">
        <v>3</v>
      </c>
      <c r="B11" s="429">
        <v>44046</v>
      </c>
      <c r="C11" s="366"/>
      <c r="D11" s="367"/>
      <c r="E11" s="367"/>
      <c r="F11" s="14"/>
      <c r="G11" s="56"/>
      <c r="H11" s="373">
        <v>169</v>
      </c>
      <c r="I11" s="374">
        <v>147</v>
      </c>
      <c r="J11" s="127"/>
      <c r="K11" s="13"/>
      <c r="L11" s="49">
        <f t="shared" ref="L11:L17" si="2">SUM(C11:K11)</f>
        <v>316</v>
      </c>
    </row>
    <row r="12" spans="1:13" s="42" customFormat="1" ht="14.25" thickBot="1" x14ac:dyDescent="0.3">
      <c r="A12" s="25" t="s">
        <v>4</v>
      </c>
      <c r="B12" s="220">
        <v>44047</v>
      </c>
      <c r="C12" s="277"/>
      <c r="D12" s="230"/>
      <c r="E12" s="230"/>
      <c r="F12" s="195"/>
      <c r="G12" s="203"/>
      <c r="H12" s="325">
        <v>40</v>
      </c>
      <c r="I12" s="238">
        <v>86</v>
      </c>
      <c r="J12" s="128"/>
      <c r="K12" s="19"/>
      <c r="L12" s="49">
        <f t="shared" si="2"/>
        <v>126</v>
      </c>
    </row>
    <row r="13" spans="1:13" s="42" customFormat="1" ht="14.25" thickBot="1" x14ac:dyDescent="0.3">
      <c r="A13" s="25" t="s">
        <v>5</v>
      </c>
      <c r="B13" s="220">
        <v>44048</v>
      </c>
      <c r="C13" s="277"/>
      <c r="D13" s="399"/>
      <c r="E13" s="230"/>
      <c r="F13" s="195"/>
      <c r="G13" s="203"/>
      <c r="H13" s="325">
        <v>186</v>
      </c>
      <c r="I13" s="238">
        <v>169</v>
      </c>
      <c r="J13" s="128"/>
      <c r="K13" s="19"/>
      <c r="L13" s="49">
        <f t="shared" si="2"/>
        <v>355</v>
      </c>
    </row>
    <row r="14" spans="1:13" s="42" customFormat="1" ht="14.25" thickBot="1" x14ac:dyDescent="0.3">
      <c r="A14" s="25" t="s">
        <v>6</v>
      </c>
      <c r="B14" s="220">
        <v>44049</v>
      </c>
      <c r="C14" s="277"/>
      <c r="D14" s="230"/>
      <c r="E14" s="229"/>
      <c r="F14" s="20"/>
      <c r="G14" s="57"/>
      <c r="H14" s="325">
        <v>194</v>
      </c>
      <c r="I14" s="238">
        <v>171</v>
      </c>
      <c r="J14" s="128"/>
      <c r="K14" s="19"/>
      <c r="L14" s="49">
        <f t="shared" si="2"/>
        <v>365</v>
      </c>
      <c r="M14" s="137"/>
    </row>
    <row r="15" spans="1:13" s="42" customFormat="1" ht="14.25" thickBot="1" x14ac:dyDescent="0.3">
      <c r="A15" s="25" t="s">
        <v>0</v>
      </c>
      <c r="B15" s="220">
        <v>44050</v>
      </c>
      <c r="C15" s="277"/>
      <c r="D15" s="228"/>
      <c r="E15" s="229"/>
      <c r="F15" s="20"/>
      <c r="G15" s="57"/>
      <c r="H15" s="325">
        <v>137</v>
      </c>
      <c r="I15" s="238">
        <v>133</v>
      </c>
      <c r="J15" s="128"/>
      <c r="K15" s="19"/>
      <c r="L15" s="49">
        <f t="shared" si="2"/>
        <v>270</v>
      </c>
      <c r="M15" s="137"/>
    </row>
    <row r="16" spans="1:13" s="42" customFormat="1" ht="14.25" outlineLevel="1" thickBot="1" x14ac:dyDescent="0.3">
      <c r="A16" s="25" t="s">
        <v>1</v>
      </c>
      <c r="B16" s="220">
        <v>44051</v>
      </c>
      <c r="C16" s="277"/>
      <c r="D16" s="228"/>
      <c r="E16" s="229"/>
      <c r="F16" s="20"/>
      <c r="G16" s="57"/>
      <c r="H16" s="400"/>
      <c r="I16" s="397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220">
        <v>44052</v>
      </c>
      <c r="C17" s="330"/>
      <c r="D17" s="331"/>
      <c r="E17" s="332"/>
      <c r="F17" s="52"/>
      <c r="G17" s="256"/>
      <c r="H17" s="401"/>
      <c r="I17" s="398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20</v>
      </c>
      <c r="B18" s="713" t="s">
        <v>23</v>
      </c>
      <c r="C18" s="326">
        <f t="shared" ref="C18:K18" si="3">SUM(C11:C17)</f>
        <v>0</v>
      </c>
      <c r="D18" s="327">
        <f t="shared" si="3"/>
        <v>0</v>
      </c>
      <c r="E18" s="327">
        <f t="shared" si="3"/>
        <v>0</v>
      </c>
      <c r="F18" s="327">
        <f t="shared" si="3"/>
        <v>0</v>
      </c>
      <c r="G18" s="328">
        <f t="shared" si="3"/>
        <v>0</v>
      </c>
      <c r="H18" s="252">
        <f t="shared" si="3"/>
        <v>726</v>
      </c>
      <c r="I18" s="266">
        <f t="shared" si="3"/>
        <v>706</v>
      </c>
      <c r="J18" s="268">
        <f t="shared" si="3"/>
        <v>0</v>
      </c>
      <c r="K18" s="258">
        <f t="shared" si="3"/>
        <v>0</v>
      </c>
      <c r="L18" s="105">
        <f>SUM(L11:L17)</f>
        <v>1432</v>
      </c>
    </row>
    <row r="19" spans="1:13" s="43" customFormat="1" ht="15" customHeight="1" outlineLevel="1" thickBot="1" x14ac:dyDescent="0.3">
      <c r="A19" s="101" t="s">
        <v>22</v>
      </c>
      <c r="B19" s="714"/>
      <c r="C19" s="278" t="e">
        <f>AVERAGE(C11:C17)</f>
        <v>#DIV/0!</v>
      </c>
      <c r="D19" s="231" t="e">
        <f t="shared" ref="D19:K19" si="4">AVERAGE(D11:D17)</f>
        <v>#DIV/0!</v>
      </c>
      <c r="E19" s="231" t="e">
        <f t="shared" si="4"/>
        <v>#DIV/0!</v>
      </c>
      <c r="F19" s="231" t="e">
        <f t="shared" si="4"/>
        <v>#DIV/0!</v>
      </c>
      <c r="G19" s="318" t="e">
        <f t="shared" si="4"/>
        <v>#DIV/0!</v>
      </c>
      <c r="H19" s="234">
        <f t="shared" si="4"/>
        <v>145.19999999999999</v>
      </c>
      <c r="I19" s="235">
        <f>AVERAGE(I15:I17)</f>
        <v>133</v>
      </c>
      <c r="J19" s="262" t="e">
        <f t="shared" si="4"/>
        <v>#DIV/0!</v>
      </c>
      <c r="K19" s="243" t="e">
        <f t="shared" si="4"/>
        <v>#DIV/0!</v>
      </c>
      <c r="L19" s="103">
        <f>AVERAGE(L11:L17)</f>
        <v>204.57142857142858</v>
      </c>
    </row>
    <row r="20" spans="1:13" s="43" customFormat="1" ht="15" customHeight="1" thickBot="1" x14ac:dyDescent="0.3">
      <c r="A20" s="26" t="s">
        <v>19</v>
      </c>
      <c r="B20" s="714"/>
      <c r="C20" s="279">
        <f t="shared" ref="C20:K20" si="5">SUM(C11:C15)</f>
        <v>0</v>
      </c>
      <c r="D20" s="232">
        <f t="shared" si="5"/>
        <v>0</v>
      </c>
      <c r="E20" s="232">
        <f t="shared" si="5"/>
        <v>0</v>
      </c>
      <c r="F20" s="232">
        <f t="shared" si="5"/>
        <v>0</v>
      </c>
      <c r="G20" s="319">
        <f t="shared" si="5"/>
        <v>0</v>
      </c>
      <c r="H20" s="236">
        <f>SUM(H11:H15)</f>
        <v>726</v>
      </c>
      <c r="I20" s="237">
        <f>SUM(I11:I15)</f>
        <v>706</v>
      </c>
      <c r="J20" s="263">
        <f t="shared" si="5"/>
        <v>0</v>
      </c>
      <c r="K20" s="244">
        <f t="shared" si="5"/>
        <v>0</v>
      </c>
      <c r="L20" s="28">
        <f>SUM(L11:L15)</f>
        <v>1432</v>
      </c>
    </row>
    <row r="21" spans="1:13" s="43" customFormat="1" ht="15" customHeight="1" thickBot="1" x14ac:dyDescent="0.3">
      <c r="A21" s="26" t="s">
        <v>21</v>
      </c>
      <c r="B21" s="714"/>
      <c r="C21" s="335" t="e">
        <f>AVERAGE(C11:C15)</f>
        <v>#DIV/0!</v>
      </c>
      <c r="D21" s="336" t="e">
        <f t="shared" ref="D21:K21" si="6">AVERAGE(D11:D15)</f>
        <v>#DIV/0!</v>
      </c>
      <c r="E21" s="336" t="e">
        <f t="shared" si="6"/>
        <v>#DIV/0!</v>
      </c>
      <c r="F21" s="336" t="e">
        <f t="shared" si="6"/>
        <v>#DIV/0!</v>
      </c>
      <c r="G21" s="337" t="e">
        <f t="shared" si="6"/>
        <v>#DIV/0!</v>
      </c>
      <c r="H21" s="338">
        <f t="shared" si="6"/>
        <v>145.19999999999999</v>
      </c>
      <c r="I21" s="339">
        <f>AVERAGE(I15)</f>
        <v>133</v>
      </c>
      <c r="J21" s="340" t="e">
        <f t="shared" si="6"/>
        <v>#DIV/0!</v>
      </c>
      <c r="K21" s="341" t="e">
        <f t="shared" si="6"/>
        <v>#DIV/0!</v>
      </c>
      <c r="L21" s="33">
        <f>AVERAGE(L11:L15)</f>
        <v>286.39999999999998</v>
      </c>
    </row>
    <row r="22" spans="1:13" s="43" customFormat="1" ht="15" customHeight="1" thickBot="1" x14ac:dyDescent="0.3">
      <c r="A22" s="25" t="s">
        <v>3</v>
      </c>
      <c r="B22" s="221">
        <f>B17+1</f>
        <v>44053</v>
      </c>
      <c r="C22" s="329"/>
      <c r="D22" s="233"/>
      <c r="E22" s="233"/>
      <c r="F22" s="342"/>
      <c r="G22" s="343"/>
      <c r="H22" s="323">
        <v>172</v>
      </c>
      <c r="I22" s="324">
        <v>172</v>
      </c>
      <c r="J22" s="344"/>
      <c r="K22" s="345"/>
      <c r="L22" s="16">
        <f t="shared" ref="L22:L28" si="7">SUM(C22:K22)</f>
        <v>344</v>
      </c>
    </row>
    <row r="23" spans="1:13" s="43" customFormat="1" ht="15" customHeight="1" thickBot="1" x14ac:dyDescent="0.3">
      <c r="A23" s="25" t="s">
        <v>4</v>
      </c>
      <c r="B23" s="222">
        <f t="shared" ref="B23:B28" si="8">B22+1</f>
        <v>44054</v>
      </c>
      <c r="C23" s="277"/>
      <c r="D23" s="230"/>
      <c r="E23" s="230"/>
      <c r="F23" s="170"/>
      <c r="G23" s="172"/>
      <c r="H23" s="325">
        <v>185</v>
      </c>
      <c r="I23" s="238">
        <v>179</v>
      </c>
      <c r="J23" s="264"/>
      <c r="K23" s="274"/>
      <c r="L23" s="17">
        <f t="shared" si="7"/>
        <v>364</v>
      </c>
    </row>
    <row r="24" spans="1:13" s="43" customFormat="1" ht="15" customHeight="1" thickBot="1" x14ac:dyDescent="0.3">
      <c r="A24" s="25" t="s">
        <v>5</v>
      </c>
      <c r="B24" s="222">
        <f t="shared" si="8"/>
        <v>44055</v>
      </c>
      <c r="C24" s="277"/>
      <c r="D24" s="230"/>
      <c r="E24" s="230"/>
      <c r="F24" s="170"/>
      <c r="G24" s="172"/>
      <c r="H24" s="370">
        <v>174</v>
      </c>
      <c r="I24" s="274">
        <v>157</v>
      </c>
      <c r="J24" s="264"/>
      <c r="K24" s="274"/>
      <c r="L24" s="17">
        <f t="shared" si="7"/>
        <v>331</v>
      </c>
    </row>
    <row r="25" spans="1:13" s="43" customFormat="1" ht="15" customHeight="1" thickBot="1" x14ac:dyDescent="0.3">
      <c r="A25" s="25" t="s">
        <v>6</v>
      </c>
      <c r="B25" s="223">
        <f t="shared" si="8"/>
        <v>44056</v>
      </c>
      <c r="C25" s="277"/>
      <c r="D25" s="228"/>
      <c r="E25" s="228"/>
      <c r="F25" s="219"/>
      <c r="G25" s="57"/>
      <c r="H25" s="370">
        <v>180</v>
      </c>
      <c r="I25" s="274">
        <v>171</v>
      </c>
      <c r="J25" s="123"/>
      <c r="K25" s="19"/>
      <c r="L25" s="17">
        <f t="shared" si="7"/>
        <v>351</v>
      </c>
    </row>
    <row r="26" spans="1:13" s="43" customFormat="1" ht="15" customHeight="1" thickBot="1" x14ac:dyDescent="0.3">
      <c r="A26" s="25" t="s">
        <v>0</v>
      </c>
      <c r="B26" s="223">
        <f t="shared" si="8"/>
        <v>44057</v>
      </c>
      <c r="C26" s="277"/>
      <c r="D26" s="228"/>
      <c r="E26" s="228"/>
      <c r="F26" s="219"/>
      <c r="G26" s="57"/>
      <c r="H26" s="370">
        <v>143</v>
      </c>
      <c r="I26" s="274">
        <v>138</v>
      </c>
      <c r="J26" s="123"/>
      <c r="K26" s="19"/>
      <c r="L26" s="17">
        <f t="shared" si="7"/>
        <v>281</v>
      </c>
    </row>
    <row r="27" spans="1:13" s="43" customFormat="1" ht="15" customHeight="1" outlineLevel="1" thickBot="1" x14ac:dyDescent="0.3">
      <c r="A27" s="25" t="s">
        <v>1</v>
      </c>
      <c r="B27" s="220">
        <f t="shared" si="8"/>
        <v>44058</v>
      </c>
      <c r="C27" s="277"/>
      <c r="D27" s="230"/>
      <c r="E27" s="228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222">
        <f t="shared" si="8"/>
        <v>44059</v>
      </c>
      <c r="C28" s="330"/>
      <c r="D28" s="331"/>
      <c r="E28" s="331"/>
      <c r="F28" s="346"/>
      <c r="G28" s="256"/>
      <c r="H28" s="401"/>
      <c r="I28" s="398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20</v>
      </c>
      <c r="B29" s="713" t="s">
        <v>24</v>
      </c>
      <c r="C29" s="326">
        <f t="shared" ref="C29:L29" si="9">SUM(C22:C28)</f>
        <v>0</v>
      </c>
      <c r="D29" s="327">
        <f t="shared" si="9"/>
        <v>0</v>
      </c>
      <c r="E29" s="327">
        <f t="shared" si="9"/>
        <v>0</v>
      </c>
      <c r="F29" s="327">
        <f t="shared" si="9"/>
        <v>0</v>
      </c>
      <c r="G29" s="328">
        <f t="shared" si="9"/>
        <v>0</v>
      </c>
      <c r="H29" s="252">
        <f t="shared" si="9"/>
        <v>854</v>
      </c>
      <c r="I29" s="266">
        <f t="shared" si="9"/>
        <v>817</v>
      </c>
      <c r="J29" s="268">
        <f t="shared" si="9"/>
        <v>0</v>
      </c>
      <c r="K29" s="258">
        <f t="shared" si="9"/>
        <v>0</v>
      </c>
      <c r="L29" s="105">
        <f t="shared" si="9"/>
        <v>1671</v>
      </c>
    </row>
    <row r="30" spans="1:13" s="43" customFormat="1" ht="15" customHeight="1" outlineLevel="1" thickBot="1" x14ac:dyDescent="0.3">
      <c r="A30" s="101" t="s">
        <v>22</v>
      </c>
      <c r="B30" s="714"/>
      <c r="C30" s="278" t="e">
        <f>AVERAGE(C22:C28)</f>
        <v>#DIV/0!</v>
      </c>
      <c r="D30" s="231" t="e">
        <f>AVERAGE(D22:D28)</f>
        <v>#DIV/0!</v>
      </c>
      <c r="E30" s="231" t="e">
        <f t="shared" ref="E30:J30" si="10">AVERAGE(E22:E28)</f>
        <v>#DIV/0!</v>
      </c>
      <c r="F30" s="231" t="e">
        <f>AVERAGE(F22:F28)</f>
        <v>#DIV/0!</v>
      </c>
      <c r="G30" s="318" t="e">
        <f>AVERAGE(G22:G28)</f>
        <v>#DIV/0!</v>
      </c>
      <c r="H30" s="234">
        <f t="shared" si="10"/>
        <v>170.8</v>
      </c>
      <c r="I30" s="235">
        <f>AVERAGE(I22:I28)</f>
        <v>163.4</v>
      </c>
      <c r="J30" s="262" t="e">
        <f t="shared" si="10"/>
        <v>#DIV/0!</v>
      </c>
      <c r="K30" s="243" t="e">
        <f>AVERAGE(K22:K28)</f>
        <v>#DIV/0!</v>
      </c>
      <c r="L30" s="103">
        <f>AVERAGE(L22:L28)</f>
        <v>238.71428571428572</v>
      </c>
    </row>
    <row r="31" spans="1:13" s="43" customFormat="1" ht="15" customHeight="1" thickBot="1" x14ac:dyDescent="0.3">
      <c r="A31" s="26" t="s">
        <v>19</v>
      </c>
      <c r="B31" s="714"/>
      <c r="C31" s="279">
        <f>SUM(C22:C26)</f>
        <v>0</v>
      </c>
      <c r="D31" s="232">
        <f t="shared" ref="D31:J31" si="11">SUM(D22:D26)</f>
        <v>0</v>
      </c>
      <c r="E31" s="232">
        <f t="shared" si="11"/>
        <v>0</v>
      </c>
      <c r="F31" s="232">
        <f t="shared" si="11"/>
        <v>0</v>
      </c>
      <c r="G31" s="319">
        <f t="shared" si="11"/>
        <v>0</v>
      </c>
      <c r="H31" s="236">
        <f>SUM(H22:H26)</f>
        <v>854</v>
      </c>
      <c r="I31" s="237">
        <f>SUM(I22:I26)</f>
        <v>817</v>
      </c>
      <c r="J31" s="263">
        <f t="shared" si="11"/>
        <v>0</v>
      </c>
      <c r="K31" s="244">
        <f>SUM(K22:K26)</f>
        <v>0</v>
      </c>
      <c r="L31" s="28">
        <f>SUM(L22:L26)</f>
        <v>1671</v>
      </c>
    </row>
    <row r="32" spans="1:13" s="43" customFormat="1" ht="15" customHeight="1" thickBot="1" x14ac:dyDescent="0.3">
      <c r="A32" s="26" t="s">
        <v>21</v>
      </c>
      <c r="B32" s="715"/>
      <c r="C32" s="335" t="e">
        <f>AVERAGE(C22:C26)</f>
        <v>#DIV/0!</v>
      </c>
      <c r="D32" s="336" t="e">
        <f t="shared" ref="D32:J32" si="12">AVERAGE(D22:D26)</f>
        <v>#DIV/0!</v>
      </c>
      <c r="E32" s="336" t="e">
        <f t="shared" si="12"/>
        <v>#DIV/0!</v>
      </c>
      <c r="F32" s="336" t="e">
        <f t="shared" si="12"/>
        <v>#DIV/0!</v>
      </c>
      <c r="G32" s="337" t="e">
        <f t="shared" si="12"/>
        <v>#DIV/0!</v>
      </c>
      <c r="H32" s="338">
        <f t="shared" si="12"/>
        <v>170.8</v>
      </c>
      <c r="I32" s="339">
        <f>AVERAGE(I22:I26)</f>
        <v>163.4</v>
      </c>
      <c r="J32" s="340" t="e">
        <f t="shared" si="12"/>
        <v>#DIV/0!</v>
      </c>
      <c r="K32" s="341" t="e">
        <f>AVERAGE(K22:K26)</f>
        <v>#DIV/0!</v>
      </c>
      <c r="L32" s="261">
        <f>AVERAGE(L22:L26)</f>
        <v>334.2</v>
      </c>
    </row>
    <row r="33" spans="1:12" s="43" customFormat="1" ht="15" customHeight="1" thickBot="1" x14ac:dyDescent="0.3">
      <c r="A33" s="25" t="s">
        <v>3</v>
      </c>
      <c r="B33" s="224">
        <f>B28+1</f>
        <v>44060</v>
      </c>
      <c r="C33" s="347"/>
      <c r="D33" s="233"/>
      <c r="E33" s="233"/>
      <c r="F33" s="342"/>
      <c r="G33" s="345"/>
      <c r="H33" s="323">
        <v>180</v>
      </c>
      <c r="I33" s="324">
        <v>160</v>
      </c>
      <c r="J33" s="344"/>
      <c r="K33" s="345"/>
      <c r="L33" s="16">
        <f>SUM(C33:K33)</f>
        <v>340</v>
      </c>
    </row>
    <row r="34" spans="1:12" s="43" customFormat="1" ht="15" customHeight="1" thickBot="1" x14ac:dyDescent="0.3">
      <c r="A34" s="25" t="s">
        <v>4</v>
      </c>
      <c r="B34" s="216">
        <f t="shared" ref="B34:B39" si="13">B33+1</f>
        <v>44061</v>
      </c>
      <c r="C34" s="280"/>
      <c r="D34" s="230"/>
      <c r="E34" s="230"/>
      <c r="F34" s="230"/>
      <c r="G34" s="397"/>
      <c r="H34" s="325">
        <v>204</v>
      </c>
      <c r="I34" s="238">
        <v>195</v>
      </c>
      <c r="J34" s="392"/>
      <c r="K34" s="207"/>
      <c r="L34" s="17">
        <f>SUM(C34:K34)</f>
        <v>399</v>
      </c>
    </row>
    <row r="35" spans="1:12" s="43" customFormat="1" ht="15" customHeight="1" thickBot="1" x14ac:dyDescent="0.3">
      <c r="A35" s="25" t="s">
        <v>5</v>
      </c>
      <c r="B35" s="216">
        <f t="shared" si="13"/>
        <v>44062</v>
      </c>
      <c r="C35" s="280"/>
      <c r="D35" s="230"/>
      <c r="E35" s="230"/>
      <c r="F35" s="230"/>
      <c r="G35" s="397"/>
      <c r="H35" s="325">
        <v>182</v>
      </c>
      <c r="I35" s="238">
        <v>186</v>
      </c>
      <c r="J35" s="392"/>
      <c r="K35" s="207"/>
      <c r="L35" s="17">
        <f t="shared" ref="L35" si="14">SUM(C35:K35)</f>
        <v>368</v>
      </c>
    </row>
    <row r="36" spans="1:12" s="43" customFormat="1" ht="15" customHeight="1" thickBot="1" x14ac:dyDescent="0.3">
      <c r="A36" s="25" t="s">
        <v>6</v>
      </c>
      <c r="B36" s="216">
        <f t="shared" si="13"/>
        <v>44063</v>
      </c>
      <c r="C36" s="280"/>
      <c r="D36" s="230"/>
      <c r="E36" s="230"/>
      <c r="F36" s="230"/>
      <c r="G36" s="397"/>
      <c r="H36" s="370">
        <v>214</v>
      </c>
      <c r="I36" s="274">
        <v>206</v>
      </c>
      <c r="J36" s="193"/>
      <c r="K36" s="204"/>
      <c r="L36" s="17">
        <f>SUM(C36:K36)</f>
        <v>420</v>
      </c>
    </row>
    <row r="37" spans="1:12" s="43" customFormat="1" ht="15" customHeight="1" thickBot="1" x14ac:dyDescent="0.3">
      <c r="A37" s="25" t="s">
        <v>0</v>
      </c>
      <c r="B37" s="216">
        <f t="shared" si="13"/>
        <v>44064</v>
      </c>
      <c r="C37" s="280"/>
      <c r="D37" s="230"/>
      <c r="E37" s="230"/>
      <c r="F37" s="230"/>
      <c r="G37" s="397"/>
      <c r="H37" s="370">
        <v>160</v>
      </c>
      <c r="I37" s="274">
        <v>147</v>
      </c>
      <c r="J37" s="193"/>
      <c r="K37" s="204"/>
      <c r="L37" s="17">
        <f>SUM(C37:K37)</f>
        <v>307</v>
      </c>
    </row>
    <row r="38" spans="1:12" s="43" customFormat="1" ht="15" customHeight="1" outlineLevel="1" thickBot="1" x14ac:dyDescent="0.3">
      <c r="A38" s="25" t="s">
        <v>1</v>
      </c>
      <c r="B38" s="216">
        <f t="shared" si="13"/>
        <v>44065</v>
      </c>
      <c r="C38" s="280"/>
      <c r="D38" s="230"/>
      <c r="E38" s="230"/>
      <c r="F38" s="230"/>
      <c r="G38" s="397"/>
      <c r="H38" s="370"/>
      <c r="I38" s="274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216">
        <f t="shared" si="13"/>
        <v>44066</v>
      </c>
      <c r="C39" s="348"/>
      <c r="D39" s="459"/>
      <c r="E39" s="459"/>
      <c r="F39" s="459"/>
      <c r="G39" s="398"/>
      <c r="H39" s="333"/>
      <c r="I39" s="334"/>
      <c r="J39" s="357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20</v>
      </c>
      <c r="B40" s="713" t="s">
        <v>25</v>
      </c>
      <c r="C40" s="326">
        <f t="shared" ref="C40:L40" si="15">SUM(C33:C39)</f>
        <v>0</v>
      </c>
      <c r="D40" s="327">
        <f>SUM(D33:D39)</f>
        <v>0</v>
      </c>
      <c r="E40" s="327">
        <f>SUM(E33:E39)</f>
        <v>0</v>
      </c>
      <c r="F40" s="327">
        <f>SUM(F33:F39)</f>
        <v>0</v>
      </c>
      <c r="G40" s="328">
        <f>SUM(G33:G39)</f>
        <v>0</v>
      </c>
      <c r="H40" s="252">
        <f t="shared" si="15"/>
        <v>940</v>
      </c>
      <c r="I40" s="266">
        <f t="shared" si="15"/>
        <v>894</v>
      </c>
      <c r="J40" s="268">
        <f t="shared" si="15"/>
        <v>0</v>
      </c>
      <c r="K40" s="258">
        <f t="shared" si="15"/>
        <v>0</v>
      </c>
      <c r="L40" s="105">
        <f t="shared" si="15"/>
        <v>1834</v>
      </c>
    </row>
    <row r="41" spans="1:12" s="43" customFormat="1" ht="15" customHeight="1" outlineLevel="1" thickBot="1" x14ac:dyDescent="0.3">
      <c r="A41" s="101" t="s">
        <v>22</v>
      </c>
      <c r="B41" s="714"/>
      <c r="C41" s="278" t="e">
        <f t="shared" ref="C41:L41" si="16">AVERAGE(C33:C39)</f>
        <v>#DIV/0!</v>
      </c>
      <c r="D41" s="231" t="e">
        <f t="shared" si="16"/>
        <v>#DIV/0!</v>
      </c>
      <c r="E41" s="231" t="e">
        <f t="shared" si="16"/>
        <v>#DIV/0!</v>
      </c>
      <c r="F41" s="231" t="e">
        <f>AVERAGE(F33:F39)</f>
        <v>#DIV/0!</v>
      </c>
      <c r="G41" s="318" t="e">
        <f t="shared" si="16"/>
        <v>#DIV/0!</v>
      </c>
      <c r="H41" s="234">
        <f t="shared" si="16"/>
        <v>188</v>
      </c>
      <c r="I41" s="235">
        <f t="shared" si="16"/>
        <v>178.8</v>
      </c>
      <c r="J41" s="262" t="e">
        <f t="shared" si="16"/>
        <v>#DIV/0!</v>
      </c>
      <c r="K41" s="243" t="e">
        <f t="shared" si="16"/>
        <v>#DIV/0!</v>
      </c>
      <c r="L41" s="103">
        <f t="shared" si="16"/>
        <v>262</v>
      </c>
    </row>
    <row r="42" spans="1:12" s="43" customFormat="1" ht="15" customHeight="1" thickBot="1" x14ac:dyDescent="0.3">
      <c r="A42" s="26" t="s">
        <v>19</v>
      </c>
      <c r="B42" s="714"/>
      <c r="C42" s="279">
        <f t="shared" ref="C42:K42" si="17">SUM(C33:C37)</f>
        <v>0</v>
      </c>
      <c r="D42" s="232">
        <f t="shared" si="17"/>
        <v>0</v>
      </c>
      <c r="E42" s="232">
        <f>SUM(E33:E37)</f>
        <v>0</v>
      </c>
      <c r="F42" s="232">
        <f>SUM(F33:F37)</f>
        <v>0</v>
      </c>
      <c r="G42" s="319">
        <f>SUM(G33:G37)</f>
        <v>0</v>
      </c>
      <c r="H42" s="236">
        <f>SUM(H33:H37)</f>
        <v>940</v>
      </c>
      <c r="I42" s="237">
        <f>SUM(I33:I37)</f>
        <v>894</v>
      </c>
      <c r="J42" s="263">
        <f t="shared" si="17"/>
        <v>0</v>
      </c>
      <c r="K42" s="244">
        <f t="shared" si="17"/>
        <v>0</v>
      </c>
      <c r="L42" s="28">
        <f>SUM(L33:L37)</f>
        <v>1834</v>
      </c>
    </row>
    <row r="43" spans="1:12" s="43" customFormat="1" ht="15" customHeight="1" thickBot="1" x14ac:dyDescent="0.3">
      <c r="A43" s="26" t="s">
        <v>21</v>
      </c>
      <c r="B43" s="715"/>
      <c r="C43" s="335" t="e">
        <f t="shared" ref="C43:L43" si="18">AVERAGE(C33:C37)</f>
        <v>#DIV/0!</v>
      </c>
      <c r="D43" s="336" t="e">
        <f t="shared" si="18"/>
        <v>#DIV/0!</v>
      </c>
      <c r="E43" s="336" t="e">
        <f t="shared" si="18"/>
        <v>#DIV/0!</v>
      </c>
      <c r="F43" s="336" t="e">
        <f t="shared" si="18"/>
        <v>#DIV/0!</v>
      </c>
      <c r="G43" s="337" t="e">
        <f t="shared" si="18"/>
        <v>#DIV/0!</v>
      </c>
      <c r="H43" s="338">
        <f t="shared" si="18"/>
        <v>188</v>
      </c>
      <c r="I43" s="339">
        <f t="shared" si="18"/>
        <v>178.8</v>
      </c>
      <c r="J43" s="340" t="e">
        <f t="shared" si="18"/>
        <v>#DIV/0!</v>
      </c>
      <c r="K43" s="341" t="e">
        <f t="shared" si="18"/>
        <v>#DIV/0!</v>
      </c>
      <c r="L43" s="33">
        <f t="shared" si="18"/>
        <v>366.8</v>
      </c>
    </row>
    <row r="44" spans="1:12" s="43" customFormat="1" ht="15" customHeight="1" thickBot="1" x14ac:dyDescent="0.3">
      <c r="A44" s="25" t="s">
        <v>3</v>
      </c>
      <c r="B44" s="159">
        <f>B39+1</f>
        <v>44067</v>
      </c>
      <c r="C44" s="349"/>
      <c r="D44" s="233"/>
      <c r="E44" s="233"/>
      <c r="F44" s="233"/>
      <c r="G44" s="404"/>
      <c r="H44" s="323">
        <v>173</v>
      </c>
      <c r="I44" s="324">
        <v>177</v>
      </c>
      <c r="J44" s="393"/>
      <c r="K44" s="396"/>
      <c r="L44" s="16">
        <f>SUM(C44:K44)</f>
        <v>350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44068</v>
      </c>
      <c r="C45" s="281"/>
      <c r="D45" s="228"/>
      <c r="E45" s="228"/>
      <c r="F45" s="228"/>
      <c r="G45" s="255"/>
      <c r="H45" s="325">
        <v>187</v>
      </c>
      <c r="I45" s="238">
        <v>164</v>
      </c>
      <c r="J45" s="394"/>
      <c r="K45" s="397"/>
      <c r="L45" s="17">
        <f t="shared" ref="L45:L49" si="20">SUM(C45:K45)</f>
        <v>351</v>
      </c>
    </row>
    <row r="46" spans="1:12" s="43" customFormat="1" ht="15" customHeight="1" thickBot="1" x14ac:dyDescent="0.3">
      <c r="A46" s="25" t="s">
        <v>5</v>
      </c>
      <c r="B46" s="160">
        <f t="shared" si="19"/>
        <v>44069</v>
      </c>
      <c r="C46" s="281"/>
      <c r="D46" s="228"/>
      <c r="E46" s="228"/>
      <c r="F46" s="228"/>
      <c r="G46" s="255"/>
      <c r="H46" s="325">
        <v>187</v>
      </c>
      <c r="I46" s="238">
        <v>176</v>
      </c>
      <c r="J46" s="394"/>
      <c r="K46" s="397"/>
      <c r="L46" s="17">
        <f t="shared" si="20"/>
        <v>363</v>
      </c>
    </row>
    <row r="47" spans="1:12" s="43" customFormat="1" ht="15" customHeight="1" thickBot="1" x14ac:dyDescent="0.3">
      <c r="A47" s="25" t="s">
        <v>6</v>
      </c>
      <c r="B47" s="160">
        <f t="shared" si="19"/>
        <v>44070</v>
      </c>
      <c r="C47" s="281"/>
      <c r="D47" s="228"/>
      <c r="E47" s="228"/>
      <c r="F47" s="230"/>
      <c r="G47" s="255"/>
      <c r="H47" s="370">
        <v>188</v>
      </c>
      <c r="I47" s="274">
        <v>179</v>
      </c>
      <c r="J47" s="392"/>
      <c r="K47" s="397"/>
      <c r="L47" s="17">
        <f t="shared" si="20"/>
        <v>367</v>
      </c>
    </row>
    <row r="48" spans="1:12" s="43" customFormat="1" ht="15" customHeight="1" thickBot="1" x14ac:dyDescent="0.3">
      <c r="A48" s="25" t="s">
        <v>0</v>
      </c>
      <c r="B48" s="160">
        <f t="shared" si="19"/>
        <v>44071</v>
      </c>
      <c r="C48" s="281"/>
      <c r="D48" s="228"/>
      <c r="E48" s="228"/>
      <c r="F48" s="228"/>
      <c r="G48" s="255"/>
      <c r="H48" s="370">
        <v>135</v>
      </c>
      <c r="I48" s="274">
        <v>122</v>
      </c>
      <c r="J48" s="392"/>
      <c r="K48" s="397"/>
      <c r="L48" s="17">
        <f t="shared" si="20"/>
        <v>257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44072</v>
      </c>
      <c r="C49" s="281"/>
      <c r="D49" s="230"/>
      <c r="E49" s="228"/>
      <c r="F49" s="228"/>
      <c r="G49" s="255"/>
      <c r="H49" s="325"/>
      <c r="I49" s="238"/>
      <c r="J49" s="394"/>
      <c r="K49" s="397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402">
        <f t="shared" si="19"/>
        <v>44073</v>
      </c>
      <c r="C50" s="351"/>
      <c r="D50" s="331"/>
      <c r="E50" s="331"/>
      <c r="F50" s="331"/>
      <c r="G50" s="267"/>
      <c r="H50" s="333"/>
      <c r="I50" s="334"/>
      <c r="J50" s="395"/>
      <c r="K50" s="398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20</v>
      </c>
      <c r="B51" s="713" t="s">
        <v>26</v>
      </c>
      <c r="C51" s="326">
        <f>SUM(C44:C50)</f>
        <v>0</v>
      </c>
      <c r="D51" s="327">
        <f t="shared" ref="D51" si="21">SUM(D44:D50)</f>
        <v>0</v>
      </c>
      <c r="E51" s="327">
        <f t="shared" ref="E51:K51" si="22">SUM(E44:E50)</f>
        <v>0</v>
      </c>
      <c r="F51" s="327">
        <f t="shared" si="22"/>
        <v>0</v>
      </c>
      <c r="G51" s="328">
        <f t="shared" si="22"/>
        <v>0</v>
      </c>
      <c r="H51" s="252">
        <f>SUM(H44:H50)</f>
        <v>870</v>
      </c>
      <c r="I51" s="266">
        <f>SUM(I44:I50)</f>
        <v>818</v>
      </c>
      <c r="J51" s="268">
        <f t="shared" si="22"/>
        <v>0</v>
      </c>
      <c r="K51" s="258">
        <f t="shared" si="22"/>
        <v>0</v>
      </c>
      <c r="L51" s="105">
        <f>SUM(L44:L50)</f>
        <v>1688</v>
      </c>
    </row>
    <row r="52" spans="1:13" s="43" customFormat="1" ht="15" customHeight="1" outlineLevel="1" thickBot="1" x14ac:dyDescent="0.3">
      <c r="A52" s="101" t="s">
        <v>22</v>
      </c>
      <c r="B52" s="714"/>
      <c r="C52" s="278" t="e">
        <f>AVERAGE(C44:C50)</f>
        <v>#DIV/0!</v>
      </c>
      <c r="D52" s="231" t="e">
        <f t="shared" ref="D52:L52" si="23">AVERAGE(D44:D50)</f>
        <v>#DIV/0!</v>
      </c>
      <c r="E52" s="231" t="e">
        <f t="shared" si="23"/>
        <v>#DIV/0!</v>
      </c>
      <c r="F52" s="231" t="e">
        <f t="shared" si="23"/>
        <v>#DIV/0!</v>
      </c>
      <c r="G52" s="318" t="e">
        <f t="shared" si="23"/>
        <v>#DIV/0!</v>
      </c>
      <c r="H52" s="234">
        <f>AVERAGE(H44:H50)</f>
        <v>174</v>
      </c>
      <c r="I52" s="235">
        <f>AVERAGE(I44:I50)</f>
        <v>163.6</v>
      </c>
      <c r="J52" s="262" t="e">
        <f t="shared" si="23"/>
        <v>#DIV/0!</v>
      </c>
      <c r="K52" s="243" t="e">
        <f t="shared" si="23"/>
        <v>#DIV/0!</v>
      </c>
      <c r="L52" s="103">
        <f t="shared" si="23"/>
        <v>241.14285714285714</v>
      </c>
    </row>
    <row r="53" spans="1:13" s="43" customFormat="1" ht="15" customHeight="1" thickBot="1" x14ac:dyDescent="0.3">
      <c r="A53" s="26" t="s">
        <v>19</v>
      </c>
      <c r="B53" s="714"/>
      <c r="C53" s="279">
        <f t="shared" ref="C53:K53" si="24">SUM(C44:C48)</f>
        <v>0</v>
      </c>
      <c r="D53" s="232">
        <f t="shared" si="24"/>
        <v>0</v>
      </c>
      <c r="E53" s="232">
        <f t="shared" si="24"/>
        <v>0</v>
      </c>
      <c r="F53" s="232">
        <f t="shared" si="24"/>
        <v>0</v>
      </c>
      <c r="G53" s="319">
        <f t="shared" si="24"/>
        <v>0</v>
      </c>
      <c r="H53" s="236">
        <f>SUM(H44:H48)</f>
        <v>870</v>
      </c>
      <c r="I53" s="237">
        <f>SUM(I44:I48)</f>
        <v>818</v>
      </c>
      <c r="J53" s="263">
        <f t="shared" si="24"/>
        <v>0</v>
      </c>
      <c r="K53" s="244">
        <f t="shared" si="24"/>
        <v>0</v>
      </c>
      <c r="L53" s="28">
        <f>SUM(L44:L48)</f>
        <v>1688</v>
      </c>
    </row>
    <row r="54" spans="1:13" s="43" customFormat="1" ht="15" customHeight="1" thickBot="1" x14ac:dyDescent="0.3">
      <c r="A54" s="26" t="s">
        <v>21</v>
      </c>
      <c r="B54" s="715"/>
      <c r="C54" s="335" t="e">
        <f t="shared" ref="C54:L54" si="25">AVERAGE(C44:C48)</f>
        <v>#DIV/0!</v>
      </c>
      <c r="D54" s="336" t="e">
        <f t="shared" si="25"/>
        <v>#DIV/0!</v>
      </c>
      <c r="E54" s="336" t="e">
        <f t="shared" si="25"/>
        <v>#DIV/0!</v>
      </c>
      <c r="F54" s="336" t="e">
        <f t="shared" si="25"/>
        <v>#DIV/0!</v>
      </c>
      <c r="G54" s="337" t="e">
        <f t="shared" si="25"/>
        <v>#DIV/0!</v>
      </c>
      <c r="H54" s="338">
        <f>AVERAGE(H44:H48)</f>
        <v>174</v>
      </c>
      <c r="I54" s="339">
        <f>AVERAGE(I44:I48)</f>
        <v>163.6</v>
      </c>
      <c r="J54" s="340" t="e">
        <f t="shared" si="25"/>
        <v>#DIV/0!</v>
      </c>
      <c r="K54" s="341" t="e">
        <f t="shared" si="25"/>
        <v>#DIV/0!</v>
      </c>
      <c r="L54" s="33">
        <f t="shared" si="25"/>
        <v>337.6</v>
      </c>
    </row>
    <row r="55" spans="1:13" s="43" customFormat="1" ht="15" customHeight="1" thickBot="1" x14ac:dyDescent="0.3">
      <c r="A55" s="25" t="s">
        <v>3</v>
      </c>
      <c r="B55" s="225">
        <f>B50+1</f>
        <v>44074</v>
      </c>
      <c r="C55" s="349"/>
      <c r="D55" s="233"/>
      <c r="E55" s="233"/>
      <c r="F55" s="353"/>
      <c r="G55" s="354"/>
      <c r="H55" s="323">
        <v>161</v>
      </c>
      <c r="I55" s="324">
        <v>155</v>
      </c>
      <c r="J55" s="350"/>
      <c r="K55" s="324"/>
      <c r="L55" s="53">
        <f t="shared" ref="L55:L61" si="26">SUM(C55:K55)</f>
        <v>316</v>
      </c>
      <c r="M55" s="140"/>
    </row>
    <row r="56" spans="1:13" s="43" customFormat="1" ht="15" hidden="1" customHeight="1" thickBot="1" x14ac:dyDescent="0.3">
      <c r="A56" s="136" t="s">
        <v>4</v>
      </c>
      <c r="B56" s="226">
        <f t="shared" ref="B56:B61" si="27">B55+1</f>
        <v>44075</v>
      </c>
      <c r="C56" s="281"/>
      <c r="D56" s="228"/>
      <c r="E56" s="228"/>
      <c r="F56" s="228"/>
      <c r="G56" s="255"/>
      <c r="H56" s="325"/>
      <c r="I56" s="238"/>
      <c r="J56" s="265"/>
      <c r="K56" s="238"/>
      <c r="L56" s="53">
        <f t="shared" si="26"/>
        <v>0</v>
      </c>
      <c r="M56" s="140"/>
    </row>
    <row r="57" spans="1:13" s="43" customFormat="1" ht="14.25" hidden="1" customHeight="1" thickBot="1" x14ac:dyDescent="0.3">
      <c r="A57" s="136" t="s">
        <v>5</v>
      </c>
      <c r="B57" s="226">
        <f t="shared" si="27"/>
        <v>44076</v>
      </c>
      <c r="C57" s="281"/>
      <c r="D57" s="228"/>
      <c r="E57" s="228"/>
      <c r="F57" s="228"/>
      <c r="G57" s="255"/>
      <c r="H57" s="325"/>
      <c r="I57" s="238"/>
      <c r="J57" s="265"/>
      <c r="K57" s="238"/>
      <c r="L57" s="53">
        <f t="shared" si="26"/>
        <v>0</v>
      </c>
      <c r="M57" s="140"/>
    </row>
    <row r="58" spans="1:13" s="43" customFormat="1" ht="14.25" hidden="1" thickBot="1" x14ac:dyDescent="0.3">
      <c r="A58" s="136" t="s">
        <v>6</v>
      </c>
      <c r="B58" s="226">
        <f t="shared" si="27"/>
        <v>44077</v>
      </c>
      <c r="C58" s="281"/>
      <c r="D58" s="228"/>
      <c r="E58" s="228"/>
      <c r="F58" s="228"/>
      <c r="G58" s="255"/>
      <c r="H58" s="325"/>
      <c r="I58" s="238"/>
      <c r="J58" s="265"/>
      <c r="K58" s="238"/>
      <c r="L58" s="53">
        <f t="shared" si="26"/>
        <v>0</v>
      </c>
      <c r="M58" s="140"/>
    </row>
    <row r="59" spans="1:13" s="43" customFormat="1" ht="14.25" hidden="1" thickBot="1" x14ac:dyDescent="0.3">
      <c r="A59" s="25" t="s">
        <v>0</v>
      </c>
      <c r="B59" s="227">
        <f t="shared" si="27"/>
        <v>44078</v>
      </c>
      <c r="C59" s="282"/>
      <c r="D59" s="34"/>
      <c r="E59" s="228"/>
      <c r="F59" s="228"/>
      <c r="G59" s="255"/>
      <c r="H59" s="370"/>
      <c r="I59" s="274"/>
      <c r="J59" s="265"/>
      <c r="K59" s="238"/>
      <c r="L59" s="53">
        <f t="shared" si="26"/>
        <v>0</v>
      </c>
      <c r="M59" s="140"/>
    </row>
    <row r="60" spans="1:13" s="43" customFormat="1" ht="14.25" hidden="1" outlineLevel="1" thickBot="1" x14ac:dyDescent="0.3">
      <c r="A60" s="25" t="s">
        <v>1</v>
      </c>
      <c r="B60" s="227">
        <f t="shared" si="27"/>
        <v>44079</v>
      </c>
      <c r="C60" s="282"/>
      <c r="D60" s="34"/>
      <c r="E60" s="228"/>
      <c r="F60" s="228"/>
      <c r="G60" s="255"/>
      <c r="H60" s="325"/>
      <c r="I60" s="238"/>
      <c r="J60" s="265"/>
      <c r="K60" s="238"/>
      <c r="L60" s="53">
        <f t="shared" si="26"/>
        <v>0</v>
      </c>
      <c r="M60" s="140"/>
    </row>
    <row r="61" spans="1:13" s="43" customFormat="1" ht="14.25" hidden="1" outlineLevel="1" thickBot="1" x14ac:dyDescent="0.3">
      <c r="A61" s="136" t="s">
        <v>2</v>
      </c>
      <c r="B61" s="227">
        <f t="shared" si="27"/>
        <v>44080</v>
      </c>
      <c r="C61" s="355"/>
      <c r="D61" s="356"/>
      <c r="E61" s="331"/>
      <c r="F61" s="331"/>
      <c r="G61" s="267"/>
      <c r="H61" s="333"/>
      <c r="I61" s="334"/>
      <c r="J61" s="352"/>
      <c r="K61" s="334"/>
      <c r="L61" s="53">
        <f t="shared" si="26"/>
        <v>0</v>
      </c>
    </row>
    <row r="62" spans="1:13" s="43" customFormat="1" ht="15" customHeight="1" outlineLevel="1" thickBot="1" x14ac:dyDescent="0.3">
      <c r="A62" s="144" t="s">
        <v>20</v>
      </c>
      <c r="B62" s="713" t="s">
        <v>27</v>
      </c>
      <c r="C62" s="326">
        <f>SUM(C55:C61)</f>
        <v>0</v>
      </c>
      <c r="D62" s="327">
        <f t="shared" ref="D62:J62" si="28">SUM(D55:D61)</f>
        <v>0</v>
      </c>
      <c r="E62" s="327">
        <f t="shared" si="28"/>
        <v>0</v>
      </c>
      <c r="F62" s="327">
        <f t="shared" si="28"/>
        <v>0</v>
      </c>
      <c r="G62" s="328">
        <f t="shared" si="28"/>
        <v>0</v>
      </c>
      <c r="H62" s="252">
        <f>SUM(H55:H61)</f>
        <v>161</v>
      </c>
      <c r="I62" s="266">
        <f>SUM(I55:I61)</f>
        <v>155</v>
      </c>
      <c r="J62" s="268">
        <f t="shared" si="28"/>
        <v>0</v>
      </c>
      <c r="K62" s="258">
        <f>SUM(K55:K61)</f>
        <v>0</v>
      </c>
      <c r="L62" s="105">
        <f>SUM(L55:L61)</f>
        <v>316</v>
      </c>
    </row>
    <row r="63" spans="1:13" s="43" customFormat="1" ht="15" customHeight="1" outlineLevel="1" thickBot="1" x14ac:dyDescent="0.3">
      <c r="A63" s="101" t="s">
        <v>22</v>
      </c>
      <c r="B63" s="714"/>
      <c r="C63" s="278" t="e">
        <f>AVERAGE(C55:C61)</f>
        <v>#DIV/0!</v>
      </c>
      <c r="D63" s="231" t="e">
        <f t="shared" ref="D63:K63" si="29">AVERAGE(D55:D61)</f>
        <v>#DIV/0!</v>
      </c>
      <c r="E63" s="231" t="e">
        <f t="shared" si="29"/>
        <v>#DIV/0!</v>
      </c>
      <c r="F63" s="231" t="e">
        <f t="shared" si="29"/>
        <v>#DIV/0!</v>
      </c>
      <c r="G63" s="318" t="e">
        <f t="shared" si="29"/>
        <v>#DIV/0!</v>
      </c>
      <c r="H63" s="234">
        <f t="shared" si="29"/>
        <v>161</v>
      </c>
      <c r="I63" s="235">
        <f t="shared" si="29"/>
        <v>155</v>
      </c>
      <c r="J63" s="262" t="e">
        <f t="shared" si="29"/>
        <v>#DIV/0!</v>
      </c>
      <c r="K63" s="243" t="e">
        <f t="shared" si="29"/>
        <v>#DIV/0!</v>
      </c>
      <c r="L63" s="103">
        <f>AVERAGE(L55:L61)</f>
        <v>45.142857142857146</v>
      </c>
    </row>
    <row r="64" spans="1:13" s="43" customFormat="1" ht="15" customHeight="1" thickBot="1" x14ac:dyDescent="0.3">
      <c r="A64" s="26" t="s">
        <v>19</v>
      </c>
      <c r="B64" s="714"/>
      <c r="C64" s="279">
        <f>SUM(C55:C59)</f>
        <v>0</v>
      </c>
      <c r="D64" s="232">
        <f t="shared" ref="D64:K64" si="30">SUM(D55:D59)</f>
        <v>0</v>
      </c>
      <c r="E64" s="232">
        <f t="shared" si="30"/>
        <v>0</v>
      </c>
      <c r="F64" s="232">
        <f t="shared" si="30"/>
        <v>0</v>
      </c>
      <c r="G64" s="319">
        <f t="shared" si="30"/>
        <v>0</v>
      </c>
      <c r="H64" s="236">
        <f>SUM(H55:H59)</f>
        <v>161</v>
      </c>
      <c r="I64" s="237">
        <f>SUM(I55:I59)</f>
        <v>155</v>
      </c>
      <c r="J64" s="263">
        <f t="shared" si="30"/>
        <v>0</v>
      </c>
      <c r="K64" s="244">
        <f t="shared" si="30"/>
        <v>0</v>
      </c>
      <c r="L64" s="28">
        <f>SUM(L55:L59)</f>
        <v>316</v>
      </c>
    </row>
    <row r="65" spans="1:14" s="43" customFormat="1" ht="14.25" thickBot="1" x14ac:dyDescent="0.3">
      <c r="A65" s="26" t="s">
        <v>21</v>
      </c>
      <c r="B65" s="715"/>
      <c r="C65" s="283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20" t="e">
        <f t="shared" si="31"/>
        <v>#DIV/0!</v>
      </c>
      <c r="H65" s="29">
        <f t="shared" si="31"/>
        <v>161</v>
      </c>
      <c r="I65" s="30">
        <f t="shared" si="31"/>
        <v>155</v>
      </c>
      <c r="J65" s="257" t="e">
        <f t="shared" si="31"/>
        <v>#DIV/0!</v>
      </c>
      <c r="K65" s="32" t="e">
        <f t="shared" si="31"/>
        <v>#DIV/0!</v>
      </c>
      <c r="L65" s="33">
        <f t="shared" si="31"/>
        <v>63.2</v>
      </c>
    </row>
    <row r="66" spans="1:14" s="43" customFormat="1" ht="14.25" hidden="1" thickBot="1" x14ac:dyDescent="0.3">
      <c r="A66" s="136" t="s">
        <v>3</v>
      </c>
      <c r="B66" s="225">
        <f>B61+1</f>
        <v>44081</v>
      </c>
      <c r="C66" s="284"/>
      <c r="D66" s="12"/>
      <c r="E66" s="14"/>
      <c r="F66" s="14"/>
      <c r="G66" s="14"/>
      <c r="H66" s="14"/>
      <c r="I66" s="56"/>
      <c r="J66" s="109"/>
      <c r="K66" s="20"/>
      <c r="L66" s="169">
        <f>SUM(D66:J66)</f>
        <v>0</v>
      </c>
    </row>
    <row r="67" spans="1:14" s="43" customFormat="1" ht="14.25" hidden="1" thickBot="1" x14ac:dyDescent="0.3">
      <c r="A67" s="136" t="s">
        <v>4</v>
      </c>
      <c r="B67" s="226">
        <f t="shared" ref="B67:B72" si="32">B66+1</f>
        <v>44082</v>
      </c>
      <c r="C67" s="285"/>
      <c r="D67" s="18"/>
      <c r="E67" s="20"/>
      <c r="F67" s="20"/>
      <c r="G67" s="20"/>
      <c r="H67" s="20"/>
      <c r="I67" s="57"/>
      <c r="J67" s="57"/>
      <c r="K67" s="20"/>
      <c r="L67" s="169">
        <f>SUM(D67:J67)</f>
        <v>0</v>
      </c>
    </row>
    <row r="68" spans="1:14" s="43" customFormat="1" ht="13.5" hidden="1" x14ac:dyDescent="0.25">
      <c r="A68" s="136"/>
      <c r="B68" s="226">
        <f t="shared" si="32"/>
        <v>44083</v>
      </c>
      <c r="C68" s="285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3.5" hidden="1" x14ac:dyDescent="0.25">
      <c r="A69" s="136"/>
      <c r="B69" s="226">
        <f t="shared" si="32"/>
        <v>44084</v>
      </c>
      <c r="C69" s="285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3.5" hidden="1" x14ac:dyDescent="0.25">
      <c r="A70" s="25"/>
      <c r="B70" s="226">
        <f t="shared" si="32"/>
        <v>44085</v>
      </c>
      <c r="C70" s="285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3.5" hidden="1" outlineLevel="1" x14ac:dyDescent="0.25">
      <c r="A71" s="25"/>
      <c r="B71" s="226">
        <f t="shared" si="32"/>
        <v>44086</v>
      </c>
      <c r="C71" s="285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6">
        <f t="shared" si="32"/>
        <v>44087</v>
      </c>
      <c r="C72" s="286"/>
      <c r="D72" s="50"/>
      <c r="E72" s="52"/>
      <c r="F72" s="52"/>
      <c r="G72" s="52"/>
      <c r="H72" s="52"/>
      <c r="I72" s="256"/>
      <c r="J72" s="256"/>
      <c r="K72" s="20"/>
      <c r="L72" s="124"/>
    </row>
    <row r="73" spans="1:14" s="43" customFormat="1" ht="14.25" hidden="1" outlineLevel="1" thickBot="1" x14ac:dyDescent="0.3">
      <c r="A73" s="144" t="s">
        <v>20</v>
      </c>
      <c r="B73" s="772" t="s">
        <v>31</v>
      </c>
      <c r="C73" s="287"/>
      <c r="D73" s="252">
        <f>SUM(D66:D72)</f>
        <v>0</v>
      </c>
      <c r="E73" s="252">
        <f t="shared" ref="E73:L73" si="33">SUM(E66:E72)</f>
        <v>0</v>
      </c>
      <c r="F73" s="252">
        <f t="shared" si="33"/>
        <v>0</v>
      </c>
      <c r="G73" s="252"/>
      <c r="H73" s="252">
        <f t="shared" si="33"/>
        <v>0</v>
      </c>
      <c r="I73" s="252">
        <f>SUM(I66:I72)</f>
        <v>0</v>
      </c>
      <c r="J73" s="258">
        <f t="shared" si="33"/>
        <v>0</v>
      </c>
      <c r="K73" s="258">
        <f>SUM(K66:K72)</f>
        <v>0</v>
      </c>
      <c r="L73" s="148">
        <f t="shared" si="33"/>
        <v>0</v>
      </c>
    </row>
    <row r="74" spans="1:14" s="43" customFormat="1" ht="14.25" hidden="1" outlineLevel="1" thickBot="1" x14ac:dyDescent="0.3">
      <c r="A74" s="101" t="s">
        <v>22</v>
      </c>
      <c r="B74" s="747"/>
      <c r="C74" s="287"/>
      <c r="D74" s="102" t="e">
        <f>AVERAGE(D66:D72)</f>
        <v>#DIV/0!</v>
      </c>
      <c r="E74" s="102" t="e">
        <f t="shared" ref="E74:L74" si="34">AVERAGE(E66:E72)</f>
        <v>#DIV/0!</v>
      </c>
      <c r="F74" s="102" t="e">
        <f t="shared" si="34"/>
        <v>#DIV/0!</v>
      </c>
      <c r="G74" s="102"/>
      <c r="H74" s="102" t="e">
        <f t="shared" si="34"/>
        <v>#DIV/0!</v>
      </c>
      <c r="I74" s="102" t="e">
        <f>AVERAGE(I66:I72)</f>
        <v>#DIV/0!</v>
      </c>
      <c r="J74" s="259" t="e">
        <f t="shared" si="34"/>
        <v>#DIV/0!</v>
      </c>
      <c r="K74" s="259" t="e">
        <f>AVERAGE(K66:K72)</f>
        <v>#DIV/0!</v>
      </c>
      <c r="L74" s="149">
        <f t="shared" si="34"/>
        <v>0</v>
      </c>
    </row>
    <row r="75" spans="1:14" s="43" customFormat="1" ht="14.25" hidden="1" thickBot="1" x14ac:dyDescent="0.3">
      <c r="A75" s="26" t="s">
        <v>19</v>
      </c>
      <c r="B75" s="747"/>
      <c r="C75" s="287"/>
      <c r="D75" s="27">
        <f>SUM(D66:D70)</f>
        <v>0</v>
      </c>
      <c r="E75" s="27">
        <f t="shared" ref="E75:L75" si="35">SUM(E66:E70)</f>
        <v>0</v>
      </c>
      <c r="F75" s="27">
        <f t="shared" si="35"/>
        <v>0</v>
      </c>
      <c r="G75" s="27"/>
      <c r="H75" s="27">
        <f t="shared" si="35"/>
        <v>0</v>
      </c>
      <c r="I75" s="27">
        <f>SUM(I66:I70)</f>
        <v>0</v>
      </c>
      <c r="J75" s="260">
        <f t="shared" si="35"/>
        <v>0</v>
      </c>
      <c r="K75" s="260">
        <f>SUM(K66:K70)</f>
        <v>0</v>
      </c>
      <c r="L75" s="150">
        <f t="shared" si="35"/>
        <v>0</v>
      </c>
    </row>
    <row r="76" spans="1:14" s="43" customFormat="1" ht="14.25" hidden="1" thickBot="1" x14ac:dyDescent="0.3">
      <c r="A76" s="26" t="s">
        <v>21</v>
      </c>
      <c r="B76" s="748"/>
      <c r="C76" s="288"/>
      <c r="D76" s="29" t="e">
        <f>AVERAGE(D66:D70)</f>
        <v>#DIV/0!</v>
      </c>
      <c r="E76" s="29" t="e">
        <f t="shared" ref="E76:L76" si="36">AVERAGE(E66:E70)</f>
        <v>#DIV/0!</v>
      </c>
      <c r="F76" s="29" t="e">
        <f t="shared" si="36"/>
        <v>#DIV/0!</v>
      </c>
      <c r="G76" s="29"/>
      <c r="H76" s="29" t="e">
        <f t="shared" si="36"/>
        <v>#DIV/0!</v>
      </c>
      <c r="I76" s="29" t="e">
        <f>AVERAGE(I66:I70)</f>
        <v>#DIV/0!</v>
      </c>
      <c r="J76" s="32" t="e">
        <f t="shared" si="36"/>
        <v>#DIV/0!</v>
      </c>
      <c r="K76" s="32" t="e">
        <f>AVERAGE(K66:K70)</f>
        <v>#DIV/0!</v>
      </c>
      <c r="L76" s="151">
        <f t="shared" si="36"/>
        <v>0</v>
      </c>
    </row>
    <row r="77" spans="1:14" s="43" customFormat="1" ht="15" customHeight="1" thickBot="1" x14ac:dyDescent="0.3">
      <c r="A77" s="4"/>
      <c r="B77" s="119"/>
      <c r="C77" s="289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96"/>
      <c r="B78" s="291"/>
      <c r="C78" s="297" t="s">
        <v>100</v>
      </c>
      <c r="D78" s="298" t="s">
        <v>7</v>
      </c>
      <c r="E78" s="298" t="s">
        <v>87</v>
      </c>
      <c r="F78" s="298" t="s">
        <v>88</v>
      </c>
      <c r="G78" s="298" t="s">
        <v>89</v>
      </c>
      <c r="H78" s="298" t="s">
        <v>94</v>
      </c>
      <c r="I78" s="298" t="s">
        <v>109</v>
      </c>
      <c r="J78" s="298" t="s">
        <v>10</v>
      </c>
      <c r="K78" s="299" t="s">
        <v>99</v>
      </c>
      <c r="L78" s="764" t="s">
        <v>54</v>
      </c>
      <c r="M78" s="765"/>
    </row>
    <row r="79" spans="1:14" ht="14.25" thickBot="1" x14ac:dyDescent="0.3">
      <c r="A79" s="301" t="s">
        <v>113</v>
      </c>
      <c r="B79" s="309">
        <f>SUM(L7+L62+L51+L40+L29+L18)</f>
        <v>6941</v>
      </c>
      <c r="C79" s="302">
        <f>C18+C29+C40+C51+C62</f>
        <v>0</v>
      </c>
      <c r="D79" s="303">
        <f>SUM(D7,D18+D29+D40+D51+D62)</f>
        <v>0</v>
      </c>
      <c r="E79" s="303">
        <f>SUM(E7,E18+E29+E40+E51+E62)</f>
        <v>0</v>
      </c>
      <c r="F79" s="303">
        <f>SUM(F7, F18+F29+F40+F51+F62)</f>
        <v>0</v>
      </c>
      <c r="G79" s="303">
        <f>SUM(G7,G18+G29+G40+G51+G62)</f>
        <v>0</v>
      </c>
      <c r="H79" s="303">
        <f>SUM(H7,H18+H29+H40+H51+H62)</f>
        <v>3551</v>
      </c>
      <c r="I79" s="303">
        <f>SUM(I62,I51,I29,I40,I18,I7)</f>
        <v>3390</v>
      </c>
      <c r="J79" s="303">
        <f>SUM(J7,J18+J29+J40+J51+J62)</f>
        <v>0</v>
      </c>
      <c r="K79" s="304">
        <f>SUM(K62,K51,K40,K29,K18,K7)</f>
        <v>0</v>
      </c>
      <c r="L79" s="293" t="s">
        <v>29</v>
      </c>
      <c r="M79" s="307">
        <f>SUM(C80:K80)</f>
        <v>6941</v>
      </c>
    </row>
    <row r="80" spans="1:14" ht="14.25" thickBot="1" x14ac:dyDescent="0.3">
      <c r="A80" s="300" t="s">
        <v>29</v>
      </c>
      <c r="B80" s="36">
        <f>L64+L53+L42+L31+L20</f>
        <v>6941</v>
      </c>
      <c r="C80" s="292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3551</v>
      </c>
      <c r="I80" s="171">
        <f>SUM(I64,I53,I42,I31,I20)</f>
        <v>3390</v>
      </c>
      <c r="J80" s="171">
        <f>SUM(J20+J31+J42+J53+J64)</f>
        <v>0</v>
      </c>
      <c r="K80" s="199">
        <f>SUM(K64,K53,K42,K31,K20)</f>
        <v>0</v>
      </c>
      <c r="L80" s="294" t="s">
        <v>113</v>
      </c>
      <c r="M80" s="308">
        <f>SUM(C79:K79)</f>
        <v>6941</v>
      </c>
      <c r="N80" s="106"/>
    </row>
    <row r="81" spans="11:13" x14ac:dyDescent="0.25">
      <c r="K81" s="295"/>
      <c r="L81" s="412" t="s">
        <v>21</v>
      </c>
      <c r="M81" s="305">
        <f>AVERAGE(L21,L32,L43,L54,L65)</f>
        <v>277.64</v>
      </c>
    </row>
    <row r="82" spans="11:13" ht="15.75" thickBot="1" x14ac:dyDescent="0.3">
      <c r="L82" s="413" t="s">
        <v>119</v>
      </c>
      <c r="M82" s="306">
        <f>AVERAGE(L19,L30,L41,L52,L63)</f>
        <v>198.31428571428572</v>
      </c>
    </row>
  </sheetData>
  <mergeCells count="22">
    <mergeCell ref="B73:B76"/>
    <mergeCell ref="B18:B21"/>
    <mergeCell ref="B29:B32"/>
    <mergeCell ref="B40:B43"/>
    <mergeCell ref="B51:B54"/>
    <mergeCell ref="B62:B65"/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2"/>
  <sheetViews>
    <sheetView zoomScale="90" zoomScaleNormal="9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A56" sqref="A56:XFD59"/>
    </sheetView>
  </sheetViews>
  <sheetFormatPr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15"/>
      <c r="C1" s="730" t="s">
        <v>9</v>
      </c>
    </row>
    <row r="2" spans="1:15" ht="15" customHeight="1" thickBot="1" x14ac:dyDescent="0.3">
      <c r="A2" s="24"/>
      <c r="B2" s="314"/>
      <c r="C2" s="773"/>
    </row>
    <row r="3" spans="1:15" ht="15" customHeight="1" x14ac:dyDescent="0.25">
      <c r="A3" s="754" t="s">
        <v>50</v>
      </c>
      <c r="B3" s="685" t="s">
        <v>51</v>
      </c>
      <c r="C3" s="774" t="s">
        <v>32</v>
      </c>
    </row>
    <row r="4" spans="1:15" ht="13.5" customHeight="1" thickBot="1" x14ac:dyDescent="0.3">
      <c r="A4" s="710"/>
      <c r="B4" s="686"/>
      <c r="C4" s="683"/>
    </row>
    <row r="5" spans="1:15" ht="13.5" x14ac:dyDescent="0.25">
      <c r="A5" s="371" t="s">
        <v>1</v>
      </c>
      <c r="B5" s="372">
        <v>44044</v>
      </c>
      <c r="C5" s="407"/>
    </row>
    <row r="6" spans="1:15" ht="14.25" thickBot="1" x14ac:dyDescent="0.3">
      <c r="A6" s="371" t="s">
        <v>2</v>
      </c>
      <c r="B6" s="372">
        <v>44045</v>
      </c>
      <c r="C6" s="466"/>
    </row>
    <row r="7" spans="1:15" s="43" customFormat="1" ht="15" customHeight="1" outlineLevel="1" thickBot="1" x14ac:dyDescent="0.3">
      <c r="A7" s="144" t="s">
        <v>20</v>
      </c>
      <c r="B7" s="695" t="s">
        <v>118</v>
      </c>
      <c r="C7" s="375">
        <f>SUM(C5:C6)</f>
        <v>0</v>
      </c>
      <c r="O7" s="42"/>
    </row>
    <row r="8" spans="1:15" s="43" customFormat="1" ht="15" customHeight="1" outlineLevel="1" thickBot="1" x14ac:dyDescent="0.3">
      <c r="A8" s="101" t="s">
        <v>22</v>
      </c>
      <c r="B8" s="695"/>
      <c r="C8" s="312" t="e">
        <f>AVERAGE(C5)</f>
        <v>#DIV/0!</v>
      </c>
      <c r="F8" s="42"/>
      <c r="O8" s="42"/>
    </row>
    <row r="9" spans="1:15" s="43" customFormat="1" ht="15" customHeight="1" thickBot="1" x14ac:dyDescent="0.3">
      <c r="A9" s="26" t="s">
        <v>19</v>
      </c>
      <c r="B9" s="695"/>
      <c r="C9" s="186" t="e">
        <f>SUM(#REF!)</f>
        <v>#REF!</v>
      </c>
      <c r="F9" s="42"/>
      <c r="G9" s="42"/>
      <c r="O9" s="42"/>
    </row>
    <row r="10" spans="1:15" s="43" customFormat="1" ht="15" customHeight="1" thickBot="1" x14ac:dyDescent="0.3">
      <c r="A10" s="26" t="s">
        <v>21</v>
      </c>
      <c r="B10" s="695"/>
      <c r="C10" s="187" t="e">
        <f>AVERAGE(#REF!)</f>
        <v>#REF!</v>
      </c>
      <c r="F10" s="42"/>
      <c r="G10" s="42"/>
    </row>
    <row r="11" spans="1:15" s="42" customFormat="1" ht="13.5" x14ac:dyDescent="0.25">
      <c r="A11" s="25" t="s">
        <v>3</v>
      </c>
      <c r="B11" s="322">
        <v>44046</v>
      </c>
      <c r="C11" s="254">
        <v>142</v>
      </c>
    </row>
    <row r="12" spans="1:15" s="42" customFormat="1" ht="13.5" x14ac:dyDescent="0.25">
      <c r="A12" s="25" t="s">
        <v>4</v>
      </c>
      <c r="B12" s="222">
        <v>44047</v>
      </c>
      <c r="C12" s="254">
        <v>0</v>
      </c>
    </row>
    <row r="13" spans="1:15" s="42" customFormat="1" ht="13.5" x14ac:dyDescent="0.25">
      <c r="A13" s="25" t="s">
        <v>5</v>
      </c>
      <c r="B13" s="222">
        <v>44048</v>
      </c>
      <c r="C13" s="254">
        <v>127</v>
      </c>
    </row>
    <row r="14" spans="1:15" s="42" customFormat="1" ht="13.5" x14ac:dyDescent="0.25">
      <c r="A14" s="25" t="s">
        <v>6</v>
      </c>
      <c r="B14" s="222">
        <v>44049</v>
      </c>
      <c r="C14" s="254">
        <v>108</v>
      </c>
    </row>
    <row r="15" spans="1:15" s="42" customFormat="1" ht="13.5" x14ac:dyDescent="0.25">
      <c r="A15" s="25" t="s">
        <v>0</v>
      </c>
      <c r="B15" s="222">
        <v>44050</v>
      </c>
      <c r="C15" s="254">
        <v>115</v>
      </c>
    </row>
    <row r="16" spans="1:15" s="42" customFormat="1" ht="13.5" outlineLevel="1" x14ac:dyDescent="0.25">
      <c r="A16" s="25" t="s">
        <v>1</v>
      </c>
      <c r="B16" s="222">
        <v>44051</v>
      </c>
      <c r="C16" s="188"/>
    </row>
    <row r="17" spans="1:16" s="42" customFormat="1" ht="15" customHeight="1" outlineLevel="1" thickBot="1" x14ac:dyDescent="0.3">
      <c r="A17" s="25" t="s">
        <v>2</v>
      </c>
      <c r="B17" s="222">
        <v>44052</v>
      </c>
      <c r="C17" s="188"/>
    </row>
    <row r="18" spans="1:16" s="43" customFormat="1" ht="15" customHeight="1" outlineLevel="1" thickBot="1" x14ac:dyDescent="0.3">
      <c r="A18" s="144" t="s">
        <v>20</v>
      </c>
      <c r="B18" s="695" t="s">
        <v>23</v>
      </c>
      <c r="C18" s="375">
        <f>SUM(C11:C17)</f>
        <v>492</v>
      </c>
      <c r="E18" s="42"/>
      <c r="O18" s="42"/>
    </row>
    <row r="19" spans="1:16" s="43" customFormat="1" ht="15" customHeight="1" outlineLevel="1" thickBot="1" x14ac:dyDescent="0.3">
      <c r="A19" s="101" t="s">
        <v>22</v>
      </c>
      <c r="B19" s="695"/>
      <c r="C19" s="312">
        <f>AVERAGE(C11:C17)</f>
        <v>98.4</v>
      </c>
      <c r="E19" s="42"/>
      <c r="F19" s="42"/>
      <c r="O19" s="42"/>
    </row>
    <row r="20" spans="1:16" s="43" customFormat="1" ht="15" customHeight="1" thickBot="1" x14ac:dyDescent="0.3">
      <c r="A20" s="26" t="s">
        <v>19</v>
      </c>
      <c r="B20" s="695"/>
      <c r="C20" s="186">
        <f>SUM(C11:C15)</f>
        <v>492</v>
      </c>
      <c r="E20" s="42"/>
      <c r="F20" s="42"/>
      <c r="G20" s="42"/>
      <c r="N20" s="42"/>
      <c r="O20" s="42"/>
    </row>
    <row r="21" spans="1:16" s="43" customFormat="1" ht="15" customHeight="1" thickBot="1" x14ac:dyDescent="0.3">
      <c r="A21" s="26" t="s">
        <v>21</v>
      </c>
      <c r="B21" s="695"/>
      <c r="C21" s="187">
        <f>AVERAGE(C11:C15)</f>
        <v>98.4</v>
      </c>
      <c r="F21" s="42"/>
      <c r="G21" s="42"/>
      <c r="N21" s="42"/>
    </row>
    <row r="22" spans="1:16" s="43" customFormat="1" ht="15" customHeight="1" x14ac:dyDescent="0.25">
      <c r="A22" s="25" t="s">
        <v>3</v>
      </c>
      <c r="B22" s="222">
        <f>B17+1</f>
        <v>44053</v>
      </c>
      <c r="C22" s="313">
        <v>110</v>
      </c>
      <c r="F22" s="42"/>
    </row>
    <row r="23" spans="1:16" s="43" customFormat="1" ht="15" customHeight="1" x14ac:dyDescent="0.25">
      <c r="A23" s="25" t="s">
        <v>4</v>
      </c>
      <c r="B23" s="222">
        <f t="shared" ref="B23:B28" si="0">B22+1</f>
        <v>44054</v>
      </c>
      <c r="C23" s="313">
        <v>120</v>
      </c>
      <c r="F23" s="42"/>
    </row>
    <row r="24" spans="1:16" s="43" customFormat="1" ht="15" customHeight="1" x14ac:dyDescent="0.25">
      <c r="A24" s="25" t="s">
        <v>5</v>
      </c>
      <c r="B24" s="222">
        <f t="shared" si="0"/>
        <v>44055</v>
      </c>
      <c r="C24" s="313">
        <v>97</v>
      </c>
      <c r="F24" s="42"/>
    </row>
    <row r="25" spans="1:16" s="43" customFormat="1" ht="15" customHeight="1" x14ac:dyDescent="0.25">
      <c r="A25" s="25" t="s">
        <v>6</v>
      </c>
      <c r="B25" s="222">
        <f t="shared" si="0"/>
        <v>44056</v>
      </c>
      <c r="C25" s="313">
        <v>87</v>
      </c>
    </row>
    <row r="26" spans="1:16" s="43" customFormat="1" ht="15" customHeight="1" x14ac:dyDescent="0.25">
      <c r="A26" s="25" t="s">
        <v>0</v>
      </c>
      <c r="B26" s="222">
        <f t="shared" si="0"/>
        <v>44057</v>
      </c>
      <c r="C26" s="313">
        <v>170</v>
      </c>
    </row>
    <row r="27" spans="1:16" s="43" customFormat="1" ht="15" customHeight="1" outlineLevel="1" x14ac:dyDescent="0.25">
      <c r="A27" s="25" t="s">
        <v>1</v>
      </c>
      <c r="B27" s="222">
        <f t="shared" si="0"/>
        <v>44058</v>
      </c>
      <c r="C27" s="188"/>
      <c r="D27" s="140"/>
    </row>
    <row r="28" spans="1:16" s="43" customFormat="1" ht="15" customHeight="1" outlineLevel="1" thickBot="1" x14ac:dyDescent="0.3">
      <c r="A28" s="25" t="s">
        <v>2</v>
      </c>
      <c r="B28" s="222">
        <f t="shared" si="0"/>
        <v>44059</v>
      </c>
      <c r="C28" s="310"/>
      <c r="N28" s="42"/>
    </row>
    <row r="29" spans="1:16" s="43" customFormat="1" ht="15" customHeight="1" outlineLevel="1" thickBot="1" x14ac:dyDescent="0.3">
      <c r="A29" s="144" t="s">
        <v>20</v>
      </c>
      <c r="B29" s="695" t="s">
        <v>24</v>
      </c>
      <c r="C29" s="311">
        <f>SUM(C22:C28)</f>
        <v>584</v>
      </c>
    </row>
    <row r="30" spans="1:16" s="43" customFormat="1" ht="15" customHeight="1" outlineLevel="1" thickBot="1" x14ac:dyDescent="0.3">
      <c r="A30" s="101" t="s">
        <v>22</v>
      </c>
      <c r="B30" s="695"/>
      <c r="C30" s="312">
        <f>AVERAGE(C22:C28)</f>
        <v>116.8</v>
      </c>
      <c r="F30" s="42"/>
    </row>
    <row r="31" spans="1:16" s="43" customFormat="1" ht="15" customHeight="1" thickBot="1" x14ac:dyDescent="0.3">
      <c r="A31" s="26" t="s">
        <v>19</v>
      </c>
      <c r="B31" s="695"/>
      <c r="C31" s="186">
        <f>SUM(C22:C26)</f>
        <v>584</v>
      </c>
      <c r="F31" s="42"/>
    </row>
    <row r="32" spans="1:16" s="43" customFormat="1" ht="15" customHeight="1" thickBot="1" x14ac:dyDescent="0.3">
      <c r="A32" s="26" t="s">
        <v>21</v>
      </c>
      <c r="B32" s="695"/>
      <c r="C32" s="187">
        <f>AVERAGE(C22:C26)</f>
        <v>116.8</v>
      </c>
      <c r="F32" s="42"/>
      <c r="P32" s="42"/>
    </row>
    <row r="33" spans="1:6" s="43" customFormat="1" ht="15" customHeight="1" x14ac:dyDescent="0.25">
      <c r="A33" s="25" t="s">
        <v>3</v>
      </c>
      <c r="B33" s="216">
        <f>B28+1</f>
        <v>44060</v>
      </c>
      <c r="C33" s="313">
        <v>156</v>
      </c>
    </row>
    <row r="34" spans="1:6" s="43" customFormat="1" ht="15" customHeight="1" x14ac:dyDescent="0.25">
      <c r="A34" s="25" t="s">
        <v>4</v>
      </c>
      <c r="B34" s="216">
        <f t="shared" ref="B34:B39" si="1">B33+1</f>
        <v>44061</v>
      </c>
      <c r="C34" s="313">
        <v>185</v>
      </c>
    </row>
    <row r="35" spans="1:6" s="43" customFormat="1" ht="15" customHeight="1" x14ac:dyDescent="0.25">
      <c r="A35" s="25" t="s">
        <v>5</v>
      </c>
      <c r="B35" s="216">
        <f t="shared" si="1"/>
        <v>44062</v>
      </c>
      <c r="C35" s="313">
        <v>84</v>
      </c>
    </row>
    <row r="36" spans="1:6" s="43" customFormat="1" ht="15" customHeight="1" x14ac:dyDescent="0.25">
      <c r="A36" s="25" t="s">
        <v>6</v>
      </c>
      <c r="B36" s="216">
        <f t="shared" si="1"/>
        <v>44063</v>
      </c>
      <c r="C36" s="313">
        <v>185</v>
      </c>
    </row>
    <row r="37" spans="1:6" s="43" customFormat="1" ht="15" customHeight="1" x14ac:dyDescent="0.25">
      <c r="A37" s="25" t="s">
        <v>0</v>
      </c>
      <c r="B37" s="216">
        <f t="shared" si="1"/>
        <v>44064</v>
      </c>
      <c r="C37" s="313">
        <v>213</v>
      </c>
    </row>
    <row r="38" spans="1:6" s="43" customFormat="1" ht="15" customHeight="1" outlineLevel="1" x14ac:dyDescent="0.25">
      <c r="A38" s="25" t="s">
        <v>1</v>
      </c>
      <c r="B38" s="216">
        <f t="shared" si="1"/>
        <v>44065</v>
      </c>
      <c r="C38" s="188"/>
    </row>
    <row r="39" spans="1:6" s="43" customFormat="1" ht="15" customHeight="1" outlineLevel="1" thickBot="1" x14ac:dyDescent="0.3">
      <c r="A39" s="25" t="s">
        <v>2</v>
      </c>
      <c r="B39" s="216">
        <f t="shared" si="1"/>
        <v>44066</v>
      </c>
      <c r="C39" s="310"/>
    </row>
    <row r="40" spans="1:6" s="43" customFormat="1" ht="15" customHeight="1" outlineLevel="1" thickBot="1" x14ac:dyDescent="0.3">
      <c r="A40" s="144" t="s">
        <v>20</v>
      </c>
      <c r="B40" s="695" t="s">
        <v>25</v>
      </c>
      <c r="C40" s="311">
        <f>SUM(C33:C39)</f>
        <v>823</v>
      </c>
      <c r="F40" s="42"/>
    </row>
    <row r="41" spans="1:6" s="43" customFormat="1" ht="15" customHeight="1" outlineLevel="1" thickBot="1" x14ac:dyDescent="0.3">
      <c r="A41" s="101" t="s">
        <v>22</v>
      </c>
      <c r="B41" s="695"/>
      <c r="C41" s="312">
        <f>AVERAGE(C33:C39)</f>
        <v>164.6</v>
      </c>
      <c r="F41" s="42"/>
    </row>
    <row r="42" spans="1:6" s="43" customFormat="1" ht="15" customHeight="1" thickBot="1" x14ac:dyDescent="0.3">
      <c r="A42" s="26" t="s">
        <v>19</v>
      </c>
      <c r="B42" s="695"/>
      <c r="C42" s="186">
        <f>SUM(C33:C37)</f>
        <v>823</v>
      </c>
    </row>
    <row r="43" spans="1:6" s="43" customFormat="1" ht="15" customHeight="1" thickBot="1" x14ac:dyDescent="0.3">
      <c r="A43" s="26" t="s">
        <v>21</v>
      </c>
      <c r="B43" s="695"/>
      <c r="C43" s="187">
        <f>AVERAGE(C33:C37)</f>
        <v>164.6</v>
      </c>
    </row>
    <row r="44" spans="1:6" s="43" customFormat="1" ht="15" customHeight="1" x14ac:dyDescent="0.25">
      <c r="A44" s="25" t="s">
        <v>3</v>
      </c>
      <c r="B44" s="226">
        <f>B39+1</f>
        <v>44067</v>
      </c>
      <c r="C44" s="313">
        <v>146</v>
      </c>
    </row>
    <row r="45" spans="1:6" s="43" customFormat="1" ht="15" customHeight="1" x14ac:dyDescent="0.25">
      <c r="A45" s="25" t="s">
        <v>4</v>
      </c>
      <c r="B45" s="226">
        <f t="shared" ref="B45:B50" si="2">B44+1</f>
        <v>44068</v>
      </c>
      <c r="C45" s="313">
        <v>119</v>
      </c>
    </row>
    <row r="46" spans="1:6" s="43" customFormat="1" ht="15" customHeight="1" x14ac:dyDescent="0.25">
      <c r="A46" s="25" t="s">
        <v>5</v>
      </c>
      <c r="B46" s="226">
        <f t="shared" si="2"/>
        <v>44069</v>
      </c>
      <c r="C46" s="313">
        <v>188</v>
      </c>
    </row>
    <row r="47" spans="1:6" s="43" customFormat="1" ht="15" customHeight="1" x14ac:dyDescent="0.25">
      <c r="A47" s="25" t="s">
        <v>6</v>
      </c>
      <c r="B47" s="226">
        <f t="shared" si="2"/>
        <v>44070</v>
      </c>
      <c r="C47" s="313">
        <v>109</v>
      </c>
    </row>
    <row r="48" spans="1:6" s="43" customFormat="1" ht="15" customHeight="1" x14ac:dyDescent="0.25">
      <c r="A48" s="25" t="s">
        <v>0</v>
      </c>
      <c r="B48" s="226">
        <f t="shared" si="2"/>
        <v>44071</v>
      </c>
      <c r="C48" s="313">
        <v>264</v>
      </c>
    </row>
    <row r="49" spans="1:4" s="43" customFormat="1" ht="15" customHeight="1" outlineLevel="1" x14ac:dyDescent="0.25">
      <c r="A49" s="25" t="s">
        <v>1</v>
      </c>
      <c r="B49" s="226">
        <f t="shared" si="2"/>
        <v>44072</v>
      </c>
      <c r="C49" s="188"/>
      <c r="D49" s="140"/>
    </row>
    <row r="50" spans="1:4" s="43" customFormat="1" ht="15" customHeight="1" outlineLevel="1" thickBot="1" x14ac:dyDescent="0.3">
      <c r="A50" s="25" t="s">
        <v>2</v>
      </c>
      <c r="B50" s="226">
        <f t="shared" si="2"/>
        <v>44073</v>
      </c>
      <c r="C50" s="310"/>
      <c r="D50" s="140"/>
    </row>
    <row r="51" spans="1:4" s="43" customFormat="1" ht="15" customHeight="1" outlineLevel="1" thickBot="1" x14ac:dyDescent="0.3">
      <c r="A51" s="144" t="s">
        <v>20</v>
      </c>
      <c r="B51" s="695" t="s">
        <v>26</v>
      </c>
      <c r="C51" s="311">
        <f>SUM(C44:C50)</f>
        <v>826</v>
      </c>
      <c r="D51" s="140"/>
    </row>
    <row r="52" spans="1:4" s="43" customFormat="1" ht="15" customHeight="1" outlineLevel="1" thickBot="1" x14ac:dyDescent="0.3">
      <c r="A52" s="101" t="s">
        <v>22</v>
      </c>
      <c r="B52" s="695"/>
      <c r="C52" s="312">
        <f>AVERAGE(C44:C50)</f>
        <v>165.2</v>
      </c>
      <c r="D52" s="140"/>
    </row>
    <row r="53" spans="1:4" s="43" customFormat="1" ht="15" customHeight="1" thickBot="1" x14ac:dyDescent="0.3">
      <c r="A53" s="26" t="s">
        <v>19</v>
      </c>
      <c r="B53" s="695"/>
      <c r="C53" s="186">
        <f>SUM(C44:C48)</f>
        <v>826</v>
      </c>
      <c r="D53" s="140"/>
    </row>
    <row r="54" spans="1:4" s="43" customFormat="1" ht="15" customHeight="1" thickBot="1" x14ac:dyDescent="0.3">
      <c r="A54" s="26" t="s">
        <v>21</v>
      </c>
      <c r="B54" s="695"/>
      <c r="C54" s="187">
        <f>AVERAGE(C44:C48)</f>
        <v>165.2</v>
      </c>
      <c r="D54" s="140"/>
    </row>
    <row r="55" spans="1:4" s="43" customFormat="1" ht="15" customHeight="1" thickBot="1" x14ac:dyDescent="0.3">
      <c r="A55" s="25" t="s">
        <v>3</v>
      </c>
      <c r="B55" s="226">
        <f>B50+1</f>
        <v>44074</v>
      </c>
      <c r="C55" s="562">
        <v>178</v>
      </c>
      <c r="D55" s="140"/>
    </row>
    <row r="56" spans="1:4" s="43" customFormat="1" ht="15" hidden="1" customHeight="1" x14ac:dyDescent="0.25">
      <c r="A56" s="136" t="s">
        <v>4</v>
      </c>
      <c r="B56" s="226">
        <f t="shared" ref="B56:B61" si="3">B55+1</f>
        <v>44075</v>
      </c>
      <c r="C56" s="313"/>
      <c r="D56" s="140"/>
    </row>
    <row r="57" spans="1:4" s="43" customFormat="1" ht="13.5" hidden="1" x14ac:dyDescent="0.25">
      <c r="A57" s="136" t="s">
        <v>5</v>
      </c>
      <c r="B57" s="226">
        <f t="shared" si="3"/>
        <v>44076</v>
      </c>
      <c r="C57" s="188"/>
      <c r="D57" s="140"/>
    </row>
    <row r="58" spans="1:4" s="43" customFormat="1" ht="13.5" hidden="1" x14ac:dyDescent="0.25">
      <c r="A58" s="136" t="s">
        <v>6</v>
      </c>
      <c r="B58" s="226">
        <f t="shared" si="3"/>
        <v>44077</v>
      </c>
      <c r="C58" s="313"/>
      <c r="D58" s="140"/>
    </row>
    <row r="59" spans="1:4" s="43" customFormat="1" ht="14.25" hidden="1" thickBot="1" x14ac:dyDescent="0.3">
      <c r="A59" s="25" t="s">
        <v>0</v>
      </c>
      <c r="B59" s="227">
        <f t="shared" si="3"/>
        <v>44078</v>
      </c>
      <c r="C59" s="313"/>
      <c r="D59" s="140"/>
    </row>
    <row r="60" spans="1:4" s="43" customFormat="1" ht="13.5" hidden="1" outlineLevel="1" x14ac:dyDescent="0.25">
      <c r="A60" s="25" t="s">
        <v>1</v>
      </c>
      <c r="B60" s="227">
        <f t="shared" si="3"/>
        <v>44079</v>
      </c>
      <c r="C60" s="188"/>
      <c r="D60" s="140"/>
    </row>
    <row r="61" spans="1:4" s="43" customFormat="1" ht="14.25" hidden="1" outlineLevel="1" thickBot="1" x14ac:dyDescent="0.3">
      <c r="A61" s="136" t="s">
        <v>2</v>
      </c>
      <c r="B61" s="227">
        <f t="shared" si="3"/>
        <v>44080</v>
      </c>
      <c r="C61" s="310"/>
    </row>
    <row r="62" spans="1:4" s="43" customFormat="1" ht="15" customHeight="1" outlineLevel="1" thickBot="1" x14ac:dyDescent="0.3">
      <c r="A62" s="144" t="s">
        <v>20</v>
      </c>
      <c r="B62" s="695" t="s">
        <v>27</v>
      </c>
      <c r="C62" s="311">
        <f>SUM(C55:C61)</f>
        <v>178</v>
      </c>
    </row>
    <row r="63" spans="1:4" s="43" customFormat="1" ht="15" customHeight="1" outlineLevel="1" thickBot="1" x14ac:dyDescent="0.3">
      <c r="A63" s="101" t="s">
        <v>22</v>
      </c>
      <c r="B63" s="695"/>
      <c r="C63" s="312">
        <f>AVERAGE(C55:C61)</f>
        <v>178</v>
      </c>
    </row>
    <row r="64" spans="1:4" s="43" customFormat="1" ht="15" customHeight="1" thickBot="1" x14ac:dyDescent="0.3">
      <c r="A64" s="26" t="s">
        <v>19</v>
      </c>
      <c r="B64" s="695"/>
      <c r="C64" s="186">
        <f>SUM(C55:C59)</f>
        <v>178</v>
      </c>
    </row>
    <row r="65" spans="1:6" s="43" customFormat="1" ht="14.25" thickBot="1" x14ac:dyDescent="0.3">
      <c r="A65" s="26" t="s">
        <v>21</v>
      </c>
      <c r="B65" s="696"/>
      <c r="C65" s="187">
        <f>AVERAGE(C55:C59)</f>
        <v>178</v>
      </c>
    </row>
    <row r="66" spans="1:6" s="43" customFormat="1" ht="13.5" hidden="1" x14ac:dyDescent="0.25">
      <c r="A66" s="136" t="s">
        <v>3</v>
      </c>
      <c r="B66" s="321">
        <f>B61+1</f>
        <v>44081</v>
      </c>
      <c r="C66" s="180"/>
      <c r="D66" s="17"/>
    </row>
    <row r="67" spans="1:6" s="43" customFormat="1" ht="13.5" hidden="1" x14ac:dyDescent="0.25">
      <c r="A67" s="136" t="s">
        <v>4</v>
      </c>
      <c r="B67" s="160">
        <f t="shared" ref="B67:B72" si="4">B66+1</f>
        <v>44082</v>
      </c>
      <c r="C67" s="180"/>
      <c r="D67" s="17"/>
    </row>
    <row r="68" spans="1:6" s="43" customFormat="1" ht="13.5" hidden="1" x14ac:dyDescent="0.25">
      <c r="A68" s="136" t="s">
        <v>5</v>
      </c>
      <c r="B68" s="160">
        <f t="shared" si="4"/>
        <v>44083</v>
      </c>
      <c r="C68" s="181"/>
      <c r="D68" s="17"/>
    </row>
    <row r="69" spans="1:6" s="43" customFormat="1" ht="13.5" hidden="1" x14ac:dyDescent="0.25">
      <c r="A69" s="136" t="s">
        <v>6</v>
      </c>
      <c r="B69" s="160">
        <f t="shared" si="4"/>
        <v>44084</v>
      </c>
      <c r="C69" s="181"/>
      <c r="D69" s="17"/>
    </row>
    <row r="70" spans="1:6" s="43" customFormat="1" ht="13.5" hidden="1" x14ac:dyDescent="0.25">
      <c r="A70" s="136" t="s">
        <v>0</v>
      </c>
      <c r="B70" s="160">
        <f t="shared" si="4"/>
        <v>44085</v>
      </c>
      <c r="C70" s="181"/>
      <c r="D70" s="17"/>
    </row>
    <row r="71" spans="1:6" s="43" customFormat="1" ht="13.5" hidden="1" outlineLevel="1" x14ac:dyDescent="0.25">
      <c r="A71" s="136" t="s">
        <v>1</v>
      </c>
      <c r="B71" s="160">
        <f t="shared" si="4"/>
        <v>44086</v>
      </c>
      <c r="C71" s="189"/>
      <c r="D71" s="17"/>
    </row>
    <row r="72" spans="1:6" s="43" customFormat="1" ht="13.5" hidden="1" outlineLevel="1" x14ac:dyDescent="0.25">
      <c r="A72" s="136" t="s">
        <v>2</v>
      </c>
      <c r="B72" s="160">
        <f t="shared" si="4"/>
        <v>44087</v>
      </c>
      <c r="C72" s="190"/>
      <c r="D72" s="17"/>
    </row>
    <row r="73" spans="1:6" s="43" customFormat="1" ht="14.25" hidden="1" outlineLevel="1" thickBot="1" x14ac:dyDescent="0.3">
      <c r="A73" s="144" t="s">
        <v>20</v>
      </c>
      <c r="B73" s="747" t="s">
        <v>31</v>
      </c>
      <c r="C73" s="182">
        <f>SUM(C66:C72)</f>
        <v>0</v>
      </c>
      <c r="D73" s="104">
        <f>SUM(C73)</f>
        <v>0</v>
      </c>
    </row>
    <row r="74" spans="1:6" s="43" customFormat="1" ht="14.25" hidden="1" outlineLevel="1" thickBot="1" x14ac:dyDescent="0.3">
      <c r="A74" s="101" t="s">
        <v>22</v>
      </c>
      <c r="B74" s="747"/>
      <c r="C74" s="183" t="e">
        <f>AVERAGE(C66:C72)</f>
        <v>#DIV/0!</v>
      </c>
      <c r="D74" s="102" t="e">
        <f>SUM(C74)</f>
        <v>#DIV/0!</v>
      </c>
    </row>
    <row r="75" spans="1:6" s="43" customFormat="1" ht="14.25" hidden="1" thickBot="1" x14ac:dyDescent="0.3">
      <c r="A75" s="26" t="s">
        <v>19</v>
      </c>
      <c r="B75" s="747"/>
      <c r="C75" s="184">
        <f>SUM(C66:C70)</f>
        <v>0</v>
      </c>
      <c r="D75" s="27">
        <f>SUM(C75)</f>
        <v>0</v>
      </c>
    </row>
    <row r="76" spans="1:6" s="43" customFormat="1" ht="14.25" hidden="1" thickBot="1" x14ac:dyDescent="0.3">
      <c r="A76" s="26" t="s">
        <v>21</v>
      </c>
      <c r="B76" s="748"/>
      <c r="C76" s="185" t="e">
        <f>AVERAGE(C66:C70)</f>
        <v>#DIV/0!</v>
      </c>
      <c r="D76" s="29" t="e">
        <f>SUM(C76)</f>
        <v>#DIV/0!</v>
      </c>
    </row>
    <row r="77" spans="1:6" s="43" customFormat="1" ht="15" customHeight="1" x14ac:dyDescent="0.25">
      <c r="A77" s="4"/>
      <c r="B77" s="119"/>
      <c r="C77" s="46"/>
      <c r="D77" s="46"/>
    </row>
    <row r="78" spans="1:6" s="43" customFormat="1" ht="42" customHeight="1" thickBot="1" x14ac:dyDescent="0.3">
      <c r="A78" s="170"/>
      <c r="B78" s="387" t="s">
        <v>9</v>
      </c>
      <c r="D78" s="751" t="s">
        <v>53</v>
      </c>
      <c r="E78" s="752"/>
      <c r="F78" s="753"/>
    </row>
    <row r="79" spans="1:6" ht="30" customHeight="1" x14ac:dyDescent="0.25">
      <c r="A79" s="386" t="s">
        <v>113</v>
      </c>
      <c r="B79" s="388">
        <f>SUM(C62:C62, C51:C51, C40:C40, C29:C29, C18:C18, C73:C73, C7:C7 )</f>
        <v>2903</v>
      </c>
      <c r="D79" s="762" t="s">
        <v>29</v>
      </c>
      <c r="E79" s="763"/>
      <c r="F79" s="390">
        <f>SUM(C20, C31, C42, C53, C64, C75)</f>
        <v>2903</v>
      </c>
    </row>
    <row r="80" spans="1:6" ht="30" customHeight="1" thickBot="1" x14ac:dyDescent="0.3">
      <c r="A80" s="386" t="s">
        <v>29</v>
      </c>
      <c r="B80" s="389">
        <f>SUM(C64:C64, C53:C53, C42:C42, C31:C31, C20:C20, C75:C75)</f>
        <v>2903</v>
      </c>
      <c r="D80" s="758" t="s">
        <v>113</v>
      </c>
      <c r="E80" s="759"/>
      <c r="F80" s="391">
        <f>SUM(C62, C51, C40, C29, C18, C73, C7)</f>
        <v>2903</v>
      </c>
    </row>
    <row r="81" spans="4:6" ht="30" customHeight="1" x14ac:dyDescent="0.25">
      <c r="D81" s="758" t="s">
        <v>21</v>
      </c>
      <c r="E81" s="759"/>
      <c r="F81" s="391">
        <f>AVERAGE(C21,C32,C43,C54,C65)</f>
        <v>144.6</v>
      </c>
    </row>
    <row r="82" spans="4:6" ht="30" customHeight="1" thickBot="1" x14ac:dyDescent="0.3">
      <c r="D82" s="760" t="s">
        <v>119</v>
      </c>
      <c r="E82" s="761"/>
      <c r="F82" s="306">
        <f>AVERAGE(C19,C30,C41,C52,C63)</f>
        <v>144.6</v>
      </c>
    </row>
  </sheetData>
  <mergeCells count="16">
    <mergeCell ref="D82:E82"/>
    <mergeCell ref="D81:E81"/>
    <mergeCell ref="B62:B65"/>
    <mergeCell ref="B51:B54"/>
    <mergeCell ref="B40:B43"/>
    <mergeCell ref="D80:E80"/>
    <mergeCell ref="D79:E79"/>
    <mergeCell ref="C1:C2"/>
    <mergeCell ref="A3:A4"/>
    <mergeCell ref="B3:B4"/>
    <mergeCell ref="B73:B76"/>
    <mergeCell ref="D78:F78"/>
    <mergeCell ref="B29:B32"/>
    <mergeCell ref="B18:B21"/>
    <mergeCell ref="C3:C4"/>
    <mergeCell ref="B7:B10"/>
  </mergeCells>
  <pageMargins left="0.7" right="0.7" top="0.75" bottom="0.75" header="0.3" footer="0.3"/>
  <pageSetup scale="59" orientation="portrait" r:id="rId1"/>
  <ignoredErrors>
    <ignoredError sqref="C4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18" t="s">
        <v>65</v>
      </c>
      <c r="D1" s="718" t="s">
        <v>8</v>
      </c>
      <c r="E1" s="732" t="s">
        <v>18</v>
      </c>
    </row>
    <row r="2" spans="1:6" ht="14.25" customHeight="1" thickBot="1" x14ac:dyDescent="0.3">
      <c r="A2" s="24"/>
      <c r="B2" s="153"/>
      <c r="C2" s="749"/>
      <c r="D2" s="749"/>
      <c r="E2" s="733"/>
    </row>
    <row r="3" spans="1:6" ht="14.25" customHeight="1" x14ac:dyDescent="0.25">
      <c r="A3" s="646" t="s">
        <v>50</v>
      </c>
      <c r="B3" s="756" t="s">
        <v>51</v>
      </c>
      <c r="C3" s="655" t="s">
        <v>62</v>
      </c>
      <c r="D3" s="655" t="s">
        <v>8</v>
      </c>
      <c r="E3" s="733"/>
    </row>
    <row r="4" spans="1:6" ht="15" customHeight="1" thickBot="1" x14ac:dyDescent="0.3">
      <c r="A4" s="710"/>
      <c r="B4" s="757"/>
      <c r="C4" s="740"/>
      <c r="D4" s="740"/>
      <c r="E4" s="733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20</v>
      </c>
      <c r="B12" s="772" t="s">
        <v>23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22</v>
      </c>
      <c r="B13" s="747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19</v>
      </c>
      <c r="B14" s="747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21</v>
      </c>
      <c r="B15" s="747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20</v>
      </c>
      <c r="B23" s="772" t="s">
        <v>24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22</v>
      </c>
      <c r="B24" s="747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19</v>
      </c>
      <c r="B25" s="747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21</v>
      </c>
      <c r="B26" s="748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20</v>
      </c>
      <c r="B34" s="772" t="s">
        <v>25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22</v>
      </c>
      <c r="B35" s="747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19</v>
      </c>
      <c r="B36" s="747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21</v>
      </c>
      <c r="B37" s="748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20</v>
      </c>
      <c r="B45" s="772" t="s">
        <v>26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22</v>
      </c>
      <c r="B46" s="747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19</v>
      </c>
      <c r="B47" s="747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21</v>
      </c>
      <c r="B48" s="748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20</v>
      </c>
      <c r="B56" s="772" t="s">
        <v>27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22</v>
      </c>
      <c r="B57" s="747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19</v>
      </c>
      <c r="B58" s="747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21</v>
      </c>
      <c r="B59" s="748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20</v>
      </c>
      <c r="B67" s="772" t="s">
        <v>31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22</v>
      </c>
      <c r="B68" s="747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19</v>
      </c>
      <c r="B69" s="747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21</v>
      </c>
      <c r="B70" s="748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64</v>
      </c>
      <c r="D72" s="36" t="s">
        <v>8</v>
      </c>
      <c r="E72" s="775" t="s">
        <v>70</v>
      </c>
      <c r="F72" s="776"/>
    </row>
    <row r="73" spans="1:6" ht="25.5" x14ac:dyDescent="0.25">
      <c r="A73" s="11"/>
      <c r="B73" s="38" t="s">
        <v>29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29</v>
      </c>
      <c r="F73" s="98">
        <f>SUM(E14, E25, E36, E47, E58, E69)</f>
        <v>0</v>
      </c>
    </row>
    <row r="74" spans="1:6" ht="25.5" x14ac:dyDescent="0.25">
      <c r="A74" s="11"/>
      <c r="B74" s="38" t="s">
        <v>28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28</v>
      </c>
      <c r="F74" s="99">
        <f>SUM(E56, E45, E34, E23, E12, E67)</f>
        <v>0</v>
      </c>
    </row>
    <row r="75" spans="1:6" x14ac:dyDescent="0.25">
      <c r="C75" s="120"/>
      <c r="E75" s="192" t="s">
        <v>21</v>
      </c>
      <c r="F75" s="99">
        <f>AVERAGE(E14, E25, E36, E47, E58, E69)</f>
        <v>0</v>
      </c>
    </row>
    <row r="76" spans="1:6" x14ac:dyDescent="0.25">
      <c r="C76" s="120"/>
      <c r="E76" s="192" t="s">
        <v>58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9F74FB-F55D-49B1-9D6A-CD486CDF5654}"/>
</file>

<file path=customXml/itemProps2.xml><?xml version="1.0" encoding="utf-8"?>
<ds:datastoreItem xmlns:ds="http://schemas.openxmlformats.org/officeDocument/2006/customXml" ds:itemID="{F840DDE3-6030-4AA1-871D-C2D69E3A1E81}"/>
</file>

<file path=customXml/itemProps3.xml><?xml version="1.0" encoding="utf-8"?>
<ds:datastoreItem xmlns:ds="http://schemas.openxmlformats.org/officeDocument/2006/customXml" ds:itemID="{909BD83B-A1D3-4013-9C18-1B3BA1C78A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2020-10-07T14:14:42Z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