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202300"/>
  <mc:AlternateContent xmlns:mc="http://schemas.openxmlformats.org/markup-compatibility/2006">
    <mc:Choice Requires="x15">
      <x15ac:absPath xmlns:x15ac="http://schemas.microsoft.com/office/spreadsheetml/2010/11/ac" url="/Users/joshuakaji/Desktop/freelance/Interview preparation/Pricing - Lattice/"/>
    </mc:Choice>
  </mc:AlternateContent>
  <xr:revisionPtr revIDLastSave="0" documentId="13_ncr:1_{3C3895B8-6611-BB43-9420-04AB9EF83DE5}" xr6:coauthVersionLast="47" xr6:coauthVersionMax="47" xr10:uidLastSave="{00000000-0000-0000-0000-000000000000}"/>
  <bookViews>
    <workbookView xWindow="5720" yWindow="760" windowWidth="24520" windowHeight="18880" xr2:uid="{423334F6-223D-184D-A1F9-F18C63A759BB}"/>
  </bookViews>
  <sheets>
    <sheet name="Callable Bond (Bwd induction)" sheetId="3" r:id="rId1"/>
    <sheet name="European claims (Arrow-Debrew)" sheetId="4" r:id="rId2"/>
    <sheet name="Forwards &amp; Futures " sheetId="6" r:id="rId3"/>
    <sheet name="calibration BDT model (Draft)" sheetId="1" r:id="rId4"/>
  </sheets>
  <calcPr calcId="191029" iterate="1" iterateCount="10000"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9" i="6" l="1"/>
  <c r="K60" i="6"/>
  <c r="K61" i="6"/>
  <c r="K62" i="6"/>
  <c r="K63" i="6"/>
  <c r="K64" i="6"/>
  <c r="K58" i="6"/>
  <c r="E21" i="6"/>
  <c r="F11" i="6"/>
  <c r="G11" i="6" s="1"/>
  <c r="F10" i="6"/>
  <c r="G10" i="6" s="1"/>
  <c r="H25" i="4"/>
  <c r="I25" i="4" s="1"/>
  <c r="J25" i="4" s="1"/>
  <c r="T37" i="4"/>
  <c r="H37" i="4"/>
  <c r="F22" i="6" l="1"/>
  <c r="T48" i="4"/>
  <c r="T56" i="4" s="1"/>
  <c r="H11" i="6"/>
  <c r="G22" i="6"/>
  <c r="H10" i="6"/>
  <c r="G21" i="6"/>
  <c r="G12" i="6"/>
  <c r="F21" i="6"/>
  <c r="E108" i="4"/>
  <c r="D108" i="4"/>
  <c r="D91" i="4"/>
  <c r="E84" i="4"/>
  <c r="H56" i="4"/>
  <c r="T36" i="4" s="1"/>
  <c r="K25" i="4"/>
  <c r="I74" i="3"/>
  <c r="Q71" i="3" s="1"/>
  <c r="H74" i="3"/>
  <c r="P71" i="3" s="1"/>
  <c r="P73" i="3" s="1"/>
  <c r="J74" i="3"/>
  <c r="R71" i="3" s="1"/>
  <c r="K74" i="3"/>
  <c r="S71" i="3" s="1"/>
  <c r="L74" i="3"/>
  <c r="T71" i="3" s="1"/>
  <c r="M74" i="3"/>
  <c r="U71" i="3" s="1"/>
  <c r="T55" i="3"/>
  <c r="O56" i="3"/>
  <c r="H54" i="3"/>
  <c r="I54" i="3"/>
  <c r="J54" i="3"/>
  <c r="K54" i="3"/>
  <c r="M54" i="3"/>
  <c r="M60" i="3" s="1"/>
  <c r="L54" i="3"/>
  <c r="I10" i="6" l="1"/>
  <c r="H21" i="6"/>
  <c r="H12" i="6"/>
  <c r="G23" i="6"/>
  <c r="H13" i="6"/>
  <c r="I11" i="6"/>
  <c r="H22" i="6"/>
  <c r="H33" i="6" s="1"/>
  <c r="L25" i="4"/>
  <c r="K37" i="4"/>
  <c r="J37" i="4"/>
  <c r="I37" i="4"/>
  <c r="E91" i="4"/>
  <c r="I26" i="4"/>
  <c r="M57" i="3"/>
  <c r="M77" i="3"/>
  <c r="U74" i="3" s="1"/>
  <c r="M80" i="3"/>
  <c r="M89" i="3" s="1"/>
  <c r="M58" i="3"/>
  <c r="M61" i="3"/>
  <c r="M59" i="3"/>
  <c r="M79" i="3" s="1"/>
  <c r="U76" i="3" s="1"/>
  <c r="M56" i="3"/>
  <c r="M76" i="3" s="1"/>
  <c r="U73" i="3" s="1"/>
  <c r="T39" i="3"/>
  <c r="T40" i="3"/>
  <c r="T41" i="3"/>
  <c r="T42" i="3"/>
  <c r="T38" i="3"/>
  <c r="O38" i="3"/>
  <c r="M39" i="3"/>
  <c r="M40" i="3"/>
  <c r="M41" i="3"/>
  <c r="M42" i="3"/>
  <c r="M43" i="3"/>
  <c r="M38" i="3"/>
  <c r="H17" i="3"/>
  <c r="H27" i="3" s="1"/>
  <c r="D32" i="1"/>
  <c r="E32" i="1" s="1"/>
  <c r="F32" i="1" s="1"/>
  <c r="G32" i="1" s="1"/>
  <c r="D5" i="1"/>
  <c r="E5" i="1" s="1"/>
  <c r="F5" i="1" s="1"/>
  <c r="G5" i="1" s="1"/>
  <c r="D13" i="1"/>
  <c r="D20" i="1"/>
  <c r="E20" i="1" s="1"/>
  <c r="F20" i="1" s="1"/>
  <c r="E13" i="1"/>
  <c r="F13" i="1"/>
  <c r="G13" i="1"/>
  <c r="C68" i="1"/>
  <c r="E63" i="1"/>
  <c r="D63" i="1"/>
  <c r="E64" i="1" s="1"/>
  <c r="F65" i="1" s="1"/>
  <c r="D62" i="1"/>
  <c r="D60" i="1"/>
  <c r="E60" i="1" s="1"/>
  <c r="F60" i="1" s="1"/>
  <c r="G60" i="1" s="1"/>
  <c r="L11" i="1"/>
  <c r="L10" i="1"/>
  <c r="D22" i="1"/>
  <c r="E22" i="1" s="1"/>
  <c r="F22" i="1" s="1"/>
  <c r="G22" i="1" s="1"/>
  <c r="D12" i="1"/>
  <c r="E12" i="1" s="1"/>
  <c r="F12" i="1" s="1"/>
  <c r="G12" i="1" s="1"/>
  <c r="D8" i="1"/>
  <c r="E8" i="1" s="1"/>
  <c r="F8" i="1" s="1"/>
  <c r="G8" i="1" s="1"/>
  <c r="G9" i="1" s="1"/>
  <c r="I38" i="4" l="1"/>
  <c r="J26" i="4"/>
  <c r="D68" i="1"/>
  <c r="H51" i="6"/>
  <c r="H32" i="6"/>
  <c r="J11" i="6"/>
  <c r="I22" i="6"/>
  <c r="J10" i="6"/>
  <c r="I21" i="6"/>
  <c r="I13" i="6"/>
  <c r="H24" i="6"/>
  <c r="I14" i="6"/>
  <c r="I12" i="6"/>
  <c r="H23" i="6"/>
  <c r="L37" i="4"/>
  <c r="M25" i="4"/>
  <c r="M37" i="4" s="1"/>
  <c r="F84" i="4"/>
  <c r="F100" i="4"/>
  <c r="F85" i="4"/>
  <c r="I48" i="4"/>
  <c r="J48" i="4" s="1"/>
  <c r="I49" i="4"/>
  <c r="J50" i="4" s="1"/>
  <c r="K51" i="4" s="1"/>
  <c r="F98" i="4"/>
  <c r="F99" i="4"/>
  <c r="F83" i="4"/>
  <c r="I18" i="3"/>
  <c r="J18" i="3" s="1"/>
  <c r="K18" i="3" s="1"/>
  <c r="I17" i="3"/>
  <c r="J17" i="3" s="1"/>
  <c r="J27" i="3" s="1"/>
  <c r="J27" i="4"/>
  <c r="J39" i="4" s="1"/>
  <c r="U77" i="3"/>
  <c r="M81" i="3"/>
  <c r="M85" i="3"/>
  <c r="M86" i="3"/>
  <c r="M78" i="3"/>
  <c r="M88" i="3"/>
  <c r="U42" i="3"/>
  <c r="M50" i="3"/>
  <c r="U39" i="3"/>
  <c r="J50" i="3"/>
  <c r="U40" i="3"/>
  <c r="K50" i="3"/>
  <c r="U41" i="3"/>
  <c r="L50" i="3"/>
  <c r="U38" i="3"/>
  <c r="I50" i="3"/>
  <c r="I27" i="3"/>
  <c r="J28" i="3"/>
  <c r="I28" i="3"/>
  <c r="J19" i="3"/>
  <c r="E62" i="1"/>
  <c r="F63" i="1" s="1"/>
  <c r="G64" i="1" s="1"/>
  <c r="F64" i="1"/>
  <c r="K24" i="1"/>
  <c r="K23" i="1"/>
  <c r="G65" i="1"/>
  <c r="G66" i="1"/>
  <c r="D9" i="1"/>
  <c r="C14" i="1" s="1"/>
  <c r="F9" i="1"/>
  <c r="E9" i="1"/>
  <c r="F62" i="1" l="1"/>
  <c r="E68" i="1"/>
  <c r="K17" i="3"/>
  <c r="J12" i="6"/>
  <c r="I23" i="6"/>
  <c r="H50" i="6"/>
  <c r="G32" i="6"/>
  <c r="H35" i="6"/>
  <c r="H53" i="6" s="1"/>
  <c r="K10" i="6"/>
  <c r="K21" i="6" s="1"/>
  <c r="J21" i="6"/>
  <c r="J58" i="6" s="1"/>
  <c r="I58" i="6" s="1"/>
  <c r="K11" i="6"/>
  <c r="K22" i="6" s="1"/>
  <c r="J22" i="6"/>
  <c r="J59" i="6" s="1"/>
  <c r="H34" i="6"/>
  <c r="J13" i="6"/>
  <c r="I24" i="6"/>
  <c r="J14" i="6"/>
  <c r="I25" i="6"/>
  <c r="J15" i="6"/>
  <c r="G83" i="4"/>
  <c r="I56" i="4"/>
  <c r="J49" i="4"/>
  <c r="J56" i="4" s="1"/>
  <c r="G98" i="4"/>
  <c r="F108" i="4"/>
  <c r="G86" i="4"/>
  <c r="K26" i="4"/>
  <c r="J38" i="4"/>
  <c r="G84" i="4" s="1"/>
  <c r="F91" i="4"/>
  <c r="K48" i="4"/>
  <c r="G101" i="4"/>
  <c r="K28" i="4"/>
  <c r="K40" i="4" s="1"/>
  <c r="L52" i="4" s="1"/>
  <c r="K27" i="4"/>
  <c r="U78" i="3"/>
  <c r="M87" i="3"/>
  <c r="U75" i="3"/>
  <c r="M90" i="3"/>
  <c r="L18" i="3"/>
  <c r="K28" i="3"/>
  <c r="K19" i="3"/>
  <c r="J29" i="3"/>
  <c r="K20" i="3"/>
  <c r="K30" i="3" s="1"/>
  <c r="L17" i="3"/>
  <c r="K27" i="3"/>
  <c r="G62" i="1"/>
  <c r="F68" i="1"/>
  <c r="C19" i="1"/>
  <c r="D14" i="1"/>
  <c r="D15" i="1"/>
  <c r="E15" i="1" s="1"/>
  <c r="G63" i="1"/>
  <c r="G50" i="6" l="1"/>
  <c r="I57" i="4"/>
  <c r="U37" i="4" s="1"/>
  <c r="T38" i="4" s="1"/>
  <c r="U36" i="4"/>
  <c r="K15" i="6"/>
  <c r="K26" i="6" s="1"/>
  <c r="K16" i="6"/>
  <c r="K27" i="6" s="1"/>
  <c r="J26" i="6"/>
  <c r="J63" i="6" s="1"/>
  <c r="K14" i="6"/>
  <c r="K25" i="6" s="1"/>
  <c r="J25" i="6"/>
  <c r="J62" i="6" s="1"/>
  <c r="J94" i="6"/>
  <c r="I62" i="6"/>
  <c r="I78" i="6"/>
  <c r="K13" i="6"/>
  <c r="K24" i="6" s="1"/>
  <c r="J24" i="6"/>
  <c r="J61" i="6" s="1"/>
  <c r="J93" i="6"/>
  <c r="G41" i="6"/>
  <c r="H52" i="6"/>
  <c r="G33" i="6"/>
  <c r="G34" i="6"/>
  <c r="G43" i="6" s="1"/>
  <c r="J91" i="6"/>
  <c r="K12" i="6"/>
  <c r="K23" i="6" s="1"/>
  <c r="J23" i="6"/>
  <c r="J60" i="6" s="1"/>
  <c r="I59" i="6" s="1"/>
  <c r="J90" i="6"/>
  <c r="I90" i="6" s="1"/>
  <c r="J57" i="4"/>
  <c r="V37" i="4" s="1"/>
  <c r="U38" i="4" s="1"/>
  <c r="V36" i="4"/>
  <c r="H87" i="4"/>
  <c r="G85" i="4"/>
  <c r="G91" i="4" s="1"/>
  <c r="G99" i="4"/>
  <c r="H102" i="4"/>
  <c r="G100" i="4"/>
  <c r="H101" i="4" s="1"/>
  <c r="L26" i="4"/>
  <c r="K38" i="4"/>
  <c r="H85" i="4" s="1"/>
  <c r="K49" i="4"/>
  <c r="K50" i="4"/>
  <c r="H83" i="4"/>
  <c r="I83" i="4" s="1"/>
  <c r="L27" i="4"/>
  <c r="K39" i="4"/>
  <c r="H98" i="4"/>
  <c r="L48" i="4"/>
  <c r="L29" i="4"/>
  <c r="L28" i="4"/>
  <c r="L20" i="3"/>
  <c r="M20" i="3" s="1"/>
  <c r="L21" i="3"/>
  <c r="M21" i="3" s="1"/>
  <c r="M17" i="3"/>
  <c r="L27" i="3"/>
  <c r="L19" i="3"/>
  <c r="K29" i="3"/>
  <c r="M18" i="3"/>
  <c r="L28" i="3"/>
  <c r="E16" i="1"/>
  <c r="F16" i="1" s="1"/>
  <c r="D19" i="1"/>
  <c r="E14" i="1"/>
  <c r="F14" i="1" s="1"/>
  <c r="F24" i="1" s="1"/>
  <c r="G68" i="1"/>
  <c r="F15" i="1"/>
  <c r="E19" i="1"/>
  <c r="F17" i="1"/>
  <c r="F27" i="1" s="1"/>
  <c r="I93" i="6" l="1"/>
  <c r="M29" i="4"/>
  <c r="M41" i="4" s="1"/>
  <c r="M30" i="4"/>
  <c r="M42" i="4" s="1"/>
  <c r="L41" i="4"/>
  <c r="M53" i="4" s="1"/>
  <c r="I61" i="6"/>
  <c r="G108" i="4"/>
  <c r="I81" i="6"/>
  <c r="H61" i="6"/>
  <c r="I79" i="6"/>
  <c r="H58" i="6"/>
  <c r="F33" i="6"/>
  <c r="G42" i="6"/>
  <c r="F42" i="6" s="1"/>
  <c r="J92" i="6"/>
  <c r="I92" i="6" s="1"/>
  <c r="H92" i="6" s="1"/>
  <c r="I60" i="6"/>
  <c r="H59" i="6" s="1"/>
  <c r="I82" i="6"/>
  <c r="I91" i="6"/>
  <c r="H91" i="6" s="1"/>
  <c r="G91" i="6" s="1"/>
  <c r="J95" i="6"/>
  <c r="I94" i="6" s="1"/>
  <c r="H93" i="6" s="1"/>
  <c r="H78" i="6"/>
  <c r="G52" i="6"/>
  <c r="G51" i="6"/>
  <c r="F32" i="6"/>
  <c r="H86" i="4"/>
  <c r="H100" i="4"/>
  <c r="M27" i="4"/>
  <c r="M39" i="4" s="1"/>
  <c r="L39" i="4"/>
  <c r="L51" i="4"/>
  <c r="L38" i="4"/>
  <c r="M26" i="4"/>
  <c r="M38" i="4" s="1"/>
  <c r="M28" i="4"/>
  <c r="M40" i="4" s="1"/>
  <c r="L40" i="4"/>
  <c r="I102" i="4" s="1"/>
  <c r="U48" i="4"/>
  <c r="U49" i="4"/>
  <c r="K56" i="4"/>
  <c r="H99" i="4"/>
  <c r="H84" i="4"/>
  <c r="M48" i="4"/>
  <c r="I98" i="4"/>
  <c r="I99" i="4"/>
  <c r="I103" i="4"/>
  <c r="L50" i="4"/>
  <c r="I88" i="4"/>
  <c r="L49" i="4"/>
  <c r="L30" i="3"/>
  <c r="L38" i="3"/>
  <c r="K38" i="3" s="1"/>
  <c r="L56" i="3"/>
  <c r="L39" i="3"/>
  <c r="L57" i="3"/>
  <c r="L31" i="3"/>
  <c r="M22" i="3"/>
  <c r="M19" i="3"/>
  <c r="L29" i="3"/>
  <c r="F26" i="1"/>
  <c r="F19" i="1"/>
  <c r="F25" i="1"/>
  <c r="E24" i="1" s="1"/>
  <c r="G58" i="6" l="1"/>
  <c r="M50" i="4"/>
  <c r="U56" i="4"/>
  <c r="E32" i="6"/>
  <c r="H90" i="6"/>
  <c r="G90" i="6" s="1"/>
  <c r="F90" i="6" s="1"/>
  <c r="H60" i="6"/>
  <c r="G59" i="6" s="1"/>
  <c r="I80" i="6"/>
  <c r="H80" i="6" s="1"/>
  <c r="G80" i="6" s="1"/>
  <c r="F41" i="6"/>
  <c r="E41" i="6" s="1"/>
  <c r="F51" i="6"/>
  <c r="F50" i="6"/>
  <c r="G92" i="6"/>
  <c r="F91" i="6" s="1"/>
  <c r="H81" i="6"/>
  <c r="I101" i="4"/>
  <c r="I84" i="4"/>
  <c r="I86" i="4"/>
  <c r="K57" i="4"/>
  <c r="W37" i="4" s="1"/>
  <c r="V38" i="4" s="1"/>
  <c r="W36" i="4"/>
  <c r="I100" i="4"/>
  <c r="I108" i="4" s="1"/>
  <c r="I87" i="4"/>
  <c r="H91" i="4"/>
  <c r="M51" i="4"/>
  <c r="M52" i="4"/>
  <c r="H108" i="4"/>
  <c r="I85" i="4"/>
  <c r="M49" i="4"/>
  <c r="L56" i="4"/>
  <c r="L40" i="3"/>
  <c r="K39" i="3" s="1"/>
  <c r="J38" i="3" s="1"/>
  <c r="L58" i="3"/>
  <c r="K57" i="3" s="1"/>
  <c r="L42" i="3"/>
  <c r="L60" i="3"/>
  <c r="L77" i="3"/>
  <c r="L86" i="3" s="1"/>
  <c r="L76" i="3"/>
  <c r="T73" i="3" s="1"/>
  <c r="K56" i="3"/>
  <c r="L41" i="3"/>
  <c r="L59" i="3"/>
  <c r="E26" i="1"/>
  <c r="E25" i="1"/>
  <c r="J23" i="1"/>
  <c r="L23" i="1" s="1"/>
  <c r="F11" i="1"/>
  <c r="M56" i="4" l="1"/>
  <c r="E50" i="6"/>
  <c r="F58" i="6"/>
  <c r="H79" i="6"/>
  <c r="E90" i="6"/>
  <c r="G60" i="6"/>
  <c r="F59" i="6" s="1"/>
  <c r="I91" i="4"/>
  <c r="M57" i="4"/>
  <c r="Y37" i="4" s="1"/>
  <c r="Y36" i="4"/>
  <c r="X36" i="4"/>
  <c r="L57" i="4"/>
  <c r="X37" i="4" s="1"/>
  <c r="W38" i="4" s="1"/>
  <c r="V50" i="4"/>
  <c r="V48" i="4"/>
  <c r="V49" i="4"/>
  <c r="K76" i="3"/>
  <c r="S73" i="3" s="1"/>
  <c r="J56" i="3"/>
  <c r="L85" i="3"/>
  <c r="T74" i="3"/>
  <c r="L80" i="3"/>
  <c r="K58" i="3"/>
  <c r="J57" i="3" s="1"/>
  <c r="L78" i="3"/>
  <c r="L87" i="3" s="1"/>
  <c r="K59" i="3"/>
  <c r="L79" i="3"/>
  <c r="T76" i="3" s="1"/>
  <c r="K41" i="3"/>
  <c r="K40" i="3"/>
  <c r="D24" i="1"/>
  <c r="D25" i="1"/>
  <c r="E11" i="1"/>
  <c r="K85" i="3" l="1"/>
  <c r="G79" i="6"/>
  <c r="F79" i="6" s="1"/>
  <c r="G78" i="6"/>
  <c r="F78" i="6" s="1"/>
  <c r="E78" i="6" s="1"/>
  <c r="E58" i="6"/>
  <c r="E62" i="6" s="1"/>
  <c r="V56" i="4"/>
  <c r="W51" i="4"/>
  <c r="W48" i="4"/>
  <c r="W50" i="4"/>
  <c r="W49" i="4"/>
  <c r="X38" i="4"/>
  <c r="J40" i="3"/>
  <c r="L88" i="3"/>
  <c r="K79" i="3"/>
  <c r="K88" i="3" s="1"/>
  <c r="K77" i="3"/>
  <c r="T75" i="3"/>
  <c r="L89" i="3"/>
  <c r="T77" i="3"/>
  <c r="I56" i="3"/>
  <c r="J76" i="3"/>
  <c r="R73" i="3" s="1"/>
  <c r="J39" i="3"/>
  <c r="J58" i="3"/>
  <c r="I57" i="3" s="1"/>
  <c r="K78" i="3"/>
  <c r="S75" i="3" s="1"/>
  <c r="D11" i="1"/>
  <c r="C24" i="1"/>
  <c r="J24" i="1" s="1"/>
  <c r="L24" i="1" s="1"/>
  <c r="L26" i="1" s="1"/>
  <c r="K87" i="3" l="1"/>
  <c r="J85" i="3"/>
  <c r="J77" i="3"/>
  <c r="J86" i="3" s="1"/>
  <c r="I68" i="6"/>
  <c r="I71" i="6"/>
  <c r="I72" i="6"/>
  <c r="I69" i="6"/>
  <c r="I70" i="6"/>
  <c r="X52" i="4"/>
  <c r="X48" i="4"/>
  <c r="X49" i="4"/>
  <c r="X51" i="4"/>
  <c r="X50" i="4"/>
  <c r="W56" i="4"/>
  <c r="S76" i="3"/>
  <c r="S74" i="3"/>
  <c r="K86" i="3"/>
  <c r="I39" i="3"/>
  <c r="I38" i="3"/>
  <c r="H38" i="3" s="1"/>
  <c r="E39" i="3" s="1"/>
  <c r="P38" i="3" s="1"/>
  <c r="H56" i="3"/>
  <c r="I76" i="3"/>
  <c r="Q73" i="3" s="1"/>
  <c r="I85" i="3"/>
  <c r="J78" i="3"/>
  <c r="H70" i="6" l="1"/>
  <c r="R74" i="3"/>
  <c r="I77" i="3"/>
  <c r="H76" i="3" s="1"/>
  <c r="H69" i="6"/>
  <c r="G69" i="6" s="1"/>
  <c r="H71" i="6"/>
  <c r="G70" i="6" s="1"/>
  <c r="H68" i="6"/>
  <c r="G68" i="6" s="1"/>
  <c r="F68" i="6" s="1"/>
  <c r="X56" i="4"/>
  <c r="T57" i="4" s="1"/>
  <c r="I86" i="3"/>
  <c r="Q74" i="3"/>
  <c r="R75" i="3"/>
  <c r="P56" i="3"/>
  <c r="T56" i="3"/>
  <c r="E53" i="3"/>
  <c r="E75" i="3" s="1"/>
  <c r="J87" i="3"/>
  <c r="E78" i="3" l="1"/>
  <c r="H85" i="3"/>
  <c r="F69" i="6"/>
  <c r="E68" i="6" s="1"/>
  <c r="E79" i="3"/>
</calcChain>
</file>

<file path=xl/sharedStrings.xml><?xml version="1.0" encoding="utf-8"?>
<sst xmlns="http://schemas.openxmlformats.org/spreadsheetml/2006/main" count="155" uniqueCount="86">
  <si>
    <t>t</t>
  </si>
  <si>
    <t>spot rate r(t)
interest between [0, t]</t>
  </si>
  <si>
    <t xml:space="preserve">ZCB(t) / discount factor </t>
  </si>
  <si>
    <t>dt</t>
  </si>
  <si>
    <t>m(t)</t>
  </si>
  <si>
    <t>BDT rate modelling</t>
  </si>
  <si>
    <t>sigma</t>
  </si>
  <si>
    <t xml:space="preserve">BDT ZCB price </t>
  </si>
  <si>
    <t>short rate (t, 0.5Y)</t>
  </si>
  <si>
    <t>ZcB(t,t, t+dt)</t>
  </si>
  <si>
    <t>x</t>
  </si>
  <si>
    <t>f(x)</t>
  </si>
  <si>
    <t>solve for m(t):
f(m(t)) = 0</t>
  </si>
  <si>
    <t>Probability occurance</t>
  </si>
  <si>
    <t>sum probabilities</t>
  </si>
  <si>
    <t>6M zero at time t (ie: interest running from t to t+6M)</t>
  </si>
  <si>
    <t>drinft = 5.54</t>
  </si>
  <si>
    <t>ratio</t>
  </si>
  <si>
    <t>discount T-0.5</t>
  </si>
  <si>
    <t xml:space="preserve">nested </t>
  </si>
  <si>
    <t>average rate r</t>
  </si>
  <si>
    <t>r constant /flat</t>
  </si>
  <si>
    <t>ZCB market</t>
  </si>
  <si>
    <t>m(t) in paper</t>
  </si>
  <si>
    <t>r(t)</t>
  </si>
  <si>
    <t>strike</t>
  </si>
  <si>
    <t>Option to buy ZcB (for price strike)</t>
  </si>
  <si>
    <t>max(</t>
  </si>
  <si>
    <t>r0</t>
  </si>
  <si>
    <t>mu</t>
  </si>
  <si>
    <t>short rate</t>
  </si>
  <si>
    <t>P(t)</t>
  </si>
  <si>
    <t>stepwise discount factor</t>
  </si>
  <si>
    <t>ZCB_t(T)</t>
  </si>
  <si>
    <t>T</t>
  </si>
  <si>
    <t>ZCB(0, T)</t>
  </si>
  <si>
    <t>ZCB(t, T)</t>
  </si>
  <si>
    <t xml:space="preserve">ZCB(t, T) </t>
  </si>
  <si>
    <t>Yld r(0, T)</t>
  </si>
  <si>
    <t>coupon</t>
  </si>
  <si>
    <t>bond with periodic coupon</t>
  </si>
  <si>
    <t>B(coupon, T)</t>
  </si>
  <si>
    <t xml:space="preserve">coupon </t>
  </si>
  <si>
    <t>discount factor from t0 to t</t>
  </si>
  <si>
    <t>call option on Bond</t>
  </si>
  <si>
    <t>Callable Bond</t>
  </si>
  <si>
    <t>Call option on Bond</t>
  </si>
  <si>
    <t>strike (X)</t>
  </si>
  <si>
    <t>Strike (flat)</t>
  </si>
  <si>
    <t>No call period</t>
  </si>
  <si>
    <t>Call(t, B(t, T))</t>
  </si>
  <si>
    <t>Te (maturity of option, 
last exercise date)</t>
  </si>
  <si>
    <t>Exercise option</t>
  </si>
  <si>
    <t>Arrow-Debrew 
(Forward Indution)</t>
  </si>
  <si>
    <t xml:space="preserve">A-D(t, j) </t>
  </si>
  <si>
    <t>j (state)</t>
  </si>
  <si>
    <t>ZCB(1, T, up)</t>
  </si>
  <si>
    <t>ZCB(1, T, down)</t>
  </si>
  <si>
    <t xml:space="preserve">A-D(t0, j, T) </t>
  </si>
  <si>
    <t>strike on LIBOR 1Y</t>
  </si>
  <si>
    <t>Yield(0, T)</t>
  </si>
  <si>
    <t xml:space="preserve">state weighted
 caplet payoff </t>
  </si>
  <si>
    <t>K(T)</t>
  </si>
  <si>
    <t>FWD rate (T, 1Y)</t>
  </si>
  <si>
    <t>Caplet(0, T, K(T))</t>
  </si>
  <si>
    <t>u</t>
  </si>
  <si>
    <t>d</t>
  </si>
  <si>
    <t xml:space="preserve">Source : </t>
  </si>
  <si>
    <t>https://www.columbia.edu/~mh2078/FoundationsFE/lattice_models.pdf</t>
  </si>
  <si>
    <t>r(t, t+dt)</t>
  </si>
  <si>
    <t>step-wise dicount ZCB</t>
  </si>
  <si>
    <t>ZCB</t>
  </si>
  <si>
    <t>call_eur(T=2, ZCB(t, 4Y))</t>
  </si>
  <si>
    <t>Put_us(ZCB(4),  Te=3)</t>
  </si>
  <si>
    <t xml:space="preserve">delivery date </t>
  </si>
  <si>
    <t>maturity of underlying</t>
  </si>
  <si>
    <t>FWD contract Value
(fwd price= 103.37)</t>
  </si>
  <si>
    <t>futures price (stike)</t>
  </si>
  <si>
    <t>forward price (strike)</t>
  </si>
  <si>
    <t>FWD expected payoff (B(2Y, c=10%)</t>
  </si>
  <si>
    <t>caplet (shart rate(1Y), T=6)</t>
  </si>
  <si>
    <t>exercise date</t>
  </si>
  <si>
    <t>payoff date 
payment in arrears</t>
  </si>
  <si>
    <t>strike (on short rate)</t>
  </si>
  <si>
    <t>cap( Te = [1, …, 4])</t>
  </si>
  <si>
    <r>
      <rPr>
        <b/>
        <u/>
        <sz val="12"/>
        <color theme="1"/>
        <rFont val="Aptos Narrow (Body)"/>
      </rPr>
      <t>source</t>
    </r>
    <r>
      <rPr>
        <sz val="12"/>
        <color theme="1"/>
        <rFont val="Aptos Narrow"/>
        <family val="2"/>
        <scheme val="minor"/>
      </rPr>
      <t>: 
https://pages.stern.nyu.edu/~jcarpen0/courses/b403333/15model2h.pdf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</si>
</sst>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0_-;\-* #,##0.000_-;_-* &quot;-&quot;??_-;_-@_-"/>
    <numFmt numFmtId="165" formatCode="_-* #,##0.0000_-;\-* #,##0.0000_-;_-* &quot;-&quot;??_-;_-@_-"/>
  </numFmts>
  <fonts count="6">
    <font>
      <sz val="12"/>
      <color theme="1"/>
      <name val="Aptos Narrow"/>
      <family val="2"/>
      <scheme val="minor"/>
    </font>
    <font>
      <sz val="12"/>
      <color theme="1"/>
      <name val="Aptos Narrow"/>
      <family val="2"/>
      <scheme val="minor"/>
    </font>
    <font>
      <u/>
      <sz val="12"/>
      <color theme="10"/>
      <name val="Aptos Narrow"/>
      <family val="2"/>
      <scheme val="minor"/>
    </font>
    <font>
      <i/>
      <sz val="12"/>
      <color theme="1"/>
      <name val="Times"/>
    </font>
    <font>
      <sz val="12"/>
      <color rgb="FF000000"/>
      <name val="Aptos Narrow"/>
      <family val="2"/>
      <scheme val="minor"/>
    </font>
    <font>
      <b/>
      <u/>
      <sz val="12"/>
      <color theme="1"/>
      <name val="Aptos Narrow (Body)"/>
    </font>
  </fonts>
  <fills count="11">
    <fill>
      <patternFill patternType="none"/>
    </fill>
    <fill>
      <patternFill patternType="gray125"/>
    </fill>
    <fill>
      <patternFill patternType="solid">
        <fgColor theme="2" tint="-0.499984740745262"/>
        <bgColor indexed="64"/>
      </patternFill>
    </fill>
    <fill>
      <patternFill patternType="solid">
        <fgColor theme="2" tint="-0.249977111117893"/>
        <bgColor indexed="64"/>
      </patternFill>
    </fill>
    <fill>
      <patternFill patternType="solid">
        <fgColor rgb="FFADADAD"/>
        <bgColor rgb="FF000000"/>
      </patternFill>
    </fill>
    <fill>
      <patternFill patternType="solid">
        <fgColor theme="2" tint="-9.9978637043366805E-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theme="4" tint="0.59999389629810485"/>
        <bgColor indexed="64"/>
      </patternFill>
    </fill>
  </fills>
  <borders count="2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cellStyleXfs>
  <cellXfs count="65">
    <xf numFmtId="0" fontId="0" fillId="0" borderId="0" xfId="0"/>
    <xf numFmtId="0" fontId="0" fillId="0" borderId="0" xfId="0" applyAlignment="1">
      <alignment wrapText="1"/>
    </xf>
    <xf numFmtId="0" fontId="0" fillId="2" borderId="0" xfId="0" applyFill="1"/>
    <xf numFmtId="0" fontId="0" fillId="3" borderId="0" xfId="0" applyFill="1"/>
    <xf numFmtId="0" fontId="3" fillId="0" borderId="0" xfId="0" applyFont="1"/>
    <xf numFmtId="0" fontId="4" fillId="4" borderId="0" xfId="0" applyFont="1" applyFill="1"/>
    <xf numFmtId="0" fontId="3" fillId="3" borderId="0" xfId="0"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2" borderId="1" xfId="0" applyFill="1" applyBorder="1"/>
    <xf numFmtId="0" fontId="0" fillId="2" borderId="8" xfId="0" applyFill="1" applyBorder="1"/>
    <xf numFmtId="0" fontId="0" fillId="2" borderId="2" xfId="0" applyFill="1" applyBorder="1"/>
    <xf numFmtId="0" fontId="0" fillId="5" borderId="3" xfId="0" applyFill="1" applyBorder="1"/>
    <xf numFmtId="0" fontId="0" fillId="5" borderId="0" xfId="0" applyFill="1"/>
    <xf numFmtId="0" fontId="3" fillId="5" borderId="0" xfId="0" applyFont="1" applyFill="1"/>
    <xf numFmtId="0" fontId="3" fillId="5" borderId="4" xfId="0" applyFont="1" applyFill="1" applyBorder="1"/>
    <xf numFmtId="0" fontId="0" fillId="0" borderId="9" xfId="0" applyBorder="1"/>
    <xf numFmtId="0" fontId="0" fillId="6" borderId="10" xfId="0" applyFill="1" applyBorder="1"/>
    <xf numFmtId="0" fontId="0" fillId="6" borderId="11" xfId="0" applyFill="1" applyBorder="1" applyAlignment="1">
      <alignment horizontal="left"/>
    </xf>
    <xf numFmtId="0" fontId="0" fillId="3" borderId="1" xfId="0" applyFill="1" applyBorder="1"/>
    <xf numFmtId="0" fontId="0" fillId="3" borderId="2" xfId="0" applyFill="1" applyBorder="1"/>
    <xf numFmtId="0" fontId="0" fillId="3" borderId="7" xfId="0" applyFill="1" applyBorder="1" applyAlignment="1">
      <alignment horizontal="left"/>
    </xf>
    <xf numFmtId="0" fontId="0" fillId="3" borderId="12" xfId="0" applyFill="1" applyBorder="1" applyAlignment="1">
      <alignment horizontal="left"/>
    </xf>
    <xf numFmtId="0" fontId="0" fillId="3" borderId="14" xfId="0" applyFill="1" applyBorder="1" applyAlignment="1">
      <alignment horizontal="left"/>
    </xf>
    <xf numFmtId="0" fontId="0" fillId="0" borderId="15" xfId="0" applyBorder="1" applyAlignment="1">
      <alignment horizontal="left"/>
    </xf>
    <xf numFmtId="0" fontId="0" fillId="3" borderId="7" xfId="0" applyFill="1" applyBorder="1"/>
    <xf numFmtId="0" fontId="0" fillId="3" borderId="12" xfId="0" applyFill="1" applyBorder="1"/>
    <xf numFmtId="0" fontId="0" fillId="0" borderId="13" xfId="0" applyBorder="1"/>
    <xf numFmtId="0" fontId="0" fillId="3" borderId="16" xfId="0" applyFill="1" applyBorder="1"/>
    <xf numFmtId="0" fontId="0" fillId="0" borderId="17" xfId="0" applyBorder="1"/>
    <xf numFmtId="0" fontId="0" fillId="3" borderId="14" xfId="0" applyFill="1" applyBorder="1"/>
    <xf numFmtId="0" fontId="0" fillId="6" borderId="18" xfId="0" applyFill="1" applyBorder="1"/>
    <xf numFmtId="0" fontId="0" fillId="6" borderId="19" xfId="0" applyFill="1" applyBorder="1"/>
    <xf numFmtId="0" fontId="0" fillId="6" borderId="20" xfId="0" applyFill="1" applyBorder="1"/>
    <xf numFmtId="0" fontId="0" fillId="6" borderId="21" xfId="0" applyFill="1" applyBorder="1"/>
    <xf numFmtId="0" fontId="0" fillId="0" borderId="8" xfId="0" applyBorder="1"/>
    <xf numFmtId="10" fontId="0" fillId="0" borderId="2" xfId="2" applyNumberFormat="1" applyFont="1" applyBorder="1"/>
    <xf numFmtId="10" fontId="0" fillId="0" borderId="4" xfId="2" applyNumberFormat="1" applyFont="1" applyBorder="1"/>
    <xf numFmtId="10" fontId="0" fillId="0" borderId="6" xfId="2" applyNumberFormat="1" applyFont="1" applyBorder="1"/>
    <xf numFmtId="0" fontId="0" fillId="6" borderId="7" xfId="0" applyFill="1" applyBorder="1"/>
    <xf numFmtId="165" fontId="0" fillId="0" borderId="7" xfId="1" applyNumberFormat="1" applyFont="1" applyBorder="1"/>
    <xf numFmtId="0" fontId="0" fillId="7" borderId="0" xfId="0" applyFill="1"/>
    <xf numFmtId="0" fontId="0" fillId="7" borderId="0" xfId="0" applyFill="1" applyAlignment="1">
      <alignment wrapText="1"/>
    </xf>
    <xf numFmtId="0" fontId="0" fillId="8" borderId="0" xfId="0" applyFill="1"/>
    <xf numFmtId="0" fontId="0" fillId="9" borderId="0" xfId="0" applyFill="1"/>
    <xf numFmtId="0" fontId="0" fillId="3" borderId="7" xfId="0" applyFill="1" applyBorder="1" applyAlignment="1">
      <alignment horizontal="left" wrapText="1"/>
    </xf>
    <xf numFmtId="0" fontId="0" fillId="3" borderId="8" xfId="0" applyFill="1" applyBorder="1"/>
    <xf numFmtId="0" fontId="0" fillId="3" borderId="3" xfId="0" applyFill="1" applyBorder="1"/>
    <xf numFmtId="0" fontId="0" fillId="3" borderId="4" xfId="0" applyFill="1" applyBorder="1"/>
    <xf numFmtId="0" fontId="0" fillId="10" borderId="1" xfId="0" applyFill="1" applyBorder="1" applyAlignment="1">
      <alignment horizontal="right"/>
    </xf>
    <xf numFmtId="0" fontId="0" fillId="10" borderId="3" xfId="0" applyFill="1" applyBorder="1"/>
    <xf numFmtId="0" fontId="0" fillId="7" borderId="3" xfId="0" applyFill="1" applyBorder="1"/>
    <xf numFmtId="0" fontId="0" fillId="2" borderId="7" xfId="0" applyFill="1" applyBorder="1"/>
    <xf numFmtId="0" fontId="0" fillId="2" borderId="22" xfId="0" applyFill="1" applyBorder="1"/>
    <xf numFmtId="10" fontId="0" fillId="0" borderId="0" xfId="2" applyNumberFormat="1" applyFont="1"/>
    <xf numFmtId="0" fontId="2" fillId="0" borderId="0" xfId="3"/>
    <xf numFmtId="0" fontId="0" fillId="9" borderId="7" xfId="0" applyFill="1" applyBorder="1"/>
    <xf numFmtId="43" fontId="0" fillId="0" borderId="0" xfId="1" applyFont="1"/>
    <xf numFmtId="164" fontId="0" fillId="0" borderId="0" xfId="0" applyNumberFormat="1"/>
    <xf numFmtId="164" fontId="0" fillId="0" borderId="0" xfId="1" applyNumberFormat="1" applyFont="1"/>
  </cellXfs>
  <cellStyles count="4">
    <cellStyle name="Comma" xfId="1" builtinId="3"/>
    <cellStyle name="Hyperlink" xfId="3" builtinId="8"/>
    <cellStyle name="Normal" xfId="0" builtinId="0"/>
    <cellStyle name="Per cent" xfId="2" builtinId="5"/>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6321938829873773"/>
          <c:y val="3.96048209705887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lotArea>
      <c:layout/>
      <c:lineChart>
        <c:grouping val="standard"/>
        <c:varyColors val="0"/>
        <c:ser>
          <c:idx val="0"/>
          <c:order val="0"/>
          <c:tx>
            <c:strRef>
              <c:f>'Callable Bond (Bwd induction)'!$T$37</c:f>
              <c:strCache>
                <c:ptCount val="1"/>
                <c:pt idx="0">
                  <c:v>ZCB(0, T)</c:v>
                </c:pt>
              </c:strCache>
            </c:strRef>
          </c:tx>
          <c:spPr>
            <a:ln w="28575" cap="rnd">
              <a:solidFill>
                <a:schemeClr val="accent1"/>
              </a:solidFill>
              <a:round/>
            </a:ln>
            <a:effectLst/>
          </c:spPr>
          <c:marker>
            <c:symbol val="none"/>
          </c:marker>
          <c:cat>
            <c:numRef>
              <c:f>'Callable Bond (Bwd induction)'!$S$38:$S$42</c:f>
              <c:numCache>
                <c:formatCode>General</c:formatCode>
                <c:ptCount val="5"/>
                <c:pt idx="0">
                  <c:v>1</c:v>
                </c:pt>
                <c:pt idx="1">
                  <c:v>2</c:v>
                </c:pt>
                <c:pt idx="2">
                  <c:v>3</c:v>
                </c:pt>
                <c:pt idx="3">
                  <c:v>4</c:v>
                </c:pt>
                <c:pt idx="4">
                  <c:v>5</c:v>
                </c:pt>
              </c:numCache>
            </c:numRef>
          </c:cat>
          <c:val>
            <c:numRef>
              <c:f>'Callable Bond (Bwd induction)'!$T$38:$T$42</c:f>
              <c:numCache>
                <c:formatCode>General</c:formatCode>
                <c:ptCount val="5"/>
                <c:pt idx="0">
                  <c:v>0.95122942450071402</c:v>
                </c:pt>
                <c:pt idx="1">
                  <c:v>0.90161981707088834</c:v>
                </c:pt>
                <c:pt idx="2">
                  <c:v>0.85145381238122819</c:v>
                </c:pt>
                <c:pt idx="3">
                  <c:v>0.80104893099396335</c:v>
                </c:pt>
                <c:pt idx="4">
                  <c:v>0.75075122439707176</c:v>
                </c:pt>
              </c:numCache>
            </c:numRef>
          </c:val>
          <c:smooth val="0"/>
          <c:extLst>
            <c:ext xmlns:c16="http://schemas.microsoft.com/office/drawing/2014/chart" uri="{C3380CC4-5D6E-409C-BE32-E72D297353CC}">
              <c16:uniqueId val="{00000000-4EFD-FE4C-89CD-CA28A23DD5FD}"/>
            </c:ext>
          </c:extLst>
        </c:ser>
        <c:dLbls>
          <c:showLegendKey val="0"/>
          <c:showVal val="0"/>
          <c:showCatName val="0"/>
          <c:showSerName val="0"/>
          <c:showPercent val="0"/>
          <c:showBubbleSize val="0"/>
        </c:dLbls>
        <c:smooth val="0"/>
        <c:axId val="1011655744"/>
        <c:axId val="1011694320"/>
      </c:lineChart>
      <c:catAx>
        <c:axId val="101165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011694320"/>
        <c:crosses val="autoZero"/>
        <c:auto val="1"/>
        <c:lblAlgn val="ctr"/>
        <c:lblOffset val="100"/>
        <c:noMultiLvlLbl val="0"/>
      </c:catAx>
      <c:valAx>
        <c:axId val="101169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011655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813861</xdr:colOff>
      <xdr:row>20</xdr:row>
      <xdr:rowOff>139667</xdr:rowOff>
    </xdr:from>
    <xdr:to>
      <xdr:col>21</xdr:col>
      <xdr:colOff>49120</xdr:colOff>
      <xdr:row>35</xdr:row>
      <xdr:rowOff>80275</xdr:rowOff>
    </xdr:to>
    <xdr:graphicFrame macro="">
      <xdr:nvGraphicFramePr>
        <xdr:cNvPr id="4" name="Chart 3">
          <a:extLst>
            <a:ext uri="{FF2B5EF4-FFF2-40B4-BE49-F238E27FC236}">
              <a16:creationId xmlns:a16="http://schemas.microsoft.com/office/drawing/2014/main" id="{C5D75A43-A7A3-A54F-D39C-44ABF046C0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448369</xdr:colOff>
      <xdr:row>16</xdr:row>
      <xdr:rowOff>123724</xdr:rowOff>
    </xdr:from>
    <xdr:to>
      <xdr:col>4</xdr:col>
      <xdr:colOff>516260</xdr:colOff>
      <xdr:row>21</xdr:row>
      <xdr:rowOff>123725</xdr:rowOff>
    </xdr:to>
    <xdr:sp macro="" textlink="">
      <xdr:nvSpPr>
        <xdr:cNvPr id="6" name="TextBox 5">
          <a:extLst>
            <a:ext uri="{FF2B5EF4-FFF2-40B4-BE49-F238E27FC236}">
              <a16:creationId xmlns:a16="http://schemas.microsoft.com/office/drawing/2014/main" id="{CE8C00E6-C6B6-116C-777D-1CA0080530E9}"/>
            </a:ext>
          </a:extLst>
        </xdr:cNvPr>
        <xdr:cNvSpPr txBox="1"/>
      </xdr:nvSpPr>
      <xdr:spPr>
        <a:xfrm>
          <a:off x="2110051" y="1749799"/>
          <a:ext cx="2880882" cy="10207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u="sng" kern="1200"/>
            <a:t>Step 1 </a:t>
          </a:r>
          <a:r>
            <a:rPr lang="en-GB" sz="1100" kern="1200"/>
            <a:t>:</a:t>
          </a:r>
        </a:p>
        <a:p>
          <a:r>
            <a:rPr lang="en-GB" sz="1100" kern="1200"/>
            <a:t>Decide</a:t>
          </a:r>
          <a:r>
            <a:rPr lang="en-GB" sz="1100" kern="1200" baseline="0"/>
            <a:t> on how the short rate is modeled. We assume a log normal model with params known.</a:t>
          </a:r>
        </a:p>
        <a:p>
          <a:endParaRPr lang="en-GB" sz="1100" kern="1200"/>
        </a:p>
      </xdr:txBody>
    </xdr:sp>
    <xdr:clientData/>
  </xdr:twoCellAnchor>
  <xdr:twoCellAnchor>
    <xdr:from>
      <xdr:col>1</xdr:col>
      <xdr:colOff>711200</xdr:colOff>
      <xdr:row>25</xdr:row>
      <xdr:rowOff>91440</xdr:rowOff>
    </xdr:from>
    <xdr:to>
      <xdr:col>3</xdr:col>
      <xdr:colOff>1930400</xdr:colOff>
      <xdr:row>30</xdr:row>
      <xdr:rowOff>91440</xdr:rowOff>
    </xdr:to>
    <xdr:sp macro="" textlink="">
      <xdr:nvSpPr>
        <xdr:cNvPr id="7" name="TextBox 6">
          <a:extLst>
            <a:ext uri="{FF2B5EF4-FFF2-40B4-BE49-F238E27FC236}">
              <a16:creationId xmlns:a16="http://schemas.microsoft.com/office/drawing/2014/main" id="{8F4468DD-F43B-014D-A115-170C5C3846C6}"/>
            </a:ext>
          </a:extLst>
        </xdr:cNvPr>
        <xdr:cNvSpPr txBox="1"/>
      </xdr:nvSpPr>
      <xdr:spPr>
        <a:xfrm>
          <a:off x="1534160" y="3566160"/>
          <a:ext cx="2865120" cy="101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u="sng" kern="1200"/>
            <a:t>Step 2</a:t>
          </a:r>
          <a:r>
            <a:rPr lang="en-GB" sz="1100" kern="1200"/>
            <a:t> : </a:t>
          </a:r>
        </a:p>
        <a:p>
          <a:r>
            <a:rPr lang="en-GB" sz="1100" kern="1200"/>
            <a:t>From the paths of short rates,</a:t>
          </a:r>
          <a:r>
            <a:rPr lang="en-GB" sz="1100" kern="1200" baseline="0"/>
            <a:t> we deduce the stepwise discount factors P(t). These are the values at time t of a ZCB maturing one step later (ie: at t+dt).</a:t>
          </a:r>
        </a:p>
        <a:p>
          <a:endParaRPr lang="en-GB" sz="1100" kern="1200"/>
        </a:p>
      </xdr:txBody>
    </xdr:sp>
    <xdr:clientData/>
  </xdr:twoCellAnchor>
  <xdr:twoCellAnchor>
    <xdr:from>
      <xdr:col>0</xdr:col>
      <xdr:colOff>335280</xdr:colOff>
      <xdr:row>39</xdr:row>
      <xdr:rowOff>53362</xdr:rowOff>
    </xdr:from>
    <xdr:to>
      <xdr:col>6</xdr:col>
      <xdr:colOff>683025</xdr:colOff>
      <xdr:row>51</xdr:row>
      <xdr:rowOff>85378</xdr:rowOff>
    </xdr:to>
    <xdr:sp macro="" textlink="">
      <xdr:nvSpPr>
        <xdr:cNvPr id="8" name="TextBox 7">
          <a:extLst>
            <a:ext uri="{FF2B5EF4-FFF2-40B4-BE49-F238E27FC236}">
              <a16:creationId xmlns:a16="http://schemas.microsoft.com/office/drawing/2014/main" id="{95F20595-8C21-AE4E-BDAF-B2BF0B95AF48}"/>
            </a:ext>
          </a:extLst>
        </xdr:cNvPr>
        <xdr:cNvSpPr txBox="1"/>
      </xdr:nvSpPr>
      <xdr:spPr>
        <a:xfrm>
          <a:off x="335280" y="6414034"/>
          <a:ext cx="7412787" cy="24866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u="sng" kern="1200"/>
            <a:t>Step 3 (for Pricing ZCB</a:t>
          </a:r>
          <a:r>
            <a:rPr lang="en-GB" sz="1100" u="none" kern="1200"/>
            <a:t>)</a:t>
          </a:r>
          <a:r>
            <a:rPr lang="en-GB" sz="1100" u="none" kern="1200" baseline="0"/>
            <a:t> </a:t>
          </a:r>
          <a:r>
            <a:rPr lang="en-GB" sz="1100" kern="1200"/>
            <a:t>: </a:t>
          </a:r>
        </a:p>
        <a:p>
          <a:r>
            <a:rPr lang="en-GB" sz="1100" kern="1200"/>
            <a:t>We</a:t>
          </a:r>
          <a:r>
            <a:rPr lang="en-GB" sz="1100" kern="1200" baseline="0"/>
            <a:t> can then deduce the value of any ZCB (seen at t0) maturing at a future date by backward induction.</a:t>
          </a:r>
        </a:p>
        <a:p>
          <a:r>
            <a:rPr lang="en-GB" sz="1100" kern="1200" baseline="0"/>
            <a:t>This is because: </a:t>
          </a:r>
        </a:p>
        <a:p>
          <a:r>
            <a:rPr lang="en-GB" sz="1100" kern="1200" baseline="0"/>
            <a:t>1) we know that the payoff at maturity T is face value.</a:t>
          </a:r>
        </a:p>
        <a:p>
          <a:r>
            <a:rPr lang="en-GB" sz="1100" kern="1200" baseline="0"/>
            <a:t>2) we know the discount rate between T-dt and T as seen at dates T-dt for each scenario. </a:t>
          </a:r>
        </a:p>
        <a:p>
          <a:endParaRPr lang="en-GB" sz="1100" kern="1200" baseline="0"/>
        </a:p>
        <a:p>
          <a:r>
            <a:rPr lang="en-GB" sz="1100" kern="1200" baseline="0"/>
            <a:t>We iterate backwards in time to calculate the value of the ZCB at time t=0.</a:t>
          </a:r>
        </a:p>
        <a:p>
          <a:endParaRPr lang="en-GB" sz="1100" kern="1200" baseline="0"/>
        </a:p>
        <a:p>
          <a:r>
            <a:rPr lang="en-GB" sz="1100" u="sng" kern="1200" baseline="0"/>
            <a:t>Note</a:t>
          </a:r>
          <a:r>
            <a:rPr lang="en-GB" sz="1100" kern="1200" baseline="0"/>
            <a:t>: we also have the price of the ZCB at each step and for all scenarios. This will come in usefull when calculating the value of an option for which the ZCB is an underlying. </a:t>
          </a:r>
        </a:p>
        <a:p>
          <a:endParaRPr lang="en-GB" sz="1100" kern="12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u="sng" kern="1200" baseline="0"/>
            <a:t>Backward induction </a:t>
          </a:r>
          <a:r>
            <a:rPr lang="en-GB" sz="1100" kern="1200" baseline="0"/>
            <a:t>: </a:t>
          </a:r>
        </a:p>
        <a:p>
          <a:pPr marL="0" marR="0" lvl="0" indent="0" defTabSz="914400" eaLnBrk="1" fontAlgn="auto" latinLnBrk="0" hangingPunct="1">
            <a:lnSpc>
              <a:spcPct val="100000"/>
            </a:lnSpc>
            <a:spcBef>
              <a:spcPts val="0"/>
            </a:spcBef>
            <a:spcAft>
              <a:spcPts val="0"/>
            </a:spcAft>
            <a:buClrTx/>
            <a:buSzTx/>
            <a:buFontTx/>
            <a:buNone/>
            <a:tabLst/>
            <a:defRPr/>
          </a:pPr>
          <a:r>
            <a:rPr lang="en-GB" sz="1100" kern="1200"/>
            <a:t>Backwrad induction allows</a:t>
          </a:r>
          <a:r>
            <a:rPr lang="en-GB" sz="1100" kern="1200" baseline="0"/>
            <a:t> us to calculate, with one tree the value of a ZCB maturing at T at all future states and time steps. </a:t>
          </a:r>
        </a:p>
        <a:p>
          <a:endParaRPr lang="en-GB" sz="1100" kern="1200"/>
        </a:p>
      </xdr:txBody>
    </xdr:sp>
    <xdr:clientData/>
  </xdr:twoCellAnchor>
  <xdr:twoCellAnchor>
    <xdr:from>
      <xdr:col>21</xdr:col>
      <xdr:colOff>172720</xdr:colOff>
      <xdr:row>20</xdr:row>
      <xdr:rowOff>81280</xdr:rowOff>
    </xdr:from>
    <xdr:to>
      <xdr:col>23</xdr:col>
      <xdr:colOff>548640</xdr:colOff>
      <xdr:row>25</xdr:row>
      <xdr:rowOff>132080</xdr:rowOff>
    </xdr:to>
    <xdr:sp macro="" textlink="">
      <xdr:nvSpPr>
        <xdr:cNvPr id="9" name="TextBox 8">
          <a:extLst>
            <a:ext uri="{FF2B5EF4-FFF2-40B4-BE49-F238E27FC236}">
              <a16:creationId xmlns:a16="http://schemas.microsoft.com/office/drawing/2014/main" id="{241718A2-E1E7-0622-EBCD-C8BE56558976}"/>
            </a:ext>
          </a:extLst>
        </xdr:cNvPr>
        <xdr:cNvSpPr txBox="1"/>
      </xdr:nvSpPr>
      <xdr:spPr>
        <a:xfrm>
          <a:off x="19883120" y="2540000"/>
          <a:ext cx="202184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u="sng" kern="1200"/>
            <a:t>Step 3.5 (optional) </a:t>
          </a:r>
          <a:r>
            <a:rPr lang="en-GB" sz="1100" kern="1200"/>
            <a:t>:</a:t>
          </a:r>
        </a:p>
        <a:p>
          <a:r>
            <a:rPr lang="en-GB" sz="1100" kern="1200"/>
            <a:t>From</a:t>
          </a:r>
          <a:r>
            <a:rPr lang="en-GB" sz="1100" kern="1200" baseline="0"/>
            <a:t> the ZCBs, we can deduce the spot yield curve at time t=0.</a:t>
          </a:r>
        </a:p>
        <a:p>
          <a:endParaRPr lang="en-GB" sz="1100" kern="1200"/>
        </a:p>
      </xdr:txBody>
    </xdr:sp>
    <xdr:clientData/>
  </xdr:twoCellAnchor>
  <xdr:twoCellAnchor>
    <xdr:from>
      <xdr:col>0</xdr:col>
      <xdr:colOff>264160</xdr:colOff>
      <xdr:row>53</xdr:row>
      <xdr:rowOff>152399</xdr:rowOff>
    </xdr:from>
    <xdr:to>
      <xdr:col>4</xdr:col>
      <xdr:colOff>640080</xdr:colOff>
      <xdr:row>59</xdr:row>
      <xdr:rowOff>149410</xdr:rowOff>
    </xdr:to>
    <xdr:sp macro="" textlink="">
      <xdr:nvSpPr>
        <xdr:cNvPr id="10" name="TextBox 9">
          <a:extLst>
            <a:ext uri="{FF2B5EF4-FFF2-40B4-BE49-F238E27FC236}">
              <a16:creationId xmlns:a16="http://schemas.microsoft.com/office/drawing/2014/main" id="{A43A8349-C297-0547-A6DA-5B1CCE8DC8C4}"/>
            </a:ext>
          </a:extLst>
        </xdr:cNvPr>
        <xdr:cNvSpPr txBox="1"/>
      </xdr:nvSpPr>
      <xdr:spPr>
        <a:xfrm>
          <a:off x="264160" y="9373239"/>
          <a:ext cx="4826256" cy="12349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u="sng" kern="1200"/>
            <a:t>Step 4 (for Coupon paying bond)</a:t>
          </a:r>
          <a:r>
            <a:rPr lang="en-GB" sz="1100" kern="1200"/>
            <a:t> : </a:t>
          </a:r>
        </a:p>
        <a:p>
          <a:r>
            <a:rPr lang="en-GB" sz="1100" kern="1200" baseline="0"/>
            <a:t>The way to calculate the price of a coupon paying bond is the same as for the ZCB however the value at any point in time includes any coupon payments that are made at that time. </a:t>
          </a:r>
        </a:p>
        <a:p>
          <a:endParaRPr lang="en-GB" sz="1100" kern="1200" baseline="0"/>
        </a:p>
        <a:p>
          <a:endParaRPr lang="en-GB" sz="1100" kern="1200" baseline="0"/>
        </a:p>
        <a:p>
          <a:endParaRPr lang="en-GB" sz="1100" kern="1200"/>
        </a:p>
      </xdr:txBody>
    </xdr:sp>
    <xdr:clientData/>
  </xdr:twoCellAnchor>
  <xdr:twoCellAnchor>
    <xdr:from>
      <xdr:col>0</xdr:col>
      <xdr:colOff>274320</xdr:colOff>
      <xdr:row>60</xdr:row>
      <xdr:rowOff>71120</xdr:rowOff>
    </xdr:from>
    <xdr:to>
      <xdr:col>7</xdr:col>
      <xdr:colOff>254000</xdr:colOff>
      <xdr:row>72</xdr:row>
      <xdr:rowOff>10160</xdr:rowOff>
    </xdr:to>
    <xdr:sp macro="" textlink="">
      <xdr:nvSpPr>
        <xdr:cNvPr id="11" name="TextBox 10">
          <a:extLst>
            <a:ext uri="{FF2B5EF4-FFF2-40B4-BE49-F238E27FC236}">
              <a16:creationId xmlns:a16="http://schemas.microsoft.com/office/drawing/2014/main" id="{BD1B0A8C-692F-DF4C-B278-B8EFE820D5A5}"/>
            </a:ext>
          </a:extLst>
        </xdr:cNvPr>
        <xdr:cNvSpPr txBox="1"/>
      </xdr:nvSpPr>
      <xdr:spPr>
        <a:xfrm>
          <a:off x="274320" y="10759440"/>
          <a:ext cx="8046720" cy="238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u="sng" kern="1200"/>
            <a:t>Step 5 (Call Option on Bond)</a:t>
          </a:r>
          <a:r>
            <a:rPr lang="en-GB" sz="1100" kern="1200"/>
            <a:t> : </a:t>
          </a:r>
        </a:p>
        <a:p>
          <a:r>
            <a:rPr lang="en-GB" sz="1100" kern="1200" baseline="0"/>
            <a:t>The value of a call at any given point in time depends on whether it is advantageous to exercise the option or not (assuming exercise is possible). The value of execising the option is simply the difference between the underlying and the strike. Pricing the value of keeping the option for a later exeercise depends on potential future prices of the underlying. In order to price the value of keeping the option, we proceed by backward induction. Indeed at maturity of the option (last exercise date, we know the value with certainty since we don't have the possibility of exercising at a later date) : the payoff at last exercice date is max(B(Te, T), 0). </a:t>
          </a:r>
        </a:p>
        <a:p>
          <a:r>
            <a:rPr lang="en-GB" sz="1100" kern="1200" baseline="0"/>
            <a:t>Since we have the value of the option at Te, we can determin the value of keeping the option in the previous period (at time Te-dt). </a:t>
          </a:r>
        </a:p>
        <a:p>
          <a:endParaRPr lang="en-GB" sz="1100" kern="1200" baseline="0"/>
        </a:p>
        <a:p>
          <a:r>
            <a:rPr lang="en-GB" sz="1100" u="sng" kern="1200" baseline="0"/>
            <a:t>Note</a:t>
          </a:r>
          <a:r>
            <a:rPr lang="en-GB" sz="1100" kern="1200" baseline="0"/>
            <a:t> : Te the last maturity date of the option is different from the maturity of the underlying Bond. For the option to make sense however, the maturity of the underlying must be later than the maturity of the option.</a:t>
          </a:r>
        </a:p>
        <a:p>
          <a:endParaRPr lang="en-GB" sz="1100" kern="1200" baseline="0"/>
        </a:p>
        <a:p>
          <a:endParaRPr lang="en-GB" sz="1100" kern="1200" baseline="0"/>
        </a:p>
        <a:p>
          <a:endParaRPr lang="en-GB" sz="1100" kern="1200" baseline="0"/>
        </a:p>
        <a:p>
          <a:endParaRPr lang="en-GB" sz="1100" kern="1200"/>
        </a:p>
      </xdr:txBody>
    </xdr:sp>
    <xdr:clientData/>
  </xdr:twoCellAnchor>
  <xdr:twoCellAnchor>
    <xdr:from>
      <xdr:col>0</xdr:col>
      <xdr:colOff>0</xdr:colOff>
      <xdr:row>81</xdr:row>
      <xdr:rowOff>0</xdr:rowOff>
    </xdr:from>
    <xdr:to>
      <xdr:col>5</xdr:col>
      <xdr:colOff>1600200</xdr:colOff>
      <xdr:row>92</xdr:row>
      <xdr:rowOff>154940</xdr:rowOff>
    </xdr:to>
    <xdr:sp macro="" textlink="">
      <xdr:nvSpPr>
        <xdr:cNvPr id="12" name="TextBox 11">
          <a:extLst>
            <a:ext uri="{FF2B5EF4-FFF2-40B4-BE49-F238E27FC236}">
              <a16:creationId xmlns:a16="http://schemas.microsoft.com/office/drawing/2014/main" id="{FB3C1794-28C4-4846-8F8B-1852B80A44CC}"/>
            </a:ext>
          </a:extLst>
        </xdr:cNvPr>
        <xdr:cNvSpPr txBox="1"/>
      </xdr:nvSpPr>
      <xdr:spPr>
        <a:xfrm>
          <a:off x="0" y="15214600"/>
          <a:ext cx="6883400" cy="2390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u="sng" kern="1200"/>
            <a:t>Step 6 (Pricing</a:t>
          </a:r>
          <a:r>
            <a:rPr lang="en-GB" sz="1100" u="sng" kern="1200" baseline="0"/>
            <a:t> Callable Bond</a:t>
          </a:r>
          <a:r>
            <a:rPr lang="en-GB" sz="1100" u="sng" kern="1200"/>
            <a:t>)</a:t>
          </a:r>
          <a:r>
            <a:rPr lang="en-GB" sz="1100" kern="1200"/>
            <a:t> : </a:t>
          </a:r>
        </a:p>
        <a:p>
          <a:endParaRPr lang="en-GB" sz="1100" kern="1200"/>
        </a:p>
        <a:p>
          <a:r>
            <a:rPr lang="en-GB" sz="1100" kern="1200"/>
            <a:t>A callable Bond</a:t>
          </a:r>
          <a:r>
            <a:rPr lang="en-GB" sz="1100" kern="1200" baseline="0"/>
            <a:t> is a bond whereby the issuer has the right to buy back the bond at a specific price (strike). This reduces interest rate risk to the downside for the Bond issuer (or option seller) who will have the possibility to buy back the bond and refinance at favourable (lower) rates. Symetrically, this exposes the Option holder to interest rate risk to the downside who will have replace his positoin at unfavourable (lower) rates. </a:t>
          </a:r>
        </a:p>
        <a:p>
          <a:endParaRPr lang="en-GB" sz="1100" kern="1200" baseline="0"/>
        </a:p>
        <a:p>
          <a:r>
            <a:rPr lang="en-GB" sz="1100" kern="1200" baseline="0"/>
            <a:t>The Price of a Callable Bond for an Option holder is therefore: </a:t>
          </a:r>
        </a:p>
        <a:p>
          <a:endParaRPr lang="en-GB" sz="1100" kern="1200" baseline="0"/>
        </a:p>
        <a:p>
          <a:pPr algn="ctr"/>
          <a:r>
            <a:rPr lang="en-GB" sz="2000" kern="1200" baseline="0"/>
            <a:t>Callable Bond = Bond - Call on Bond</a:t>
          </a:r>
        </a:p>
        <a:p>
          <a:endParaRPr lang="en-GB" sz="1100" kern="1200" baseline="0"/>
        </a:p>
        <a:p>
          <a:endParaRPr lang="en-GB" sz="1100" kern="1200"/>
        </a:p>
      </xdr:txBody>
    </xdr:sp>
    <xdr:clientData/>
  </xdr:twoCellAnchor>
  <xdr:twoCellAnchor>
    <xdr:from>
      <xdr:col>15</xdr:col>
      <xdr:colOff>520700</xdr:colOff>
      <xdr:row>63</xdr:row>
      <xdr:rowOff>50800</xdr:rowOff>
    </xdr:from>
    <xdr:to>
      <xdr:col>21</xdr:col>
      <xdr:colOff>698500</xdr:colOff>
      <xdr:row>68</xdr:row>
      <xdr:rowOff>177800</xdr:rowOff>
    </xdr:to>
    <xdr:sp macro="" textlink="">
      <xdr:nvSpPr>
        <xdr:cNvPr id="13" name="TextBox 12">
          <a:extLst>
            <a:ext uri="{FF2B5EF4-FFF2-40B4-BE49-F238E27FC236}">
              <a16:creationId xmlns:a16="http://schemas.microsoft.com/office/drawing/2014/main" id="{068F10A7-0210-F64C-B12C-391EA20C5B15}"/>
            </a:ext>
          </a:extLst>
        </xdr:cNvPr>
        <xdr:cNvSpPr txBox="1"/>
      </xdr:nvSpPr>
      <xdr:spPr>
        <a:xfrm>
          <a:off x="15417800" y="11379200"/>
          <a:ext cx="5359400"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u="sng" kern="1200"/>
            <a:t>Step 4.5 (Determining Exercise Dates)</a:t>
          </a:r>
          <a:r>
            <a:rPr lang="en-GB" sz="1100" kern="1200"/>
            <a:t> : </a:t>
          </a:r>
        </a:p>
        <a:p>
          <a:r>
            <a:rPr lang="en-GB" sz="1100" kern="1200"/>
            <a:t>As mentionned in "step 4 " the Bond Issuer (call option holder)</a:t>
          </a:r>
          <a:r>
            <a:rPr lang="en-GB" sz="1100" kern="1200" baseline="0"/>
            <a:t> exercises the option when the expected future returns of keeping/continuing  the option are greater than exercising the option now. </a:t>
          </a:r>
        </a:p>
        <a:p>
          <a:endParaRPr lang="en-GB" sz="1100" kern="1200"/>
        </a:p>
      </xdr:txBody>
    </xdr:sp>
    <xdr:clientData/>
  </xdr:twoCellAnchor>
  <xdr:twoCellAnchor>
    <xdr:from>
      <xdr:col>0</xdr:col>
      <xdr:colOff>605327</xdr:colOff>
      <xdr:row>0</xdr:row>
      <xdr:rowOff>94953</xdr:rowOff>
    </xdr:from>
    <xdr:to>
      <xdr:col>14</xdr:col>
      <xdr:colOff>94954</xdr:colOff>
      <xdr:row>15</xdr:row>
      <xdr:rowOff>83084</xdr:rowOff>
    </xdr:to>
    <xdr:sp macro="" textlink="">
      <xdr:nvSpPr>
        <xdr:cNvPr id="14" name="TextBox 13">
          <a:extLst>
            <a:ext uri="{FF2B5EF4-FFF2-40B4-BE49-F238E27FC236}">
              <a16:creationId xmlns:a16="http://schemas.microsoft.com/office/drawing/2014/main" id="{308343F3-C244-4139-F385-C65AF3D5D6DF}"/>
            </a:ext>
          </a:extLst>
        </xdr:cNvPr>
        <xdr:cNvSpPr txBox="1"/>
      </xdr:nvSpPr>
      <xdr:spPr>
        <a:xfrm>
          <a:off x="605327" y="94953"/>
          <a:ext cx="13412150" cy="3026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u="sng" kern="1200"/>
            <a:t>Pricing Callable Bond via Lattice</a:t>
          </a:r>
          <a:r>
            <a:rPr lang="en-GB" sz="2000" u="sng" kern="1200" baseline="0"/>
            <a:t> Model - Backward Induction </a:t>
          </a:r>
        </a:p>
        <a:p>
          <a:endParaRPr lang="en-GB" sz="1200" kern="1200" baseline="0"/>
        </a:p>
        <a:p>
          <a:r>
            <a:rPr lang="en-GB" sz="1200" kern="1200" baseline="0"/>
            <a:t>The purpose of this worksheet is to apply the classic </a:t>
          </a:r>
          <a:r>
            <a:rPr lang="en-GB" sz="1200" b="1" u="sng" kern="1200" baseline="0"/>
            <a:t>Backward induction </a:t>
          </a:r>
          <a:r>
            <a:rPr lang="en-GB" sz="1200" kern="1200" baseline="0"/>
            <a:t>pricing technique pricing contigents claims. </a:t>
          </a:r>
        </a:p>
        <a:p>
          <a:r>
            <a:rPr lang="en-GB" sz="1200" kern="1200" baseline="0"/>
            <a:t>We assume for simplicity that interst rates are log-normal, with constant drift and volatility. This is a simplified case of the DBT (</a:t>
          </a:r>
          <a:r>
            <a:rPr lang="en-GB" sz="1100" b="0" i="0" u="none" strike="noStrike">
              <a:solidFill>
                <a:schemeClr val="dk1"/>
              </a:solidFill>
              <a:effectLst/>
              <a:latin typeface="+mn-lt"/>
              <a:ea typeface="+mn-ea"/>
              <a:cs typeface="+mn-cs"/>
            </a:rPr>
            <a:t>Black-Derman-Toy) model.</a:t>
          </a:r>
          <a:r>
            <a:rPr lang="en-GB" sz="1100" b="0" i="0" u="none" strike="noStrike" baseline="0">
              <a:solidFill>
                <a:schemeClr val="dk1"/>
              </a:solidFill>
              <a:effectLst/>
              <a:latin typeface="+mn-lt"/>
              <a:ea typeface="+mn-ea"/>
              <a:cs typeface="+mn-cs"/>
            </a:rPr>
            <a:t> See worksheet "BDT claibration" sheet of this workbook for details on the calibration of the drift and volatility (as a function of time) methods used in practice. </a:t>
          </a:r>
        </a:p>
        <a:p>
          <a:endParaRPr lang="en-GB" sz="1100" b="0" i="0" u="none" strike="noStrike" kern="1200" baseline="0">
            <a:solidFill>
              <a:schemeClr val="dk1"/>
            </a:solidFill>
            <a:effectLst/>
            <a:latin typeface="+mn-lt"/>
            <a:ea typeface="+mn-ea"/>
            <a:cs typeface="+mn-cs"/>
          </a:endParaRPr>
        </a:p>
        <a:p>
          <a:r>
            <a:rPr lang="en-GB" sz="1100" b="0" i="0" u="sng" strike="noStrike" kern="1200" baseline="0">
              <a:solidFill>
                <a:schemeClr val="dk1"/>
              </a:solidFill>
              <a:effectLst/>
              <a:latin typeface="+mn-lt"/>
              <a:ea typeface="+mn-ea"/>
              <a:cs typeface="+mn-cs"/>
            </a:rPr>
            <a:t>Use cases</a:t>
          </a:r>
          <a:r>
            <a:rPr lang="en-GB" sz="1100" b="0" i="0" u="none" strike="noStrike" kern="1200" baseline="0">
              <a:solidFill>
                <a:schemeClr val="dk1"/>
              </a:solidFill>
              <a:effectLst/>
              <a:latin typeface="+mn-lt"/>
              <a:ea typeface="+mn-ea"/>
              <a:cs typeface="+mn-cs"/>
            </a:rPr>
            <a:t> : contingent claims with early exercise options.</a:t>
          </a:r>
        </a:p>
        <a:p>
          <a:endParaRPr lang="en-GB" sz="1100" b="0" i="0" u="none" strike="noStrike" kern="1200" baseline="0">
            <a:solidFill>
              <a:schemeClr val="dk1"/>
            </a:solidFill>
            <a:effectLst/>
            <a:latin typeface="+mn-lt"/>
            <a:ea typeface="+mn-ea"/>
            <a:cs typeface="+mn-cs"/>
          </a:endParaRPr>
        </a:p>
        <a:p>
          <a:r>
            <a:rPr lang="en-GB" sz="1100" b="0" i="0" u="none" strike="noStrike" kern="1200" baseline="0">
              <a:solidFill>
                <a:schemeClr val="dk1"/>
              </a:solidFill>
              <a:effectLst/>
              <a:latin typeface="+mn-lt"/>
              <a:ea typeface="+mn-ea"/>
              <a:cs typeface="+mn-cs"/>
            </a:rPr>
            <a:t>In this worksheet, we :</a:t>
          </a:r>
        </a:p>
        <a:p>
          <a:pPr marL="171450" indent="-171450">
            <a:buFont typeface="Arial" panose="020B0604020202020204" pitchFamily="34" charset="0"/>
            <a:buChar char="•"/>
          </a:pPr>
          <a:r>
            <a:rPr lang="en-GB" sz="1100" b="0" i="0" u="none" strike="noStrike" kern="1200" baseline="0">
              <a:solidFill>
                <a:schemeClr val="dk1"/>
              </a:solidFill>
              <a:effectLst/>
              <a:latin typeface="+mn-lt"/>
              <a:ea typeface="+mn-ea"/>
              <a:cs typeface="+mn-cs"/>
            </a:rPr>
            <a:t>1) construct a binomial recombining tree representing the </a:t>
          </a:r>
          <a:r>
            <a:rPr lang="en-GB" sz="1100" b="0" i="0" u="sng" strike="noStrike" kern="1200" baseline="0">
              <a:solidFill>
                <a:schemeClr val="dk1"/>
              </a:solidFill>
              <a:effectLst/>
              <a:latin typeface="+mn-lt"/>
              <a:ea typeface="+mn-ea"/>
              <a:cs typeface="+mn-cs"/>
            </a:rPr>
            <a:t>short interest rate</a:t>
          </a:r>
          <a:r>
            <a:rPr lang="en-GB" sz="1100" b="0" i="0" u="none" strike="noStrike" kern="1200" baseline="0">
              <a:solidFill>
                <a:schemeClr val="dk1"/>
              </a:solidFill>
              <a:effectLst/>
              <a:latin typeface="+mn-lt"/>
              <a:ea typeface="+mn-ea"/>
              <a:cs typeface="+mn-cs"/>
            </a:rPr>
            <a:t>.  Each node represents the short interest rate at a specific time and state. The short rate is the spot interest rate with maturity "time step" (here, 1 year)</a:t>
          </a:r>
        </a:p>
        <a:p>
          <a:pPr marL="171450" indent="-171450">
            <a:buFont typeface="Arial" panose="020B0604020202020204" pitchFamily="34" charset="0"/>
            <a:buChar char="•"/>
          </a:pPr>
          <a:r>
            <a:rPr lang="en-GB" sz="1100" b="0" i="0" u="none" strike="noStrike" kern="1200" baseline="0">
              <a:solidFill>
                <a:schemeClr val="dk1"/>
              </a:solidFill>
              <a:effectLst/>
              <a:latin typeface="+mn-lt"/>
              <a:ea typeface="+mn-ea"/>
              <a:cs typeface="+mn-cs"/>
            </a:rPr>
            <a:t>2) from the interest rate lattice, we determin the step-wise discount factors. These are the discount factor priced at time (and state) of the node with maturity "time step".</a:t>
          </a:r>
        </a:p>
        <a:p>
          <a:pPr marL="171450" indent="-171450">
            <a:buFont typeface="Arial" panose="020B0604020202020204" pitchFamily="34" charset="0"/>
            <a:buChar char="•"/>
          </a:pPr>
          <a:r>
            <a:rPr lang="en-GB" sz="1100" b="0" i="0" u="none" strike="noStrike" kern="1200" baseline="0">
              <a:solidFill>
                <a:schemeClr val="dk1"/>
              </a:solidFill>
              <a:effectLst/>
              <a:latin typeface="+mn-lt"/>
              <a:ea typeface="+mn-ea"/>
              <a:cs typeface="+mn-cs"/>
            </a:rPr>
            <a:t>3) from the lattice of step-wise discount factors, we determine spot discount curve (priced at current time t=0). This is done by pricing ZCBs via the </a:t>
          </a:r>
          <a:r>
            <a:rPr lang="en-GB" sz="1100" b="0" i="0" u="sng" strike="noStrike" kern="1200" baseline="0">
              <a:solidFill>
                <a:schemeClr val="dk1"/>
              </a:solidFill>
              <a:effectLst/>
              <a:latin typeface="+mn-lt"/>
              <a:ea typeface="+mn-ea"/>
              <a:cs typeface="+mn-cs"/>
            </a:rPr>
            <a:t>backward induction</a:t>
          </a:r>
          <a:r>
            <a:rPr lang="en-GB" sz="1100" b="0" i="0" u="none" strike="noStrike" kern="1200" baseline="0">
              <a:solidFill>
                <a:schemeClr val="dk1"/>
              </a:solidFill>
              <a:effectLst/>
              <a:latin typeface="+mn-lt"/>
              <a:ea typeface="+mn-ea"/>
              <a:cs typeface="+mn-cs"/>
            </a:rPr>
            <a:t> . This means we work backards from the maturity date of the instrument (ie: ZCB) at the way back to current time t=0 one time step at a time by using the step-wise discounting lattice contructed previously. </a:t>
          </a:r>
        </a:p>
        <a:p>
          <a:pPr marL="171450" indent="-171450">
            <a:buFont typeface="Arial" panose="020B0604020202020204" pitchFamily="34" charset="0"/>
            <a:buChar char="•"/>
          </a:pPr>
          <a:r>
            <a:rPr lang="en-GB" sz="1100" b="0" i="0" u="none" strike="noStrike" kern="1200" baseline="0">
              <a:solidFill>
                <a:schemeClr val="dk1"/>
              </a:solidFill>
              <a:effectLst/>
              <a:latin typeface="+mn-lt"/>
              <a:ea typeface="+mn-ea"/>
              <a:cs typeface="+mn-cs"/>
            </a:rPr>
            <a:t>4) We apply the same priciple as in step 3) to construct a lattice of coupon paying bonds by incorporating coupons payments at each node. </a:t>
          </a:r>
        </a:p>
        <a:p>
          <a:pPr marL="171450" indent="-171450">
            <a:buFont typeface="Arial" panose="020B0604020202020204" pitchFamily="34" charset="0"/>
            <a:buChar char="•"/>
          </a:pPr>
          <a:r>
            <a:rPr lang="en-GB" sz="1100" b="0" i="0" u="none" strike="noStrike" kern="1200" baseline="0">
              <a:solidFill>
                <a:schemeClr val="dk1"/>
              </a:solidFill>
              <a:effectLst/>
              <a:latin typeface="+mn-lt"/>
              <a:ea typeface="+mn-ea"/>
              <a:cs typeface="+mn-cs"/>
            </a:rPr>
            <a:t>5) We contruct the lattice of a call option on a bond. The lattice of a coupon bond constructed in step 4 is used as underlying. We assume that the call is exercisable at every time step (ie: bermudean/american). </a:t>
          </a:r>
        </a:p>
        <a:p>
          <a:pPr marL="171450" indent="-171450">
            <a:buFont typeface="Arial" panose="020B0604020202020204" pitchFamily="34" charset="0"/>
            <a:buChar char="•"/>
          </a:pPr>
          <a:r>
            <a:rPr lang="en-GB" sz="1100" b="0" i="0" u="none" strike="noStrike" kern="1200" baseline="0">
              <a:solidFill>
                <a:schemeClr val="dk1"/>
              </a:solidFill>
              <a:effectLst/>
              <a:latin typeface="+mn-lt"/>
              <a:ea typeface="+mn-ea"/>
              <a:cs typeface="+mn-cs"/>
            </a:rPr>
            <a:t>6) We construct the lattice of callable bond as the difference between the lattice of the bond (step 4) and the lattice of the call option on the bond (step 5).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495300</xdr:colOff>
      <xdr:row>23</xdr:row>
      <xdr:rowOff>40641</xdr:rowOff>
    </xdr:from>
    <xdr:to>
      <xdr:col>5</xdr:col>
      <xdr:colOff>564443</xdr:colOff>
      <xdr:row>27</xdr:row>
      <xdr:rowOff>1</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5D127C1-2493-FD45-A6B3-2DBD276E73D5}"/>
                </a:ext>
              </a:extLst>
            </xdr:cNvPr>
            <xdr:cNvSpPr txBox="1"/>
          </xdr:nvSpPr>
          <xdr:spPr>
            <a:xfrm>
              <a:off x="495300" y="4739641"/>
              <a:ext cx="5111043" cy="772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u="sng" kern="1200"/>
                <a:t>Step 1 </a:t>
              </a:r>
              <a:r>
                <a:rPr lang="en-GB" sz="1100" kern="1200"/>
                <a:t>:</a:t>
              </a:r>
            </a:p>
            <a:p>
              <a:r>
                <a:rPr lang="en-GB" sz="1100" kern="1200"/>
                <a:t>Same</a:t>
              </a:r>
              <a:r>
                <a:rPr lang="en-GB" sz="1100" kern="1200" baseline="0"/>
                <a:t> as backward induction : build recombining binomial tree of short rates. </a:t>
              </a:r>
            </a:p>
            <a:p>
              <a:endParaRPr lang="en-GB" sz="1100" kern="1200" baseline="0"/>
            </a:p>
            <a:p>
              <a:endParaRPr lang="fr-FR" sz="1100" b="0" i="0" u="none" strike="noStrike">
                <a:solidFill>
                  <a:schemeClr val="dk1"/>
                </a:solidFill>
                <a:effectLst/>
                <a:latin typeface="+mn-lt"/>
                <a:ea typeface="+mn-ea"/>
                <a:cs typeface="+mn-cs"/>
              </a:endParaRPr>
            </a:p>
            <a:p>
              <a:endParaRPr lang="fr-FR" sz="1100" b="0" i="0" u="none" strike="noStrike">
                <a:solidFill>
                  <a:schemeClr val="dk1"/>
                </a:solidFill>
                <a:effectLst/>
                <a:latin typeface="+mn-lt"/>
                <a:ea typeface="+mn-ea"/>
                <a:cs typeface="+mn-cs"/>
              </a:endParaRPr>
            </a:p>
            <a:p>
              <a:endParaRPr/>
            </a:p>
            <a:p>
              <a:endParaRPr lang="fr-FR" sz="1100" b="0" i="1" u="none" strike="noStrike">
                <a:solidFill>
                  <a:schemeClr val="dk1"/>
                </a:solidFill>
                <a:effectLst/>
                <a:latin typeface="Cambria Math" panose="02040503050406030204" pitchFamily="18" charset="0"/>
                <a:ea typeface="+mn-ea"/>
                <a:cs typeface="+mn-cs"/>
              </a:endParaRPr>
            </a:p>
            <a:p>
              <a:endParaRPr lang="fr-FR" sz="1100" b="0" i="1" u="none" strike="noStrike">
                <a:solidFill>
                  <a:schemeClr val="dk1"/>
                </a:solidFill>
                <a:effectLst/>
                <a:latin typeface="Cambria Math" panose="02040503050406030204" pitchFamily="18" charset="0"/>
                <a:ea typeface="+mn-ea"/>
                <a:cs typeface="+mn-cs"/>
              </a:endParaRPr>
            </a:p>
            <a:p>
              <a:endParaRPr lang="fr-FR" sz="1100" b="0" i="1" u="none" strike="noStrike">
                <a:solidFill>
                  <a:schemeClr val="dk1"/>
                </a:solidFill>
                <a:effectLst/>
                <a:latin typeface="Cambria Math" panose="02040503050406030204" pitchFamily="18" charset="0"/>
                <a:ea typeface="+mn-ea"/>
                <a:cs typeface="+mn-cs"/>
              </a:endParaRPr>
            </a:p>
            <a:p>
              <a:endParaRPr lang="fr-FR" sz="1100" b="0" i="1" u="none" strike="noStrike">
                <a:solidFill>
                  <a:schemeClr val="dk1"/>
                </a:solidFill>
                <a:effectLst/>
                <a:latin typeface="Cambria Math" panose="02040503050406030204" pitchFamily="18" charset="0"/>
                <a:ea typeface="+mn-ea"/>
                <a:cs typeface="+mn-cs"/>
              </a:endParaRPr>
            </a:p>
            <a:p>
              <a:endParaRPr lang="fr-FR" sz="1100" b="0" i="1" u="none" strike="noStrike">
                <a:solidFill>
                  <a:schemeClr val="dk1"/>
                </a:solidFill>
                <a:effectLst/>
                <a:latin typeface="Cambria Math" panose="02040503050406030204" pitchFamily="18" charset="0"/>
                <a:ea typeface="+mn-ea"/>
                <a:cs typeface="+mn-cs"/>
              </a:endParaRPr>
            </a:p>
            <a:p>
              <a:endParaRPr lang="fr-FR" sz="1100" b="0" i="1" u="none" strike="noStrike">
                <a:solidFill>
                  <a:schemeClr val="dk1"/>
                </a:solidFill>
                <a:effectLst/>
                <a:latin typeface="Cambria Math" panose="02040503050406030204" pitchFamily="18" charset="0"/>
                <a:ea typeface="+mn-ea"/>
                <a:cs typeface="+mn-cs"/>
              </a:endParaRPr>
            </a:p>
            <a:p>
              <a:endParaRPr lang="fr-FR" sz="1100" b="0" i="1" u="none" strike="noStrike">
                <a:solidFill>
                  <a:schemeClr val="dk1"/>
                </a:solidFill>
                <a:effectLst/>
                <a:latin typeface="Cambria Math" panose="02040503050406030204" pitchFamily="18" charset="0"/>
                <a:ea typeface="+mn-ea"/>
                <a:cs typeface="+mn-cs"/>
              </a:endParaRPr>
            </a:p>
            <a:p>
              <a:endParaRPr lang="fr-FR" sz="1100" b="0" i="1" u="none" strike="noStrike">
                <a:solidFill>
                  <a:schemeClr val="dk1"/>
                </a:solidFill>
                <a:effectLst/>
                <a:latin typeface="Cambria Math" panose="02040503050406030204" pitchFamily="18" charset="0"/>
                <a:ea typeface="+mn-ea"/>
                <a:cs typeface="+mn-cs"/>
              </a:endParaRPr>
            </a:p>
            <a:p>
              <a:endParaRPr lang="fr-FR" sz="1100" b="0" i="1" u="none" strike="noStrike">
                <a:solidFill>
                  <a:schemeClr val="dk1"/>
                </a:solidFill>
                <a:effectLst/>
                <a:latin typeface="Cambria Math" panose="02040503050406030204" pitchFamily="18" charset="0"/>
                <a:ea typeface="+mn-ea"/>
                <a:cs typeface="+mn-cs"/>
              </a:endParaRPr>
            </a:p>
            <a:p>
              <a:endParaRPr lang="fr-FR" sz="1100" b="0" u="none" strike="noStrike">
                <a:solidFill>
                  <a:schemeClr val="dk1"/>
                </a:solidFill>
                <a:effectLst/>
                <a:ea typeface="+mn-ea"/>
                <a:cs typeface="+mn-cs"/>
              </a:endParaRPr>
            </a:p>
            <a:p>
              <a:endParaRPr lang="en-GB" sz="1100" kern="1200" baseline="0"/>
            </a:p>
            <a:p>
              <a:endParaRPr lang="en-GB" sz="1100" kern="1200" baseline="0"/>
            </a:p>
            <a:p>
              <a:endParaRPr lang="en-GB" sz="1100" kern="1200" baseline="0"/>
            </a:p>
            <a:p>
              <a:endParaRPr lang="en-GB" sz="1100" kern="1200"/>
            </a:p>
          </xdr:txBody>
        </xdr:sp>
      </mc:Choice>
      <mc:Fallback xmlns="">
        <xdr:sp macro="" textlink="">
          <xdr:nvSpPr>
            <xdr:cNvPr id="2" name="TextBox 1">
              <a:extLst>
                <a:ext uri="{FF2B5EF4-FFF2-40B4-BE49-F238E27FC236}">
                  <a16:creationId xmlns:a16="http://schemas.microsoft.com/office/drawing/2014/main" id="{E5D127C1-2493-FD45-A6B3-2DBD276E73D5}"/>
                </a:ext>
              </a:extLst>
            </xdr:cNvPr>
            <xdr:cNvSpPr txBox="1"/>
          </xdr:nvSpPr>
          <xdr:spPr>
            <a:xfrm>
              <a:off x="495300" y="4739641"/>
              <a:ext cx="5111043" cy="772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u="sng" kern="1200"/>
                <a:t>Step 1 </a:t>
              </a:r>
              <a:r>
                <a:rPr lang="en-GB" sz="1100" kern="1200"/>
                <a:t>:</a:t>
              </a:r>
            </a:p>
            <a:p>
              <a:r>
                <a:rPr lang="en-GB" sz="1100" kern="1200"/>
                <a:t>Same</a:t>
              </a:r>
              <a:r>
                <a:rPr lang="en-GB" sz="1100" kern="1200" baseline="0"/>
                <a:t> as backward induction : build recombining binomial tree of short rates. </a:t>
              </a:r>
            </a:p>
            <a:p>
              <a:endParaRPr lang="en-GB" sz="1100" kern="1200" baseline="0"/>
            </a:p>
            <a:p>
              <a:endParaRPr lang="fr-FR" sz="1100" b="0" i="0" u="none" strike="noStrike">
                <a:solidFill>
                  <a:schemeClr val="dk1"/>
                </a:solidFill>
                <a:effectLst/>
                <a:latin typeface="+mn-lt"/>
                <a:ea typeface="+mn-ea"/>
                <a:cs typeface="+mn-cs"/>
              </a:endParaRPr>
            </a:p>
            <a:p>
              <a:endParaRPr lang="fr-FR" sz="1100" b="0" i="0" u="none" strike="noStrike">
                <a:solidFill>
                  <a:schemeClr val="dk1"/>
                </a:solidFill>
                <a:effectLst/>
                <a:latin typeface="+mn-lt"/>
                <a:ea typeface="+mn-ea"/>
                <a:cs typeface="+mn-cs"/>
              </a:endParaRPr>
            </a:p>
            <a:p>
              <a:endParaRPr lang="fr-FR" sz="1100" b="0" i="0" u="none" strike="noStrike">
                <a:solidFill>
                  <a:schemeClr val="dk1"/>
                </a:solidFill>
                <a:effectLst/>
                <a:latin typeface="Cambria Math" panose="02040503050406030204" pitchFamily="18" charset="0"/>
                <a:ea typeface="+mn-ea"/>
                <a:cs typeface="+mn-cs"/>
              </a:endParaRPr>
            </a:p>
            <a:p>
              <a:endParaRPr lang="fr-FR" sz="1100" b="0" i="1" u="none" strike="noStrike">
                <a:solidFill>
                  <a:schemeClr val="dk1"/>
                </a:solidFill>
                <a:effectLst/>
                <a:latin typeface="Cambria Math" panose="02040503050406030204" pitchFamily="18" charset="0"/>
                <a:ea typeface="+mn-ea"/>
                <a:cs typeface="+mn-cs"/>
              </a:endParaRPr>
            </a:p>
            <a:p>
              <a:endParaRPr lang="fr-FR" sz="1100" b="0" i="1" u="none" strike="noStrike">
                <a:solidFill>
                  <a:schemeClr val="dk1"/>
                </a:solidFill>
                <a:effectLst/>
                <a:latin typeface="Cambria Math" panose="02040503050406030204" pitchFamily="18" charset="0"/>
                <a:ea typeface="+mn-ea"/>
                <a:cs typeface="+mn-cs"/>
              </a:endParaRPr>
            </a:p>
            <a:p>
              <a:endParaRPr lang="fr-FR" sz="1100" b="0" i="1" u="none" strike="noStrike">
                <a:solidFill>
                  <a:schemeClr val="dk1"/>
                </a:solidFill>
                <a:effectLst/>
                <a:latin typeface="Cambria Math" panose="02040503050406030204" pitchFamily="18" charset="0"/>
                <a:ea typeface="+mn-ea"/>
                <a:cs typeface="+mn-cs"/>
              </a:endParaRPr>
            </a:p>
            <a:p>
              <a:endParaRPr lang="fr-FR" sz="1100" b="0" i="1" u="none" strike="noStrike">
                <a:solidFill>
                  <a:schemeClr val="dk1"/>
                </a:solidFill>
                <a:effectLst/>
                <a:latin typeface="Cambria Math" panose="02040503050406030204" pitchFamily="18" charset="0"/>
                <a:ea typeface="+mn-ea"/>
                <a:cs typeface="+mn-cs"/>
              </a:endParaRPr>
            </a:p>
            <a:p>
              <a:endParaRPr lang="fr-FR" sz="1100" b="0" i="1" u="none" strike="noStrike">
                <a:solidFill>
                  <a:schemeClr val="dk1"/>
                </a:solidFill>
                <a:effectLst/>
                <a:latin typeface="Cambria Math" panose="02040503050406030204" pitchFamily="18" charset="0"/>
                <a:ea typeface="+mn-ea"/>
                <a:cs typeface="+mn-cs"/>
              </a:endParaRPr>
            </a:p>
            <a:p>
              <a:endParaRPr lang="fr-FR" sz="1100" b="0" i="1" u="none" strike="noStrike">
                <a:solidFill>
                  <a:schemeClr val="dk1"/>
                </a:solidFill>
                <a:effectLst/>
                <a:latin typeface="Cambria Math" panose="02040503050406030204" pitchFamily="18" charset="0"/>
                <a:ea typeface="+mn-ea"/>
                <a:cs typeface="+mn-cs"/>
              </a:endParaRPr>
            </a:p>
            <a:p>
              <a:endParaRPr lang="fr-FR" sz="1100" b="0" i="1" u="none" strike="noStrike">
                <a:solidFill>
                  <a:schemeClr val="dk1"/>
                </a:solidFill>
                <a:effectLst/>
                <a:latin typeface="Cambria Math" panose="02040503050406030204" pitchFamily="18" charset="0"/>
                <a:ea typeface="+mn-ea"/>
                <a:cs typeface="+mn-cs"/>
              </a:endParaRPr>
            </a:p>
            <a:p>
              <a:endParaRPr lang="fr-FR" sz="1100" b="0" i="1" u="none" strike="noStrike">
                <a:solidFill>
                  <a:schemeClr val="dk1"/>
                </a:solidFill>
                <a:effectLst/>
                <a:latin typeface="Cambria Math" panose="02040503050406030204" pitchFamily="18" charset="0"/>
                <a:ea typeface="+mn-ea"/>
                <a:cs typeface="+mn-cs"/>
              </a:endParaRPr>
            </a:p>
            <a:p>
              <a:endParaRPr lang="fr-FR" sz="1100" b="0" i="1" u="none" strike="noStrike">
                <a:solidFill>
                  <a:schemeClr val="dk1"/>
                </a:solidFill>
                <a:effectLst/>
                <a:latin typeface="Cambria Math" panose="02040503050406030204" pitchFamily="18" charset="0"/>
                <a:ea typeface="+mn-ea"/>
                <a:cs typeface="+mn-cs"/>
              </a:endParaRPr>
            </a:p>
            <a:p>
              <a:endParaRPr lang="fr-FR" sz="1100" b="0" u="none" strike="noStrike">
                <a:solidFill>
                  <a:schemeClr val="dk1"/>
                </a:solidFill>
                <a:effectLst/>
                <a:ea typeface="+mn-ea"/>
                <a:cs typeface="+mn-cs"/>
              </a:endParaRPr>
            </a:p>
            <a:p>
              <a:endParaRPr lang="en-GB" sz="1100" kern="1200" baseline="0"/>
            </a:p>
            <a:p>
              <a:endParaRPr lang="en-GB" sz="1100" kern="1200" baseline="0"/>
            </a:p>
            <a:p>
              <a:endParaRPr lang="en-GB" sz="1100" kern="1200" baseline="0"/>
            </a:p>
            <a:p>
              <a:endParaRPr lang="en-GB" sz="1100" kern="1200"/>
            </a:p>
          </xdr:txBody>
        </xdr:sp>
      </mc:Fallback>
    </mc:AlternateContent>
    <xdr:clientData/>
  </xdr:twoCellAnchor>
  <xdr:twoCellAnchor>
    <xdr:from>
      <xdr:col>0</xdr:col>
      <xdr:colOff>333536</xdr:colOff>
      <xdr:row>35</xdr:row>
      <xdr:rowOff>192424</xdr:rowOff>
    </xdr:from>
    <xdr:to>
      <xdr:col>4</xdr:col>
      <xdr:colOff>176621</xdr:colOff>
      <xdr:row>40</xdr:row>
      <xdr:rowOff>192425</xdr:rowOff>
    </xdr:to>
    <xdr:sp macro="" textlink="">
      <xdr:nvSpPr>
        <xdr:cNvPr id="3" name="TextBox 2">
          <a:extLst>
            <a:ext uri="{FF2B5EF4-FFF2-40B4-BE49-F238E27FC236}">
              <a16:creationId xmlns:a16="http://schemas.microsoft.com/office/drawing/2014/main" id="{4391573C-2D8D-2A40-B680-BD8EFEC7DC1A}"/>
            </a:ext>
          </a:extLst>
        </xdr:cNvPr>
        <xdr:cNvSpPr txBox="1"/>
      </xdr:nvSpPr>
      <xdr:spPr>
        <a:xfrm>
          <a:off x="333536" y="4117879"/>
          <a:ext cx="3127125" cy="10262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u="sng" kern="1200"/>
            <a:t>Step 2 </a:t>
          </a:r>
          <a:r>
            <a:rPr lang="en-GB" sz="1100" kern="1200"/>
            <a:t>:</a:t>
          </a:r>
        </a:p>
        <a:p>
          <a:r>
            <a:rPr lang="en-GB" sz="1100" kern="1200"/>
            <a:t>Same</a:t>
          </a:r>
          <a:r>
            <a:rPr lang="en-GB" sz="1100" kern="1200" baseline="0"/>
            <a:t> as backward induction: determin lattice of stepwise (1 period) discount bonds. </a:t>
          </a:r>
        </a:p>
        <a:p>
          <a:endParaRPr lang="en-GB" sz="1100" kern="1200" baseline="0"/>
        </a:p>
        <a:p>
          <a:endParaRPr lang="en-GB" sz="1100" kern="1200"/>
        </a:p>
      </xdr:txBody>
    </xdr:sp>
    <xdr:clientData/>
  </xdr:twoCellAnchor>
  <xdr:twoCellAnchor>
    <xdr:from>
      <xdr:col>0</xdr:col>
      <xdr:colOff>372021</xdr:colOff>
      <xdr:row>47</xdr:row>
      <xdr:rowOff>76968</xdr:rowOff>
    </xdr:from>
    <xdr:to>
      <xdr:col>5</xdr:col>
      <xdr:colOff>64141</xdr:colOff>
      <xdr:row>77</xdr:row>
      <xdr:rowOff>102626</xdr:rowOff>
    </xdr:to>
    <xdr:sp macro="" textlink="">
      <xdr:nvSpPr>
        <xdr:cNvPr id="4" name="TextBox 3">
          <a:extLst>
            <a:ext uri="{FF2B5EF4-FFF2-40B4-BE49-F238E27FC236}">
              <a16:creationId xmlns:a16="http://schemas.microsoft.com/office/drawing/2014/main" id="{9D53C39D-B370-AF48-A9DB-4B4F14F1335D}"/>
            </a:ext>
          </a:extLst>
        </xdr:cNvPr>
        <xdr:cNvSpPr txBox="1"/>
      </xdr:nvSpPr>
      <xdr:spPr>
        <a:xfrm>
          <a:off x="372021" y="7119695"/>
          <a:ext cx="4720807" cy="6183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u="sng" kern="1200"/>
            <a:t>Step 3 </a:t>
          </a:r>
          <a:r>
            <a:rPr lang="en-GB" sz="1100" kern="1200"/>
            <a:t>:</a:t>
          </a:r>
        </a:p>
        <a:p>
          <a:r>
            <a:rPr lang="en-GB" sz="1100" kern="1200"/>
            <a:t>Construct lattice of Andrew Debrew</a:t>
          </a:r>
          <a:r>
            <a:rPr lang="en-GB" sz="1100" kern="1200" baseline="0"/>
            <a:t> securities. </a:t>
          </a:r>
        </a:p>
        <a:p>
          <a:r>
            <a:rPr lang="en-GB" sz="1100" kern="1200" baseline="0"/>
            <a:t>An Arrow-Debrew DB(i, j) security is an instrument that pays 1 at time i if at time i, the interest rate is in state j.</a:t>
          </a:r>
        </a:p>
        <a:p>
          <a:endParaRPr lang="en-GB" sz="1100" kern="1200" baseline="0"/>
        </a:p>
        <a:p>
          <a:r>
            <a:rPr lang="en-GB" sz="1100" kern="1200" baseline="0"/>
            <a:t>This is usefull for pricing the sum of AD securities at time i for all possible states j is by construction a ZCB (ie, paying 1 at time i for all states j of the short rate).</a:t>
          </a:r>
        </a:p>
        <a:p>
          <a:endParaRPr lang="en-GB" sz="1100" kern="1200" baseline="0"/>
        </a:p>
        <a:p>
          <a:r>
            <a:rPr lang="en-GB" sz="1100" kern="1200" baseline="0"/>
            <a:t>Each Node i, j (time, state) represents the t=0 time price of a security paying one at time i if the state j is reached (and zero in all other states). </a:t>
          </a:r>
        </a:p>
        <a:p>
          <a:endParaRPr lang="en-GB" sz="1100" kern="1200" baseline="0"/>
        </a:p>
        <a:p>
          <a:r>
            <a:rPr lang="en-GB" sz="1100" kern="1200" baseline="0"/>
            <a:t>States (i, j) refer to the value of the interest rate at a given time i. </a:t>
          </a:r>
        </a:p>
        <a:p>
          <a:endParaRPr lang="en-GB" sz="1100" kern="1200" baseline="0"/>
        </a:p>
        <a:p>
          <a:r>
            <a:rPr lang="en-GB" sz="1100" kern="1200" baseline="0"/>
            <a:t>This method is called "forward induction" as we calculate A-D securities at time t=0 and extend out the tree. </a:t>
          </a:r>
        </a:p>
        <a:p>
          <a:endParaRPr lang="en-GB" sz="1100" kern="1200" baseline="0"/>
        </a:p>
        <a:p>
          <a:r>
            <a:rPr lang="en-GB" sz="1100" u="sng" kern="1200" baseline="0"/>
            <a:t>Pros </a:t>
          </a:r>
          <a:r>
            <a:rPr lang="en-GB" sz="1100" kern="1200" baseline="0"/>
            <a:t>: </a:t>
          </a:r>
        </a:p>
        <a:p>
          <a:r>
            <a:rPr lang="en-GB" sz="1100" kern="1200" baseline="0"/>
            <a:t>With one tree, we cna calculate the entire discount curve. </a:t>
          </a:r>
        </a:p>
        <a:p>
          <a:r>
            <a:rPr lang="en-GB" sz="1100" kern="1200" baseline="0"/>
            <a:t>Recall that for the backward induction method, for an n-period term structure, n trees had to be constructed. </a:t>
          </a:r>
        </a:p>
        <a:p>
          <a:endParaRPr lang="en-GB" sz="1100" kern="1200"/>
        </a:p>
        <a:p>
          <a:r>
            <a:rPr lang="en-GB" sz="1100" u="sng" kern="1200"/>
            <a:t>Intuition</a:t>
          </a:r>
          <a:r>
            <a:rPr lang="en-GB" sz="1100" u="sng" kern="1200" baseline="0"/>
            <a:t> </a:t>
          </a:r>
          <a:r>
            <a:rPr lang="en-GB" sz="1100" kern="1200" baseline="0"/>
            <a:t>: A-D securities are essentially discounted probabilities of the grid of possible scenarios of the short rate starting at t=0.</a:t>
          </a:r>
        </a:p>
        <a:p>
          <a:endParaRPr lang="en-GB" sz="1100" kern="1200"/>
        </a:p>
        <a:p>
          <a:endParaRPr lang="en-GB" sz="1100" kern="1200"/>
        </a:p>
        <a:p>
          <a:r>
            <a:rPr lang="en-GB" sz="1100" u="sng" kern="1200"/>
            <a:t>Forward induction :</a:t>
          </a:r>
        </a:p>
        <a:p>
          <a:r>
            <a:rPr lang="en-GB" sz="1100" kern="1200"/>
            <a:t>The forward induction technique</a:t>
          </a:r>
          <a:r>
            <a:rPr lang="en-GB" sz="1100" kern="1200" baseline="0"/>
            <a:t> allows us, by sovling 1 tree, to </a:t>
          </a:r>
          <a:r>
            <a:rPr lang="en-GB" sz="1100" kern="1200"/>
            <a:t>calculate the values of current ( t=0 time) ZCBs</a:t>
          </a:r>
          <a:r>
            <a:rPr lang="en-GB" sz="1100" kern="1200" baseline="0"/>
            <a:t>. </a:t>
          </a:r>
        </a:p>
        <a:p>
          <a:r>
            <a:rPr lang="en-GB" sz="1100" kern="1200" baseline="0"/>
            <a:t>=&gt; IE : for all T, we have ZCB(0, T)</a:t>
          </a:r>
        </a:p>
        <a:p>
          <a:endParaRPr lang="en-GB" sz="1100" kern="1200" baseline="0"/>
        </a:p>
        <a:p>
          <a:r>
            <a:rPr lang="en-GB" sz="1100" kern="1200" baseline="0"/>
            <a:t>Recall tha the backward induction technique allows us with one tree to calculate the value of a ZCB of a certain maturity at all future time steps and for all future states. </a:t>
          </a:r>
        </a:p>
        <a:p>
          <a:r>
            <a:rPr lang="en-GB" sz="1100" kern="1200" baseline="0"/>
            <a:t>=&gt; IE. : for all i, j we have ZCB(t=i, Maturity = T, state =j)</a:t>
          </a:r>
        </a:p>
      </xdr:txBody>
    </xdr:sp>
    <xdr:clientData/>
  </xdr:twoCellAnchor>
  <xdr:twoCellAnchor>
    <xdr:from>
      <xdr:col>9</xdr:col>
      <xdr:colOff>141239</xdr:colOff>
      <xdr:row>89</xdr:row>
      <xdr:rowOff>102498</xdr:rowOff>
    </xdr:from>
    <xdr:to>
      <xdr:col>15</xdr:col>
      <xdr:colOff>248483</xdr:colOff>
      <xdr:row>93</xdr:row>
      <xdr:rowOff>179596</xdr:rowOff>
    </xdr:to>
    <xdr:sp macro="" textlink="$C$91">
      <xdr:nvSpPr>
        <xdr:cNvPr id="6" name="TextBox 5">
          <a:extLst>
            <a:ext uri="{FF2B5EF4-FFF2-40B4-BE49-F238E27FC236}">
              <a16:creationId xmlns:a16="http://schemas.microsoft.com/office/drawing/2014/main" id="{E84FD167-04A1-D058-C11B-90D299A9453F}"/>
            </a:ext>
          </a:extLst>
        </xdr:cNvPr>
        <xdr:cNvSpPr txBox="1"/>
      </xdr:nvSpPr>
      <xdr:spPr>
        <a:xfrm>
          <a:off x="8955039" y="18746098"/>
          <a:ext cx="5060244" cy="9025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kern="1200"/>
            <a:t>ZCB(1, T, up) is the (t=1, state=up)-price of a ZCB maturing at time T. </a:t>
          </a:r>
        </a:p>
        <a:p>
          <a:endParaRPr lang="en-GB" sz="1200" kern="1200"/>
        </a:p>
        <a:p>
          <a:r>
            <a:rPr lang="en-GB" sz="1200" kern="1200"/>
            <a:t>ZCB</a:t>
          </a:r>
          <a:r>
            <a:rPr lang="en-GB" sz="1200" kern="1200" baseline="0"/>
            <a:t>(1, T, up), for all T is therfore the discount curve seen at time t=1 in the up state.</a:t>
          </a:r>
        </a:p>
      </xdr:txBody>
    </xdr:sp>
    <xdr:clientData/>
  </xdr:twoCellAnchor>
  <xdr:twoCellAnchor>
    <xdr:from>
      <xdr:col>9</xdr:col>
      <xdr:colOff>203200</xdr:colOff>
      <xdr:row>103</xdr:row>
      <xdr:rowOff>139700</xdr:rowOff>
    </xdr:from>
    <xdr:to>
      <xdr:col>15</xdr:col>
      <xdr:colOff>310444</xdr:colOff>
      <xdr:row>108</xdr:row>
      <xdr:rowOff>13598</xdr:rowOff>
    </xdr:to>
    <xdr:sp macro="" textlink="">
      <xdr:nvSpPr>
        <xdr:cNvPr id="7" name="TextBox 6">
          <a:extLst>
            <a:ext uri="{FF2B5EF4-FFF2-40B4-BE49-F238E27FC236}">
              <a16:creationId xmlns:a16="http://schemas.microsoft.com/office/drawing/2014/main" id="{D8D5B98E-059B-2346-B1CC-14246CE1A082}"/>
            </a:ext>
          </a:extLst>
        </xdr:cNvPr>
        <xdr:cNvSpPr txBox="1"/>
      </xdr:nvSpPr>
      <xdr:spPr>
        <a:xfrm>
          <a:off x="9017000" y="21666200"/>
          <a:ext cx="5060244" cy="9025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kern="1200"/>
            <a:t>ZCB(1, T, down) is the (t=1, state=down)-price of a ZCB maturing at time T. </a:t>
          </a:r>
        </a:p>
        <a:p>
          <a:endParaRPr lang="en-GB" sz="1100" kern="1200"/>
        </a:p>
        <a:p>
          <a:r>
            <a:rPr lang="en-GB" sz="1100" kern="1200"/>
            <a:t>ZCB</a:t>
          </a:r>
          <a:r>
            <a:rPr lang="en-GB" sz="1100" kern="1200" baseline="0"/>
            <a:t>(1, T, down), for all T is therfore the discount curve seen at time t=1  in the down state. </a:t>
          </a:r>
        </a:p>
        <a:p>
          <a:endParaRPr lang="en-GB" sz="1100" kern="1200" baseline="0"/>
        </a:p>
      </xdr:txBody>
    </xdr:sp>
    <xdr:clientData/>
  </xdr:twoCellAnchor>
  <xdr:twoCellAnchor>
    <xdr:from>
      <xdr:col>1</xdr:col>
      <xdr:colOff>0</xdr:colOff>
      <xdr:row>1</xdr:row>
      <xdr:rowOff>0</xdr:rowOff>
    </xdr:from>
    <xdr:to>
      <xdr:col>15</xdr:col>
      <xdr:colOff>519726</xdr:colOff>
      <xdr:row>18</xdr:row>
      <xdr:rowOff>127000</xdr:rowOff>
    </xdr:to>
    <xdr:sp macro="" textlink="">
      <xdr:nvSpPr>
        <xdr:cNvPr id="8" name="TextBox 7">
          <a:extLst>
            <a:ext uri="{FF2B5EF4-FFF2-40B4-BE49-F238E27FC236}">
              <a16:creationId xmlns:a16="http://schemas.microsoft.com/office/drawing/2014/main" id="{60481A08-BC4A-5C4A-AE69-04D43704D054}"/>
            </a:ext>
          </a:extLst>
        </xdr:cNvPr>
        <xdr:cNvSpPr txBox="1"/>
      </xdr:nvSpPr>
      <xdr:spPr>
        <a:xfrm>
          <a:off x="825500" y="203200"/>
          <a:ext cx="13461026" cy="359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u="sng" kern="1200"/>
            <a:t>Pricing Callable Bond via Lattice</a:t>
          </a:r>
          <a:r>
            <a:rPr lang="en-GB" sz="2000" u="sng" kern="1200" baseline="0"/>
            <a:t> Model - Forward Induction (i.e., Arrow-Debrew method) </a:t>
          </a:r>
        </a:p>
        <a:p>
          <a:endParaRPr lang="en-GB" sz="1200" kern="1200" baseline="0"/>
        </a:p>
        <a:p>
          <a:r>
            <a:rPr lang="en-GB" sz="1200" kern="1200" baseline="0"/>
            <a:t>The purpose of this worksheet is to apply the </a:t>
          </a:r>
          <a:r>
            <a:rPr lang="en-GB" sz="1200" b="1" u="sng" kern="1200" baseline="0"/>
            <a:t>Forward induction </a:t>
          </a:r>
          <a:r>
            <a:rPr lang="en-GB" sz="1200" kern="1200" baseline="0"/>
            <a:t>pricing method of contigents claims developped by </a:t>
          </a:r>
          <a:r>
            <a:rPr lang="en-GB" sz="1200" b="1" u="sng" kern="1200" baseline="0"/>
            <a:t>Arrow-Debrew</a:t>
          </a:r>
          <a:r>
            <a:rPr lang="en-GB" sz="1200" kern="1200" baseline="0"/>
            <a:t>. </a:t>
          </a:r>
        </a:p>
        <a:p>
          <a:r>
            <a:rPr lang="en-GB" sz="1200" kern="1200" baseline="0"/>
            <a:t>We assume for simplicity that interst rates are log-normal, with constant drift and volatility. This is a simplified case of the DBT (</a:t>
          </a:r>
          <a:r>
            <a:rPr lang="en-GB" sz="1100" b="0" i="0" u="none" strike="noStrike">
              <a:solidFill>
                <a:schemeClr val="dk1"/>
              </a:solidFill>
              <a:effectLst/>
              <a:latin typeface="+mn-lt"/>
              <a:ea typeface="+mn-ea"/>
              <a:cs typeface="+mn-cs"/>
            </a:rPr>
            <a:t>Black-Derman-Toy) model.</a:t>
          </a:r>
          <a:r>
            <a:rPr lang="en-GB" sz="1100" b="0" i="0" u="none" strike="noStrike" baseline="0">
              <a:solidFill>
                <a:schemeClr val="dk1"/>
              </a:solidFill>
              <a:effectLst/>
              <a:latin typeface="+mn-lt"/>
              <a:ea typeface="+mn-ea"/>
              <a:cs typeface="+mn-cs"/>
            </a:rPr>
            <a:t> See worksheet "BDT claibration" sheet of this workbook for details on the calibration of the drift and volatility (as a function of time) methods used in practice. </a:t>
          </a:r>
        </a:p>
        <a:p>
          <a:endParaRPr lang="en-GB" sz="1100" b="0" i="0" u="none" strike="noStrike" baseline="0">
            <a:solidFill>
              <a:schemeClr val="dk1"/>
            </a:solidFill>
            <a:effectLst/>
            <a:latin typeface="+mn-lt"/>
            <a:ea typeface="+mn-ea"/>
            <a:cs typeface="+mn-cs"/>
          </a:endParaRPr>
        </a:p>
        <a:p>
          <a:r>
            <a:rPr lang="en-GB" sz="1100" b="0" i="0" u="sng" strike="noStrike" baseline="0">
              <a:solidFill>
                <a:schemeClr val="dk1"/>
              </a:solidFill>
              <a:effectLst/>
              <a:latin typeface="+mn-lt"/>
              <a:ea typeface="+mn-ea"/>
              <a:cs typeface="+mn-cs"/>
            </a:rPr>
            <a:t>Advantages </a:t>
          </a:r>
          <a:r>
            <a:rPr lang="en-GB" sz="1100" b="0" i="0" u="none" strike="noStrike" baseline="0">
              <a:solidFill>
                <a:schemeClr val="dk1"/>
              </a:solidFill>
              <a:effectLst/>
              <a:latin typeface="+mn-lt"/>
              <a:ea typeface="+mn-ea"/>
              <a:cs typeface="+mn-cs"/>
            </a:rPr>
            <a:t>: </a:t>
          </a:r>
        </a:p>
        <a:p>
          <a:r>
            <a:rPr lang="en-GB" sz="1100" b="0" i="0" u="none" strike="noStrike" baseline="0">
              <a:solidFill>
                <a:schemeClr val="dk1"/>
              </a:solidFill>
              <a:effectLst/>
              <a:latin typeface="+mn-lt"/>
              <a:ea typeface="+mn-ea"/>
              <a:cs typeface="+mn-cs"/>
            </a:rPr>
            <a:t>1) This methode is practical for calculating european options (no early exercise options) or discount curve (ie : ZCBs for various maturities). Indeed, unlike the backward induction technique, only 1 tree is required to calculate a strip of instruments, wheras it would take as many trees as there are time steps if using the backward induction technique. </a:t>
          </a:r>
        </a:p>
        <a:p>
          <a:endParaRPr lang="en-GB" sz="1100" b="0" i="0" u="none" strike="noStrike" baseline="0">
            <a:solidFill>
              <a:schemeClr val="dk1"/>
            </a:solidFill>
            <a:effectLst/>
            <a:latin typeface="+mn-lt"/>
            <a:ea typeface="+mn-ea"/>
            <a:cs typeface="+mn-cs"/>
          </a:endParaRPr>
        </a:p>
        <a:p>
          <a:r>
            <a:rPr lang="en-GB" sz="1100" b="0" i="0" u="none" strike="noStrike" baseline="0">
              <a:solidFill>
                <a:schemeClr val="dk1"/>
              </a:solidFill>
              <a:effectLst/>
              <a:latin typeface="+mn-lt"/>
              <a:ea typeface="+mn-ea"/>
              <a:cs typeface="+mn-cs"/>
            </a:rPr>
            <a:t>2) Further, unilke in the backward induction lattice, the tree of state prices obtained by forward induction can be reused for other options. </a:t>
          </a:r>
        </a:p>
        <a:p>
          <a:endParaRPr lang="en-GB" sz="1100" b="0" i="0" u="none" strike="noStrike" kern="1200" baseline="0">
            <a:solidFill>
              <a:schemeClr val="dk1"/>
            </a:solidFill>
            <a:effectLst/>
            <a:latin typeface="+mn-lt"/>
            <a:ea typeface="+mn-ea"/>
            <a:cs typeface="+mn-cs"/>
          </a:endParaRPr>
        </a:p>
        <a:p>
          <a:r>
            <a:rPr lang="en-GB" sz="1100" b="0" i="0" u="none" strike="noStrike" baseline="0">
              <a:solidFill>
                <a:schemeClr val="dk1"/>
              </a:solidFill>
              <a:effectLst/>
              <a:latin typeface="+mn-lt"/>
              <a:ea typeface="+mn-ea"/>
              <a:cs typeface="+mn-cs"/>
            </a:rPr>
            <a:t>3) Arrow-Debrew makes calibration simpler and is possible since securities that are usually used to calibrate the lattice are usually not "early exercise" instruments (hence do not require backward induction techniques to be priced). Indeed, calibration to the volatility term structure requiers caps/floors which are european-style options. Calibration to the yields term structure is done on discount curve. </a:t>
          </a:r>
        </a:p>
        <a:p>
          <a:endParaRPr lang="en-GB" sz="1100" b="0" i="0" u="none" strike="noStrike" baseline="0">
            <a:solidFill>
              <a:schemeClr val="dk1"/>
            </a:solidFill>
            <a:effectLst/>
            <a:latin typeface="+mn-lt"/>
            <a:ea typeface="+mn-ea"/>
            <a:cs typeface="+mn-cs"/>
          </a:endParaRPr>
        </a:p>
        <a:p>
          <a:r>
            <a:rPr lang="en-GB" sz="1100" b="0" i="0" u="sng" strike="noStrike" baseline="0">
              <a:solidFill>
                <a:schemeClr val="dk1"/>
              </a:solidFill>
              <a:effectLst/>
              <a:latin typeface="+mn-lt"/>
              <a:ea typeface="+mn-ea"/>
              <a:cs typeface="+mn-cs"/>
            </a:rPr>
            <a:t>Instruments priced</a:t>
          </a:r>
          <a:r>
            <a:rPr lang="en-GB" sz="1100" b="0" i="0" u="none" strike="noStrike" baseline="0">
              <a:solidFill>
                <a:schemeClr val="dk1"/>
              </a:solidFill>
              <a:effectLst/>
              <a:latin typeface="+mn-lt"/>
              <a:ea typeface="+mn-ea"/>
              <a:cs typeface="+mn-cs"/>
            </a:rPr>
            <a:t>: </a:t>
          </a:r>
        </a:p>
        <a:p>
          <a:r>
            <a:rPr lang="en-GB" sz="1100" b="0" i="0" u="none" strike="noStrike" baseline="0">
              <a:solidFill>
                <a:schemeClr val="dk1"/>
              </a:solidFill>
              <a:effectLst/>
              <a:latin typeface="+mn-lt"/>
              <a:ea typeface="+mn-ea"/>
              <a:cs typeface="+mn-cs"/>
            </a:rPr>
            <a:t>- Arrow-debrew securities, ZCB, coupon bond</a:t>
          </a:r>
        </a:p>
        <a:p>
          <a:r>
            <a:rPr lang="en-GB" sz="1100" b="0" i="0" u="none" strike="noStrike" baseline="0">
              <a:solidFill>
                <a:schemeClr val="dk1"/>
              </a:solidFill>
              <a:effectLst/>
              <a:latin typeface="+mn-lt"/>
              <a:ea typeface="+mn-ea"/>
              <a:cs typeface="+mn-cs"/>
            </a:rPr>
            <a:t>- caplet, caps</a:t>
          </a:r>
        </a:p>
        <a:p>
          <a:endParaRPr lang="en-GB" sz="1100" b="0" i="0" u="none" strike="noStrike" kern="1200" baseline="0">
            <a:solidFill>
              <a:schemeClr val="dk1"/>
            </a:solidFill>
            <a:effectLst/>
            <a:latin typeface="+mn-lt"/>
            <a:ea typeface="+mn-ea"/>
            <a:cs typeface="+mn-cs"/>
          </a:endParaRPr>
        </a:p>
      </xdr:txBody>
    </xdr:sp>
    <xdr:clientData/>
  </xdr:twoCellAnchor>
  <xdr:twoCellAnchor>
    <xdr:from>
      <xdr:col>14</xdr:col>
      <xdr:colOff>203200</xdr:colOff>
      <xdr:row>31</xdr:row>
      <xdr:rowOff>169333</xdr:rowOff>
    </xdr:from>
    <xdr:to>
      <xdr:col>17</xdr:col>
      <xdr:colOff>1032933</xdr:colOff>
      <xdr:row>41</xdr:row>
      <xdr:rowOff>127001</xdr:rowOff>
    </xdr:to>
    <xdr:sp macro="" textlink="">
      <xdr:nvSpPr>
        <xdr:cNvPr id="9" name="TextBox 8">
          <a:extLst>
            <a:ext uri="{FF2B5EF4-FFF2-40B4-BE49-F238E27FC236}">
              <a16:creationId xmlns:a16="http://schemas.microsoft.com/office/drawing/2014/main" id="{63AEB568-DCA2-3C9B-415F-2E0D8EB5F0CA}"/>
            </a:ext>
          </a:extLst>
        </xdr:cNvPr>
        <xdr:cNvSpPr txBox="1"/>
      </xdr:nvSpPr>
      <xdr:spPr>
        <a:xfrm>
          <a:off x="13144500" y="6493933"/>
          <a:ext cx="3306233" cy="200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u="sng" kern="1200"/>
            <a:t>Step 4</a:t>
          </a:r>
          <a:r>
            <a:rPr lang="en-GB" sz="1100" kern="1200"/>
            <a:t>: </a:t>
          </a:r>
        </a:p>
        <a:p>
          <a:endParaRPr lang="en-GB" sz="1100" kern="1200"/>
        </a:p>
        <a:p>
          <a:r>
            <a:rPr lang="en-GB" sz="1100" kern="1200"/>
            <a:t>Pricing caplets by weighling Arrow Debrew nodes to. payoff of a caplet at maturity and summing all states for a given maturity.</a:t>
          </a:r>
          <a:r>
            <a:rPr lang="en-GB" sz="1100" kern="1200" baseline="0"/>
            <a:t> Once the strip of caplets for variosu maturities are claculated, a cap can be constructed by summing them. </a:t>
          </a:r>
        </a:p>
        <a:p>
          <a:endParaRPr lang="en-GB" sz="1100" kern="1200"/>
        </a:p>
        <a:p>
          <a:r>
            <a:rPr lang="en-GB" sz="1100" kern="1200"/>
            <a:t>We</a:t>
          </a:r>
          <a:r>
            <a:rPr lang="en-GB" sz="1100" kern="1200" baseline="0"/>
            <a:t> set the strikeds for  accroding to maturity as the forward rate . Forward rates are determined from the ZCBs calculated </a:t>
          </a:r>
        </a:p>
        <a:p>
          <a:endParaRPr lang="en-GB" sz="1100" kern="1200"/>
        </a:p>
      </xdr:txBody>
    </xdr:sp>
    <xdr:clientData/>
  </xdr:twoCellAnchor>
  <xdr:twoCellAnchor>
    <xdr:from>
      <xdr:col>15</xdr:col>
      <xdr:colOff>38101</xdr:colOff>
      <xdr:row>56</xdr:row>
      <xdr:rowOff>101600</xdr:rowOff>
    </xdr:from>
    <xdr:to>
      <xdr:col>17</xdr:col>
      <xdr:colOff>1054101</xdr:colOff>
      <xdr:row>58</xdr:row>
      <xdr:rowOff>127000</xdr:rowOff>
    </xdr:to>
    <xdr:sp macro="" textlink="">
      <xdr:nvSpPr>
        <xdr:cNvPr id="27" name="TextBox 26">
          <a:extLst>
            <a:ext uri="{FF2B5EF4-FFF2-40B4-BE49-F238E27FC236}">
              <a16:creationId xmlns:a16="http://schemas.microsoft.com/office/drawing/2014/main" id="{40E7638D-A22B-CA44-B4F9-F92F0315D112}"/>
            </a:ext>
          </a:extLst>
        </xdr:cNvPr>
        <xdr:cNvSpPr txBox="1"/>
      </xdr:nvSpPr>
      <xdr:spPr>
        <a:xfrm>
          <a:off x="13804901" y="12001500"/>
          <a:ext cx="2667000" cy="43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u="none" kern="1200"/>
            <a:t>A cap = sum of caplets</a:t>
          </a:r>
          <a:r>
            <a:rPr lang="en-GB" sz="1100" u="none" kern="1200" baseline="0"/>
            <a:t> (with unique strike k)</a:t>
          </a:r>
          <a:endParaRPr lang="en-GB" sz="1100" u="none" kern="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233680</xdr:colOff>
      <xdr:row>27</xdr:row>
      <xdr:rowOff>172720</xdr:rowOff>
    </xdr:from>
    <xdr:to>
      <xdr:col>2</xdr:col>
      <xdr:colOff>1036320</xdr:colOff>
      <xdr:row>30</xdr:row>
      <xdr:rowOff>182880</xdr:rowOff>
    </xdr:to>
    <xdr:sp macro="" textlink="">
      <xdr:nvSpPr>
        <xdr:cNvPr id="2" name="TextBox 1">
          <a:extLst>
            <a:ext uri="{FF2B5EF4-FFF2-40B4-BE49-F238E27FC236}">
              <a16:creationId xmlns:a16="http://schemas.microsoft.com/office/drawing/2014/main" id="{D3B89054-156F-30B7-EC39-E5723E2490F3}"/>
            </a:ext>
          </a:extLst>
        </xdr:cNvPr>
        <xdr:cNvSpPr txBox="1"/>
      </xdr:nvSpPr>
      <xdr:spPr>
        <a:xfrm>
          <a:off x="233680" y="5659120"/>
          <a:ext cx="2448560" cy="619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u="sng" kern="1200"/>
            <a:t>Example 1 (pricing</a:t>
          </a:r>
          <a:r>
            <a:rPr lang="en-GB" sz="1100" u="sng" kern="1200" baseline="0"/>
            <a:t> ZCB)</a:t>
          </a:r>
        </a:p>
        <a:p>
          <a:r>
            <a:rPr lang="en-GB" sz="1100" kern="1200" baseline="0"/>
            <a:t>maturity = 4 years</a:t>
          </a:r>
        </a:p>
        <a:p>
          <a:r>
            <a:rPr lang="en-GB" sz="1100" kern="1200" baseline="0"/>
            <a:t>notional = 100 </a:t>
          </a:r>
          <a:endParaRPr lang="en-GB" sz="1100" kern="1200"/>
        </a:p>
      </xdr:txBody>
    </xdr:sp>
    <xdr:clientData/>
  </xdr:twoCellAnchor>
  <xdr:twoCellAnchor>
    <xdr:from>
      <xdr:col>0</xdr:col>
      <xdr:colOff>0</xdr:colOff>
      <xdr:row>37</xdr:row>
      <xdr:rowOff>0</xdr:rowOff>
    </xdr:from>
    <xdr:to>
      <xdr:col>2</xdr:col>
      <xdr:colOff>1270000</xdr:colOff>
      <xdr:row>40</xdr:row>
      <xdr:rowOff>10160</xdr:rowOff>
    </xdr:to>
    <xdr:sp macro="" textlink="">
      <xdr:nvSpPr>
        <xdr:cNvPr id="3" name="TextBox 2">
          <a:extLst>
            <a:ext uri="{FF2B5EF4-FFF2-40B4-BE49-F238E27FC236}">
              <a16:creationId xmlns:a16="http://schemas.microsoft.com/office/drawing/2014/main" id="{6DBAF9B0-F50F-2A44-8EA7-2A917A968E6B}"/>
            </a:ext>
          </a:extLst>
        </xdr:cNvPr>
        <xdr:cNvSpPr txBox="1"/>
      </xdr:nvSpPr>
      <xdr:spPr>
        <a:xfrm>
          <a:off x="0" y="7518400"/>
          <a:ext cx="2915920" cy="619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u="sng" kern="1200"/>
            <a:t>Example 2 ( pricing</a:t>
          </a:r>
          <a:r>
            <a:rPr lang="en-GB" sz="1100" u="sng" kern="1200" baseline="0"/>
            <a:t> </a:t>
          </a:r>
          <a:r>
            <a:rPr lang="en-GB" sz="1100" b="1" u="sng" kern="1200"/>
            <a:t>European </a:t>
          </a:r>
          <a:r>
            <a:rPr lang="en-GB" sz="1100" u="sng" kern="1200" baseline="0"/>
            <a:t>call option on ZCB)</a:t>
          </a:r>
        </a:p>
        <a:p>
          <a:r>
            <a:rPr lang="en-GB" sz="1100" kern="1200" baseline="0"/>
            <a:t>underlying  = ZCB above (example 1)</a:t>
          </a:r>
        </a:p>
        <a:p>
          <a:r>
            <a:rPr lang="en-GB" sz="1100" kern="1200" baseline="0"/>
            <a:t>exercise date = 2Y</a:t>
          </a:r>
        </a:p>
        <a:p>
          <a:endParaRPr lang="en-GB" sz="1100" kern="1200" baseline="0"/>
        </a:p>
        <a:p>
          <a:endParaRPr lang="en-GB" sz="1100" kern="1200"/>
        </a:p>
      </xdr:txBody>
    </xdr:sp>
    <xdr:clientData/>
  </xdr:twoCellAnchor>
  <xdr:twoCellAnchor>
    <xdr:from>
      <xdr:col>0</xdr:col>
      <xdr:colOff>0</xdr:colOff>
      <xdr:row>45</xdr:row>
      <xdr:rowOff>0</xdr:rowOff>
    </xdr:from>
    <xdr:to>
      <xdr:col>2</xdr:col>
      <xdr:colOff>1270000</xdr:colOff>
      <xdr:row>50</xdr:row>
      <xdr:rowOff>132080</xdr:rowOff>
    </xdr:to>
    <xdr:sp macro="" textlink="">
      <xdr:nvSpPr>
        <xdr:cNvPr id="4" name="TextBox 3">
          <a:extLst>
            <a:ext uri="{FF2B5EF4-FFF2-40B4-BE49-F238E27FC236}">
              <a16:creationId xmlns:a16="http://schemas.microsoft.com/office/drawing/2014/main" id="{C6F697F1-BA97-3D4C-819F-1B37DA569599}"/>
            </a:ext>
          </a:extLst>
        </xdr:cNvPr>
        <xdr:cNvSpPr txBox="1"/>
      </xdr:nvSpPr>
      <xdr:spPr>
        <a:xfrm>
          <a:off x="0" y="9144000"/>
          <a:ext cx="2915920" cy="1148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u="sng" kern="1200"/>
            <a:t>Example 3 (pricing</a:t>
          </a:r>
          <a:r>
            <a:rPr lang="en-GB" sz="1100" u="sng" kern="1200" baseline="0"/>
            <a:t> </a:t>
          </a:r>
          <a:r>
            <a:rPr lang="en-GB" sz="1100" b="1" u="sng" kern="1200"/>
            <a:t>American </a:t>
          </a:r>
          <a:r>
            <a:rPr lang="en-GB" sz="1100" u="sng" kern="1200" baseline="0"/>
            <a:t>put option on ZCB)</a:t>
          </a:r>
        </a:p>
        <a:p>
          <a:r>
            <a:rPr lang="en-GB" sz="1100" kern="1200" baseline="0"/>
            <a:t>underlying  = ZCB above (example 1)</a:t>
          </a:r>
        </a:p>
        <a:p>
          <a:r>
            <a:rPr lang="en-GB" sz="1100" kern="1200" baseline="0"/>
            <a:t>exercise date = 2Y</a:t>
          </a:r>
        </a:p>
        <a:p>
          <a:r>
            <a:rPr lang="en-GB" sz="1100" kern="1200" baseline="0"/>
            <a:t>Note : early exercise possiblt at each {state x time}</a:t>
          </a:r>
        </a:p>
        <a:p>
          <a:endParaRPr lang="en-GB" sz="1100" kern="1200" baseline="0"/>
        </a:p>
        <a:p>
          <a:endParaRPr lang="en-GB" sz="1100" kern="1200" baseline="0"/>
        </a:p>
        <a:p>
          <a:endParaRPr lang="en-GB" sz="1100" kern="1200"/>
        </a:p>
      </xdr:txBody>
    </xdr:sp>
    <xdr:clientData/>
  </xdr:twoCellAnchor>
  <xdr:twoCellAnchor>
    <xdr:from>
      <xdr:col>0</xdr:col>
      <xdr:colOff>0</xdr:colOff>
      <xdr:row>53</xdr:row>
      <xdr:rowOff>0</xdr:rowOff>
    </xdr:from>
    <xdr:to>
      <xdr:col>2</xdr:col>
      <xdr:colOff>1473200</xdr:colOff>
      <xdr:row>66</xdr:row>
      <xdr:rowOff>0</xdr:rowOff>
    </xdr:to>
    <xdr:sp macro="" textlink="">
      <xdr:nvSpPr>
        <xdr:cNvPr id="5" name="TextBox 4">
          <a:extLst>
            <a:ext uri="{FF2B5EF4-FFF2-40B4-BE49-F238E27FC236}">
              <a16:creationId xmlns:a16="http://schemas.microsoft.com/office/drawing/2014/main" id="{77EBF470-B6FA-0641-B2E8-BCE56A41F2FF}"/>
            </a:ext>
          </a:extLst>
        </xdr:cNvPr>
        <xdr:cNvSpPr txBox="1"/>
      </xdr:nvSpPr>
      <xdr:spPr>
        <a:xfrm>
          <a:off x="0" y="7315200"/>
          <a:ext cx="3119120" cy="264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u="sng" kern="1200"/>
            <a:t>Example 4 (pricing</a:t>
          </a:r>
          <a:r>
            <a:rPr lang="en-GB" sz="1100" b="0" u="sng" kern="1200" baseline="0"/>
            <a:t> </a:t>
          </a:r>
          <a:r>
            <a:rPr lang="en-GB" sz="1100" b="0" u="sng" kern="1200"/>
            <a:t>forward contract on coupon paying bond </a:t>
          </a:r>
          <a:r>
            <a:rPr lang="en-GB" sz="1100" u="sng" kern="1200" baseline="0"/>
            <a:t>)</a:t>
          </a:r>
        </a:p>
        <a:p>
          <a:r>
            <a:rPr lang="en-GB" sz="1100" kern="1200" baseline="0"/>
            <a:t>delivery date of forward (Td) = 4Y</a:t>
          </a:r>
        </a:p>
        <a:p>
          <a:r>
            <a:rPr lang="en-GB" sz="1100" kern="1200" baseline="0"/>
            <a:t>underlying at delivery date : coupon bond (2Y, 10% yearly coupons)</a:t>
          </a:r>
        </a:p>
        <a:p>
          <a:endParaRPr lang="en-GB" sz="1100" kern="1200"/>
        </a:p>
        <a:p>
          <a:r>
            <a:rPr lang="en-GB" sz="1100" b="0" i="0" u="none" strike="noStrike">
              <a:solidFill>
                <a:schemeClr val="dk1"/>
              </a:solidFill>
              <a:effectLst/>
              <a:latin typeface="+mn-lt"/>
              <a:ea typeface="+mn-ea"/>
              <a:cs typeface="+mn-cs"/>
            </a:rPr>
            <a:t>The forward price is the discounted expected future spot price of underlying.</a:t>
          </a:r>
        </a:p>
        <a:p>
          <a:endParaRPr lang="en-GB" sz="1100" b="0" i="0" u="none" strike="noStrike" kern="1200">
            <a:solidFill>
              <a:schemeClr val="dk1"/>
            </a:solidFill>
            <a:effectLst/>
            <a:latin typeface="+mn-lt"/>
            <a:ea typeface="+mn-ea"/>
            <a:cs typeface="+mn-cs"/>
          </a:endParaRPr>
        </a:p>
        <a:p>
          <a:r>
            <a:rPr lang="en-GB" sz="1100" kern="1200"/>
            <a:t>In forward contract,</a:t>
          </a:r>
          <a:r>
            <a:rPr lang="en-GB" sz="1100" kern="1200" baseline="0"/>
            <a:t> settlement only zt delivery date. Forward price is calculated once at initialization of contract (at t=0).</a:t>
          </a:r>
        </a:p>
        <a:p>
          <a:endParaRPr lang="en-GB" sz="1100" kern="1200"/>
        </a:p>
        <a:p>
          <a:r>
            <a:rPr lang="en-GB" sz="1100" kern="1200"/>
            <a:t>build tree of expected payoff of the contract to determin the forward price at time t=0. Once known,</a:t>
          </a:r>
          <a:r>
            <a:rPr lang="en-GB" sz="1100" kern="1200" baseline="0"/>
            <a:t> we may </a:t>
          </a:r>
          <a:endParaRPr lang="en-GB" sz="1100" kern="1200"/>
        </a:p>
      </xdr:txBody>
    </xdr:sp>
    <xdr:clientData/>
  </xdr:twoCellAnchor>
  <xdr:twoCellAnchor>
    <xdr:from>
      <xdr:col>0</xdr:col>
      <xdr:colOff>0</xdr:colOff>
      <xdr:row>67</xdr:row>
      <xdr:rowOff>0</xdr:rowOff>
    </xdr:from>
    <xdr:to>
      <xdr:col>2</xdr:col>
      <xdr:colOff>1473200</xdr:colOff>
      <xdr:row>73</xdr:row>
      <xdr:rowOff>111760</xdr:rowOff>
    </xdr:to>
    <xdr:sp macro="" textlink="">
      <xdr:nvSpPr>
        <xdr:cNvPr id="6" name="TextBox 5">
          <a:extLst>
            <a:ext uri="{FF2B5EF4-FFF2-40B4-BE49-F238E27FC236}">
              <a16:creationId xmlns:a16="http://schemas.microsoft.com/office/drawing/2014/main" id="{0DCD5BB1-79F0-A247-AA8A-54B6D1A2174A}"/>
            </a:ext>
          </a:extLst>
        </xdr:cNvPr>
        <xdr:cNvSpPr txBox="1"/>
      </xdr:nvSpPr>
      <xdr:spPr>
        <a:xfrm>
          <a:off x="0" y="10160000"/>
          <a:ext cx="3119120" cy="1330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u="sng" kern="1200"/>
            <a:t>Implementation check of Example 4</a:t>
          </a:r>
          <a:r>
            <a:rPr lang="en-GB" sz="1100" b="0" u="sng" kern="1200" baseline="0"/>
            <a:t> :</a:t>
          </a:r>
        </a:p>
        <a:p>
          <a:r>
            <a:rPr lang="en-GB" sz="1100" b="0" u="none" kern="1200" baseline="0"/>
            <a:t>To check that the forward price of example 4 was computed properly, we construct the lattice of the forward contract using the forward price calculated previously. The contract value today should be zero. </a:t>
          </a:r>
          <a:endParaRPr lang="en-GB" sz="1100" kern="1200" baseline="0"/>
        </a:p>
        <a:p>
          <a:endParaRPr lang="en-GB" sz="1100" kern="1200"/>
        </a:p>
      </xdr:txBody>
    </xdr:sp>
    <xdr:clientData/>
  </xdr:twoCellAnchor>
  <xdr:twoCellAnchor>
    <xdr:from>
      <xdr:col>0</xdr:col>
      <xdr:colOff>0</xdr:colOff>
      <xdr:row>77</xdr:row>
      <xdr:rowOff>0</xdr:rowOff>
    </xdr:from>
    <xdr:to>
      <xdr:col>2</xdr:col>
      <xdr:colOff>1442720</xdr:colOff>
      <xdr:row>84</xdr:row>
      <xdr:rowOff>132080</xdr:rowOff>
    </xdr:to>
    <xdr:sp macro="" textlink="">
      <xdr:nvSpPr>
        <xdr:cNvPr id="7" name="TextBox 6">
          <a:extLst>
            <a:ext uri="{FF2B5EF4-FFF2-40B4-BE49-F238E27FC236}">
              <a16:creationId xmlns:a16="http://schemas.microsoft.com/office/drawing/2014/main" id="{0F098C18-CA39-F04C-92AD-4CA8F02D2818}"/>
            </a:ext>
          </a:extLst>
        </xdr:cNvPr>
        <xdr:cNvSpPr txBox="1"/>
      </xdr:nvSpPr>
      <xdr:spPr>
        <a:xfrm>
          <a:off x="0" y="12425680"/>
          <a:ext cx="3088640" cy="1554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u="sng" kern="1200"/>
            <a:t>Example 5 (pricing</a:t>
          </a:r>
          <a:r>
            <a:rPr lang="en-GB" sz="1100" b="0" u="sng" kern="1200" baseline="0"/>
            <a:t> </a:t>
          </a:r>
          <a:r>
            <a:rPr lang="en-GB" sz="1100" b="0" u="sng" kern="1200"/>
            <a:t>futures contract on coupon paying bond </a:t>
          </a:r>
          <a:r>
            <a:rPr lang="en-GB" sz="1100" u="sng" kern="1200" baseline="0"/>
            <a:t>)</a:t>
          </a:r>
        </a:p>
        <a:p>
          <a:endParaRPr lang="en-GB" sz="1100" kern="1200" baseline="0"/>
        </a:p>
        <a:p>
          <a:r>
            <a:rPr lang="en-GB" sz="1100" kern="1200" baseline="0"/>
            <a:t>Similar to forwards price, but without actualization . </a:t>
          </a:r>
        </a:p>
        <a:p>
          <a:endParaRPr lang="en-GB" sz="1100" kern="1200" baseline="0"/>
        </a:p>
        <a:p>
          <a:r>
            <a:rPr lang="en-GB" sz="1100" kern="1200" baseline="0"/>
            <a:t>In futures constracts, settlement dailly such that MtM = 0. The price (ie: strike) of the contract is revaluated to make the contract value null. </a:t>
          </a:r>
        </a:p>
        <a:p>
          <a:endParaRPr lang="en-GB" sz="1100" kern="1200" baseline="0"/>
        </a:p>
        <a:p>
          <a:r>
            <a:rPr lang="en-GB" sz="1100" kern="1200" baseline="0"/>
            <a:t> </a:t>
          </a:r>
        </a:p>
        <a:p>
          <a:endParaRPr lang="en-GB" sz="1100" kern="1200" baseline="0"/>
        </a:p>
      </xdr:txBody>
    </xdr:sp>
    <xdr:clientData/>
  </xdr:twoCellAnchor>
  <xdr:twoCellAnchor>
    <xdr:from>
      <xdr:col>0</xdr:col>
      <xdr:colOff>0</xdr:colOff>
      <xdr:row>88</xdr:row>
      <xdr:rowOff>0</xdr:rowOff>
    </xdr:from>
    <xdr:to>
      <xdr:col>2</xdr:col>
      <xdr:colOff>1442720</xdr:colOff>
      <xdr:row>98</xdr:row>
      <xdr:rowOff>0</xdr:rowOff>
    </xdr:to>
    <xdr:sp macro="" textlink="">
      <xdr:nvSpPr>
        <xdr:cNvPr id="8" name="TextBox 7">
          <a:extLst>
            <a:ext uri="{FF2B5EF4-FFF2-40B4-BE49-F238E27FC236}">
              <a16:creationId xmlns:a16="http://schemas.microsoft.com/office/drawing/2014/main" id="{62F8BAA0-88DB-1242-B9F5-A38C1BDFE974}"/>
            </a:ext>
          </a:extLst>
        </xdr:cNvPr>
        <xdr:cNvSpPr txBox="1"/>
      </xdr:nvSpPr>
      <xdr:spPr>
        <a:xfrm>
          <a:off x="0" y="7752080"/>
          <a:ext cx="3088640" cy="203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u="sng" kern="1200"/>
            <a:t>Example 6 (Pricing caplet</a:t>
          </a:r>
          <a:r>
            <a:rPr lang="en-GB" sz="1100" u="sng" kern="1200" baseline="0"/>
            <a:t>)</a:t>
          </a:r>
        </a:p>
        <a:p>
          <a:endParaRPr lang="en-GB" sz="1100" kern="1200" baseline="0"/>
        </a:p>
        <a:p>
          <a:r>
            <a:rPr lang="en-GB" sz="1100" kern="1200" baseline="0"/>
            <a:t>Caplet = euro call on short rate.</a:t>
          </a:r>
        </a:p>
        <a:p>
          <a:endParaRPr lang="en-GB" sz="1100" kern="1200" baseline="0"/>
        </a:p>
        <a:p>
          <a:r>
            <a:rPr lang="en-GB" sz="1100" kern="1200" baseline="0"/>
            <a:t>although the payoff is at time 6, the exercise option is at time 5. At time 5 we know whether the option was exercised or not (if prevailling short rate &gt; strike, exercised).</a:t>
          </a:r>
        </a:p>
        <a:p>
          <a:endParaRPr lang="en-GB" sz="1100" kern="1200" baseline="0"/>
        </a:p>
        <a:p>
          <a:r>
            <a:rPr lang="en-GB" sz="1100" kern="1200" baseline="0"/>
            <a:t>In the tree, the notional is 100</a:t>
          </a:r>
        </a:p>
        <a:p>
          <a:r>
            <a:rPr lang="en-GB" sz="1100" kern="1200" baseline="0"/>
            <a:t> </a:t>
          </a:r>
        </a:p>
        <a:p>
          <a:endParaRPr lang="en-GB" sz="1100" kern="1200" baseline="0"/>
        </a:p>
      </xdr:txBody>
    </xdr:sp>
    <xdr:clientData/>
  </xdr:twoCellAnchor>
  <xdr:twoCellAnchor>
    <xdr:from>
      <xdr:col>0</xdr:col>
      <xdr:colOff>101600</xdr:colOff>
      <xdr:row>2</xdr:row>
      <xdr:rowOff>88900</xdr:rowOff>
    </xdr:from>
    <xdr:to>
      <xdr:col>3</xdr:col>
      <xdr:colOff>50800</xdr:colOff>
      <xdr:row>11</xdr:row>
      <xdr:rowOff>139700</xdr:rowOff>
    </xdr:to>
    <xdr:sp macro="" textlink="">
      <xdr:nvSpPr>
        <xdr:cNvPr id="11" name="TextBox 10">
          <a:extLst>
            <a:ext uri="{FF2B5EF4-FFF2-40B4-BE49-F238E27FC236}">
              <a16:creationId xmlns:a16="http://schemas.microsoft.com/office/drawing/2014/main" id="{507AB23D-857B-F3DC-1093-A0FF6151D5C9}"/>
            </a:ext>
          </a:extLst>
        </xdr:cNvPr>
        <xdr:cNvSpPr txBox="1"/>
      </xdr:nvSpPr>
      <xdr:spPr>
        <a:xfrm>
          <a:off x="101600" y="495300"/>
          <a:ext cx="3086100" cy="187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u="sng" kern="1200"/>
            <a:t>Introduction </a:t>
          </a:r>
          <a:r>
            <a:rPr lang="en-GB" sz="1100" kern="1200"/>
            <a:t>:</a:t>
          </a:r>
        </a:p>
        <a:p>
          <a:r>
            <a:rPr lang="en-GB" sz="1100" kern="1200"/>
            <a:t>Reproducing examples of lattice pricing given in columbia course presentation.  See source paper in</a:t>
          </a:r>
          <a:r>
            <a:rPr lang="en-GB" sz="1100" kern="1200" baseline="0"/>
            <a:t> cell A1.</a:t>
          </a:r>
          <a:endParaRPr lang="en-GB" sz="1100" kern="1200"/>
        </a:p>
        <a:p>
          <a:endParaRPr lang="en-GB" sz="1100" u="sng" kern="1200"/>
        </a:p>
        <a:p>
          <a:r>
            <a:rPr lang="en-GB" sz="1100" u="sng" kern="1200"/>
            <a:t>Instruments priced</a:t>
          </a:r>
          <a:r>
            <a:rPr lang="en-GB" sz="1100" kern="1200"/>
            <a:t>:</a:t>
          </a:r>
        </a:p>
        <a:p>
          <a:r>
            <a:rPr lang="en-GB" sz="1100" kern="1200"/>
            <a:t>- ZCB,</a:t>
          </a:r>
          <a:r>
            <a:rPr lang="en-GB" sz="1100" kern="1200" baseline="0"/>
            <a:t> coupon bonds, </a:t>
          </a:r>
        </a:p>
        <a:p>
          <a:r>
            <a:rPr lang="en-GB" sz="1100" kern="1200" baseline="0"/>
            <a:t>- futurs on coupon bond</a:t>
          </a:r>
        </a:p>
        <a:p>
          <a:r>
            <a:rPr lang="en-GB" sz="1100" kern="1200" baseline="0"/>
            <a:t>- forward on coupon bond</a:t>
          </a:r>
        </a:p>
        <a:p>
          <a:r>
            <a:rPr lang="en-GB" sz="1100" kern="1200" baseline="0"/>
            <a:t>- caplet</a:t>
          </a:r>
          <a:endParaRPr lang="en-GB"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columbia.edu/~mh2078/FoundationsFE/lattice_model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1A698-216C-654B-BE2F-9610522B0094}">
  <sheetPr codeName="Sheet3"/>
  <dimension ref="A13:Y90"/>
  <sheetViews>
    <sheetView tabSelected="1" zoomScale="85" workbookViewId="0">
      <selection activeCell="F19" sqref="F19"/>
    </sheetView>
  </sheetViews>
  <sheetFormatPr baseColWidth="10" defaultRowHeight="16"/>
  <cols>
    <col min="4" max="4" width="26" customWidth="1"/>
    <col min="6" max="6" width="23.5" customWidth="1"/>
    <col min="7" max="7" width="13.1640625" customWidth="1"/>
    <col min="15" max="15" width="13.6640625" customWidth="1"/>
    <col min="19" max="19" width="13.83203125" customWidth="1"/>
  </cols>
  <sheetData>
    <row r="13" spans="1:13" ht="17" thickBot="1"/>
    <row r="14" spans="1:13">
      <c r="A14" s="7" t="s">
        <v>6</v>
      </c>
      <c r="B14" s="8">
        <v>0.2</v>
      </c>
    </row>
    <row r="15" spans="1:13">
      <c r="A15" s="9" t="s">
        <v>28</v>
      </c>
      <c r="B15" s="10">
        <v>0.05</v>
      </c>
      <c r="F15" s="46" t="s">
        <v>30</v>
      </c>
    </row>
    <row r="16" spans="1:13">
      <c r="A16" s="9" t="s">
        <v>29</v>
      </c>
      <c r="B16" s="10">
        <v>0.05</v>
      </c>
      <c r="G16" s="3" t="s">
        <v>0</v>
      </c>
      <c r="H16" s="3">
        <v>0</v>
      </c>
      <c r="I16" s="3">
        <v>1</v>
      </c>
      <c r="J16" s="3">
        <v>2</v>
      </c>
      <c r="K16" s="3">
        <v>3</v>
      </c>
      <c r="L16" s="3">
        <v>4</v>
      </c>
      <c r="M16" s="3">
        <v>5</v>
      </c>
    </row>
    <row r="17" spans="1:13" ht="17" thickBot="1">
      <c r="A17" s="11" t="s">
        <v>3</v>
      </c>
      <c r="B17" s="12">
        <v>1</v>
      </c>
      <c r="G17" t="s">
        <v>24</v>
      </c>
      <c r="H17">
        <f>B15</f>
        <v>0.05</v>
      </c>
      <c r="I17">
        <f t="shared" ref="I17:M18" si="0">IF(H17=0,H16*EXP($B$16*$B$17-$B$14*SQRT($B$17)),H17*EXP($B$16*$B$17+$B$14*SQRT($B$17)))</f>
        <v>6.4201270834387078E-2</v>
      </c>
      <c r="J17">
        <f t="shared" si="0"/>
        <v>8.2436063535006404E-2</v>
      </c>
      <c r="K17">
        <f t="shared" si="0"/>
        <v>0.10585000083063373</v>
      </c>
      <c r="L17">
        <f t="shared" si="0"/>
        <v>0.13591409142295224</v>
      </c>
      <c r="M17">
        <f t="shared" si="0"/>
        <v>0.17451714787309203</v>
      </c>
    </row>
    <row r="18" spans="1:13">
      <c r="I18">
        <f t="shared" si="0"/>
        <v>4.3035398821252895E-2</v>
      </c>
      <c r="J18">
        <f t="shared" si="0"/>
        <v>5.5258545903782381E-2</v>
      </c>
      <c r="K18">
        <f t="shared" si="0"/>
        <v>7.0953377429662859E-2</v>
      </c>
      <c r="L18">
        <f t="shared" si="0"/>
        <v>9.1105940019525433E-2</v>
      </c>
      <c r="M18">
        <f t="shared" si="0"/>
        <v>0.11698234259629951</v>
      </c>
    </row>
    <row r="19" spans="1:13">
      <c r="J19">
        <f>IF(I19=0,I18*EXP($B$16*$B$17-$B$14*SQRT($B$17)),I19*EXP($B$16*$B$17+$B$14*SQRT($B$17)))</f>
        <v>3.7040911034085897E-2</v>
      </c>
      <c r="K19">
        <f>IF(J19=0,J18*EXP($B$16*$B$17-$B$14*SQRT($B$17)),J19*EXP($B$16*$B$17+$B$14*SQRT($B$17)))</f>
        <v>4.7561471225035699E-2</v>
      </c>
      <c r="L19">
        <f>IF(K19=0,K18*EXP($B$16*$B$17-$B$14*SQRT($B$17)),K19*EXP($B$16*$B$17+$B$14*SQRT($B$17)))</f>
        <v>6.1070137908008484E-2</v>
      </c>
      <c r="M19">
        <f>IF(L19=0,L18*EXP($B$16*$B$17-$B$14*SQRT($B$17)),L19*EXP($B$16*$B$17+$B$14*SQRT($B$17)))</f>
        <v>7.8415609274508427E-2</v>
      </c>
    </row>
    <row r="20" spans="1:13">
      <c r="K20">
        <f>IF(J20=0,J19*EXP($B$16*$B$17-$B$14*SQRT($B$17)),J20*EXP($B$16*$B$17+$B$14*SQRT($B$17)))</f>
        <v>3.1881407581088671E-2</v>
      </c>
      <c r="L20">
        <f>IF(K20=0,K19*EXP($B$16*$B$17-$B$14*SQRT($B$17)),K20*EXP($B$16*$B$17+$B$14*SQRT($B$17)))</f>
        <v>4.0936537653899097E-2</v>
      </c>
      <c r="M20">
        <f>IF(L20=0,L19*EXP($B$16*$B$17-$B$14*SQRT($B$17)),L20*EXP($B$16*$B$17+$B$14*SQRT($B$17)))</f>
        <v>5.2563554818801206E-2</v>
      </c>
    </row>
    <row r="21" spans="1:13">
      <c r="L21">
        <f>IF(K21=0,K20*EXP($B$16*$B$17-$B$14*SQRT($B$17)),K21*EXP($B$16*$B$17+$B$14*SQRT($B$17)))</f>
        <v>2.7440581804701328E-2</v>
      </c>
      <c r="M21">
        <f>IF(L21=0,L20*EXP($B$16*$B$17-$B$14*SQRT($B$17)),L21*EXP($B$16*$B$17+$B$14*SQRT($B$17)))</f>
        <v>3.5234404485935678E-2</v>
      </c>
    </row>
    <row r="22" spans="1:13">
      <c r="M22">
        <f>IF(L22=0,L21*EXP($B$16*$B$17-$B$14*SQRT($B$17)),L22*EXP($B$16*$B$17+$B$14*SQRT($B$17)))</f>
        <v>2.361832763705074E-2</v>
      </c>
    </row>
    <row r="25" spans="1:13">
      <c r="F25" s="46" t="s">
        <v>32</v>
      </c>
    </row>
    <row r="26" spans="1:13">
      <c r="G26" s="3" t="s">
        <v>0</v>
      </c>
      <c r="H26" s="3">
        <v>0</v>
      </c>
      <c r="I26" s="3">
        <v>1</v>
      </c>
      <c r="J26" s="3">
        <v>2</v>
      </c>
      <c r="K26" s="3">
        <v>3</v>
      </c>
      <c r="L26" s="3">
        <v>4</v>
      </c>
      <c r="M26" s="3">
        <v>5</v>
      </c>
    </row>
    <row r="27" spans="1:13">
      <c r="G27" t="s">
        <v>31</v>
      </c>
      <c r="H27">
        <f>EXP(-H17)</f>
        <v>0.95122942450071402</v>
      </c>
      <c r="I27">
        <f t="shared" ref="I27:L27" si="1">EXP(-I17)</f>
        <v>0.93781622547980736</v>
      </c>
      <c r="J27">
        <f t="shared" si="1"/>
        <v>0.92087031316718637</v>
      </c>
      <c r="K27">
        <f t="shared" si="1"/>
        <v>0.89955957114496421</v>
      </c>
      <c r="L27">
        <f t="shared" si="1"/>
        <v>0.87291762037826837</v>
      </c>
    </row>
    <row r="28" spans="1:13">
      <c r="I28">
        <f t="shared" ref="I28:L28" si="2">EXP(-I18)</f>
        <v>0.9578774817331186</v>
      </c>
      <c r="J28">
        <f t="shared" si="2"/>
        <v>0.94624046972712916</v>
      </c>
      <c r="K28">
        <f t="shared" si="2"/>
        <v>0.93150532028753252</v>
      </c>
      <c r="L28">
        <f t="shared" si="2"/>
        <v>0.91292099090849543</v>
      </c>
    </row>
    <row r="29" spans="1:13">
      <c r="J29">
        <f t="shared" ref="J29:L29" si="3">EXP(-J19)</f>
        <v>0.96363671116827987</v>
      </c>
      <c r="K29">
        <f t="shared" si="3"/>
        <v>0.95355185533030851</v>
      </c>
      <c r="L29">
        <f t="shared" si="3"/>
        <v>0.94075725471622018</v>
      </c>
    </row>
    <row r="30" spans="1:13">
      <c r="K30">
        <f t="shared" ref="K30:L30" si="4">EXP(-K20)</f>
        <v>0.96862144642838377</v>
      </c>
      <c r="L30">
        <f t="shared" si="4"/>
        <v>0.95989004488912344</v>
      </c>
    </row>
    <row r="31" spans="1:13">
      <c r="L31">
        <f t="shared" ref="L31" si="5">EXP(-L21)</f>
        <v>0.97293249072875476</v>
      </c>
    </row>
    <row r="36" spans="4:21" ht="18" thickBot="1">
      <c r="F36" s="47" t="s">
        <v>43</v>
      </c>
    </row>
    <row r="37" spans="4:21" ht="17" thickBot="1">
      <c r="G37" s="3" t="s">
        <v>0</v>
      </c>
      <c r="H37" s="3">
        <v>0</v>
      </c>
      <c r="I37" s="3">
        <v>1</v>
      </c>
      <c r="J37" s="3">
        <v>2</v>
      </c>
      <c r="K37" s="3">
        <v>3</v>
      </c>
      <c r="L37" s="3">
        <v>4</v>
      </c>
      <c r="M37" s="3">
        <v>5</v>
      </c>
      <c r="O37" s="36" t="s">
        <v>34</v>
      </c>
      <c r="P37" s="37" t="s">
        <v>35</v>
      </c>
      <c r="S37" s="38" t="s">
        <v>34</v>
      </c>
      <c r="T37" s="39" t="s">
        <v>35</v>
      </c>
      <c r="U37" s="39" t="s">
        <v>38</v>
      </c>
    </row>
    <row r="38" spans="4:21" ht="17" thickBot="1">
      <c r="D38" s="27" t="s">
        <v>34</v>
      </c>
      <c r="E38" s="3">
        <v>5</v>
      </c>
      <c r="G38" t="s">
        <v>37</v>
      </c>
      <c r="H38">
        <f t="shared" ref="H38:M38" si="6">IF($E$38=H$37, 1, 0.5*(I38+I39)*H27)</f>
        <v>0.75075122439707176</v>
      </c>
      <c r="I38">
        <f t="shared" si="6"/>
        <v>0.75239163730967806</v>
      </c>
      <c r="J38">
        <f t="shared" si="6"/>
        <v>0.76735648100899956</v>
      </c>
      <c r="K38">
        <f t="shared" si="6"/>
        <v>0.80323410765161984</v>
      </c>
      <c r="L38">
        <f t="shared" si="6"/>
        <v>0.87291762037826837</v>
      </c>
      <c r="M38">
        <f t="shared" si="6"/>
        <v>1</v>
      </c>
      <c r="O38">
        <f>E38</f>
        <v>5</v>
      </c>
      <c r="P38">
        <f>E39</f>
        <v>0.75075122439707176</v>
      </c>
      <c r="S38" s="7">
        <v>1</v>
      </c>
      <c r="T38" s="40">
        <f>P40</f>
        <v>0.95122942450071402</v>
      </c>
      <c r="U38" s="41">
        <f>-1/S38*LN(T38)</f>
        <v>4.9999999999999996E-2</v>
      </c>
    </row>
    <row r="39" spans="4:21" ht="17" thickBot="1">
      <c r="D39" s="28" t="s">
        <v>33</v>
      </c>
      <c r="E39" s="29">
        <f>H38</f>
        <v>0.75075122439707176</v>
      </c>
      <c r="I39">
        <f>IF($E$38=I$37, 1, 0.5*(J39+J40)*I28)</f>
        <v>0.82609448824542608</v>
      </c>
      <c r="J39">
        <f>IF($E$38=J$37, 1, 0.5*(K39+K40)*J28)</f>
        <v>0.83720444866512278</v>
      </c>
      <c r="K39">
        <f>IF($E$38=K$37, 1, 0.5*(L39+L40)*K28)</f>
        <v>0.86335557395034102</v>
      </c>
      <c r="L39">
        <f>IF($E$38=L$37, 1, 0.5*(M39+M40)*L28)</f>
        <v>0.91292099090849543</v>
      </c>
      <c r="M39">
        <f>IF($E$38=M$37, 1, 0.5*(N39+N40)*M28)</f>
        <v>1</v>
      </c>
      <c r="O39" s="31">
        <v>0</v>
      </c>
      <c r="P39" s="32">
        <f t="dataTable" ref="P39:P44" dt2D="0" dtr="0" r1="E38"/>
        <v>1</v>
      </c>
      <c r="S39" s="9">
        <v>2</v>
      </c>
      <c r="T39">
        <f t="shared" ref="T39:T42" si="7">P41</f>
        <v>0.90161981707088834</v>
      </c>
      <c r="U39" s="42">
        <f>-1/S39*LN(T39)</f>
        <v>5.1781168302917582E-2</v>
      </c>
    </row>
    <row r="40" spans="4:21">
      <c r="J40">
        <f>IF($E$38=J$37, 1, 0.5*(K40+K41)*J29)</f>
        <v>0.88763928970264161</v>
      </c>
      <c r="K40">
        <f>IF($E$38=K$37, 1, 0.5*(L40+L41)*K29)</f>
        <v>0.90618287943360809</v>
      </c>
      <c r="L40">
        <f>IF($E$38=L$37, 1, 0.5*(M40+M41)*L29)</f>
        <v>0.94075725471622018</v>
      </c>
      <c r="M40">
        <f>IF($E$38=M$37, 1, 0.5*(N40+N41)*M29)</f>
        <v>1</v>
      </c>
      <c r="O40" s="33">
        <v>1</v>
      </c>
      <c r="P40" s="34">
        <v>0.95122942450071402</v>
      </c>
      <c r="S40" s="9">
        <v>3</v>
      </c>
      <c r="T40">
        <f t="shared" si="7"/>
        <v>0.85145381238122819</v>
      </c>
      <c r="U40" s="42">
        <f t="shared" ref="U40:U42" si="8">-1/S40*LN(T40)</f>
        <v>5.3603341001092444E-2</v>
      </c>
    </row>
    <row r="41" spans="4:21">
      <c r="K41">
        <f>IF($E$38=K$37, 1, 0.5*(L41+L42)*K30)</f>
        <v>0.93608668006978279</v>
      </c>
      <c r="L41">
        <f>IF($E$38=L$37, 1, 0.5*(M41+M42)*L30)</f>
        <v>0.95989004488912344</v>
      </c>
      <c r="M41">
        <f>IF($E$38=M$37, 1, 0.5*(N41+N42)*M30)</f>
        <v>1</v>
      </c>
      <c r="O41" s="33">
        <v>2</v>
      </c>
      <c r="P41" s="34">
        <v>0.90161981707088834</v>
      </c>
      <c r="S41" s="9">
        <v>4</v>
      </c>
      <c r="T41">
        <f t="shared" si="7"/>
        <v>0.80104893099396335</v>
      </c>
      <c r="U41" s="42">
        <f t="shared" si="8"/>
        <v>5.5458311599077721E-2</v>
      </c>
    </row>
    <row r="42" spans="4:21" ht="17" thickBot="1">
      <c r="L42">
        <f>IF($E$38=L$37, 1, 0.5*(M42+M43)*L31)</f>
        <v>0.97293249072875476</v>
      </c>
      <c r="M42">
        <f>IF($E$38=M$37, 1, 0.5*(N42+N43)*M31)</f>
        <v>1</v>
      </c>
      <c r="O42" s="33">
        <v>3</v>
      </c>
      <c r="P42" s="34">
        <v>0.85145381238122819</v>
      </c>
      <c r="S42" s="11">
        <v>5</v>
      </c>
      <c r="T42" s="21">
        <f t="shared" si="7"/>
        <v>0.75075122439707176</v>
      </c>
      <c r="U42" s="43">
        <f t="shared" si="8"/>
        <v>5.7336188244299369E-2</v>
      </c>
    </row>
    <row r="43" spans="4:21">
      <c r="M43">
        <f>IF($E$38=M$37, 1, 0.5*(N43+N44)*M32)</f>
        <v>1</v>
      </c>
      <c r="O43" s="33">
        <v>4</v>
      </c>
      <c r="P43" s="34">
        <v>0.80104893099396335</v>
      </c>
    </row>
    <row r="44" spans="4:21" ht="17" thickBot="1">
      <c r="O44" s="35">
        <v>5</v>
      </c>
      <c r="P44" s="12">
        <v>0.75075122439707176</v>
      </c>
    </row>
    <row r="49" spans="4:25">
      <c r="H49" s="44" t="s">
        <v>34</v>
      </c>
      <c r="I49" s="13">
        <v>1</v>
      </c>
      <c r="J49" s="13">
        <v>2</v>
      </c>
      <c r="K49" s="13">
        <v>3</v>
      </c>
      <c r="L49" s="13">
        <v>4</v>
      </c>
      <c r="M49" s="13">
        <v>5</v>
      </c>
    </row>
    <row r="50" spans="4:25">
      <c r="H50" s="44" t="s">
        <v>35</v>
      </c>
      <c r="I50" s="45">
        <f>T38</f>
        <v>0.95122942450071402</v>
      </c>
      <c r="J50" s="45">
        <f>T39</f>
        <v>0.90161981707088834</v>
      </c>
      <c r="K50" s="45">
        <f>T40</f>
        <v>0.85145381238122819</v>
      </c>
      <c r="L50" s="45">
        <f>T41</f>
        <v>0.80104893099396335</v>
      </c>
      <c r="M50" s="45">
        <f>T42</f>
        <v>0.75075122439707176</v>
      </c>
    </row>
    <row r="51" spans="4:25">
      <c r="D51" s="26" t="s">
        <v>34</v>
      </c>
      <c r="E51" s="30">
        <v>5</v>
      </c>
    </row>
    <row r="52" spans="4:25">
      <c r="D52" s="30" t="s">
        <v>42</v>
      </c>
      <c r="E52" s="30">
        <v>0.04</v>
      </c>
    </row>
    <row r="53" spans="4:25">
      <c r="D53" s="26" t="s">
        <v>41</v>
      </c>
      <c r="E53" s="13">
        <f>H56</f>
        <v>0.95102540174670946</v>
      </c>
    </row>
    <row r="54" spans="4:25" ht="17" thickBot="1">
      <c r="G54" s="48" t="s">
        <v>39</v>
      </c>
      <c r="H54" s="48">
        <f t="shared" ref="H54:M54" si="9">IF($E$51&gt;=H55, $E$52, 0)</f>
        <v>0.04</v>
      </c>
      <c r="I54" s="48">
        <f t="shared" si="9"/>
        <v>0.04</v>
      </c>
      <c r="J54" s="48">
        <f t="shared" si="9"/>
        <v>0.04</v>
      </c>
      <c r="K54" s="48">
        <f t="shared" si="9"/>
        <v>0.04</v>
      </c>
      <c r="L54" s="48">
        <f t="shared" si="9"/>
        <v>0.04</v>
      </c>
      <c r="M54" s="48">
        <f t="shared" si="9"/>
        <v>0.04</v>
      </c>
    </row>
    <row r="55" spans="4:25" ht="17" thickBot="1">
      <c r="G55" s="3" t="s">
        <v>0</v>
      </c>
      <c r="H55" s="3">
        <v>0</v>
      </c>
      <c r="I55" s="3">
        <v>1</v>
      </c>
      <c r="J55" s="3">
        <v>2</v>
      </c>
      <c r="K55" s="3">
        <v>3</v>
      </c>
      <c r="L55" s="3">
        <v>4</v>
      </c>
      <c r="M55" s="3">
        <v>5</v>
      </c>
      <c r="O55" s="36" t="s">
        <v>34</v>
      </c>
      <c r="P55" s="37" t="s">
        <v>35</v>
      </c>
      <c r="S55" s="3" t="s">
        <v>34</v>
      </c>
      <c r="T55">
        <f>E51</f>
        <v>5</v>
      </c>
      <c r="U55" s="3">
        <v>1</v>
      </c>
      <c r="V55" s="3">
        <v>2</v>
      </c>
      <c r="W55" s="3">
        <v>3</v>
      </c>
      <c r="X55" s="3">
        <v>4</v>
      </c>
      <c r="Y55" s="3">
        <v>5</v>
      </c>
    </row>
    <row r="56" spans="4:25">
      <c r="F56" s="46" t="s">
        <v>40</v>
      </c>
      <c r="H56">
        <f t="shared" ref="H56:M56" si="10">IF($E$51=H$55,1+H$54,(0.5*(I56+I57)+H$54)*H27)</f>
        <v>0.95102540174670946</v>
      </c>
      <c r="I56">
        <f t="shared" si="10"/>
        <v>0.91765695092509525</v>
      </c>
      <c r="J56">
        <f t="shared" si="10"/>
        <v>0.8993032780164647</v>
      </c>
      <c r="K56">
        <f t="shared" si="10"/>
        <v>0.90347521910954798</v>
      </c>
      <c r="L56">
        <f t="shared" si="10"/>
        <v>0.94275103000852989</v>
      </c>
      <c r="M56">
        <f t="shared" si="10"/>
        <v>1.04</v>
      </c>
      <c r="O56">
        <f>E51</f>
        <v>5</v>
      </c>
      <c r="P56">
        <f>H56</f>
        <v>0.95102540174670946</v>
      </c>
      <c r="S56" s="26" t="s">
        <v>41</v>
      </c>
      <c r="T56">
        <f>H56</f>
        <v>0.95102540174670946</v>
      </c>
      <c r="U56">
        <f t="dataTable" ref="U56:Y56" dt2D="0" dtr="1" r1="T55" ca="1"/>
        <v>0.95102540174670946</v>
      </c>
      <c r="V56">
        <v>0.95102540174670946</v>
      </c>
      <c r="W56">
        <v>0.95102540174670946</v>
      </c>
      <c r="X56">
        <v>0.95102540174670946</v>
      </c>
      <c r="Y56">
        <v>0.95102540174670946</v>
      </c>
    </row>
    <row r="57" spans="4:25">
      <c r="I57">
        <f>IF($E$51=I$55,1+I$54,(0.5*(J57+J58)+I$54)*I28)</f>
        <v>1.0019140826263286</v>
      </c>
      <c r="J57">
        <f>IF($E$51=J$55,1+J$54,(0.5*(K57+K58)+J$54)*J28)</f>
        <v>0.9777047710938005</v>
      </c>
      <c r="K57">
        <f>IF($E$51=K$55,1+K$54,(0.5*(L57+L58)+K$54)*K28)</f>
        <v>0.96968423267786974</v>
      </c>
      <c r="L57">
        <f>IF($E$51=L$55,1+L$54,(0.5*(M57+M58)+L$54)*L28)</f>
        <v>0.98595467018117511</v>
      </c>
      <c r="M57">
        <f>IF($E$51=M$55,1+M$54,(0.5*(N57+N58)+M$54)*M28)</f>
        <v>1.04</v>
      </c>
      <c r="O57" s="33">
        <v>1</v>
      </c>
      <c r="P57" s="34">
        <f t="dataTable" ref="P57:P61" dt2D="0" dtr="0" r1="E51"/>
        <v>1.0273277784607713</v>
      </c>
    </row>
    <row r="58" spans="4:25">
      <c r="J58">
        <f>IF($E$51=J$55,1+J$54,(0.5*(K58+K59)+J$54)*J29)</f>
        <v>1.0342414365016286</v>
      </c>
      <c r="K58">
        <f>IF($E$51=K$55,1+K$54,(0.5*(L58+L59)+K$54)*K29)</f>
        <v>1.0168195840015093</v>
      </c>
      <c r="L58">
        <f>IF($E$51=L$55,1+L$54,(0.5*(M58+M59)+L$54)*L29)</f>
        <v>1.0160178350935178</v>
      </c>
      <c r="M58">
        <f>IF($E$51=M$55,1+M$54,(0.5*(N58+N59)+M$54)*M29)</f>
        <v>1.04</v>
      </c>
      <c r="O58" s="33">
        <v>2</v>
      </c>
      <c r="P58" s="34">
        <v>1.011798579416588</v>
      </c>
    </row>
    <row r="59" spans="4:25">
      <c r="K59">
        <f>IF($E$51=K$55,1+K$54,(0.5*(L59+L60)+K$54)*K30)</f>
        <v>1.0497184723325008</v>
      </c>
      <c r="L59">
        <f>IF($E$51=L$55,1+L$54,(0.5*(M59+M60)+L$54)*L30)</f>
        <v>1.0366812484802534</v>
      </c>
      <c r="M59">
        <f>IF($E$51=M$55,1+M$54,(0.5*(N59+N60)+M$54)*M30)</f>
        <v>1.04</v>
      </c>
      <c r="O59" s="33">
        <v>3</v>
      </c>
      <c r="P59" s="34">
        <v>0.99368408703459066</v>
      </c>
    </row>
    <row r="60" spans="4:25">
      <c r="L60">
        <f>IF($E$51=L$55,1+L$54,(0.5*(M60+M61)+L$54)*L31)</f>
        <v>1.0507670899870551</v>
      </c>
      <c r="M60">
        <f>IF($E$51=M$55,1+M$54,(0.5*(N60+N61)+M$54)*M31)</f>
        <v>1.04</v>
      </c>
      <c r="O60" s="33">
        <v>4</v>
      </c>
      <c r="P60" s="34">
        <v>0.97330496763159391</v>
      </c>
    </row>
    <row r="61" spans="4:25" ht="17" thickBot="1">
      <c r="M61">
        <f>IF($E$51=M$55,1+M$54,(0.5*(N61+N62)+M$54)*M32)</f>
        <v>1.04</v>
      </c>
      <c r="O61" s="35">
        <v>5</v>
      </c>
      <c r="P61" s="12">
        <v>0.95102540174670946</v>
      </c>
    </row>
    <row r="71" spans="4:21">
      <c r="O71" s="49" t="s">
        <v>47</v>
      </c>
      <c r="P71" s="49" t="str">
        <f t="shared" ref="P71:U71" si="11">H74</f>
        <v/>
      </c>
      <c r="Q71" s="49">
        <f t="shared" si="11"/>
        <v>1</v>
      </c>
      <c r="R71" s="49">
        <f t="shared" si="11"/>
        <v>1</v>
      </c>
      <c r="S71" s="49">
        <f t="shared" si="11"/>
        <v>1</v>
      </c>
      <c r="T71" s="49">
        <f t="shared" si="11"/>
        <v>1</v>
      </c>
      <c r="U71" s="49" t="str">
        <f t="shared" si="11"/>
        <v/>
      </c>
    </row>
    <row r="72" spans="4:21">
      <c r="O72" s="3" t="s">
        <v>0</v>
      </c>
      <c r="P72" s="3">
        <v>0</v>
      </c>
      <c r="Q72" s="3">
        <v>1</v>
      </c>
      <c r="R72" s="3">
        <v>2</v>
      </c>
      <c r="S72" s="3">
        <v>3</v>
      </c>
      <c r="T72" s="3">
        <v>4</v>
      </c>
      <c r="U72" s="3">
        <v>5</v>
      </c>
    </row>
    <row r="73" spans="4:21">
      <c r="O73" t="s">
        <v>52</v>
      </c>
      <c r="P73" t="b">
        <f t="shared" ref="P73:U73" si="12">IF(P$71&lt;&gt;"",(H56-P$71)=H76,FALSE)</f>
        <v>0</v>
      </c>
      <c r="Q73" t="b">
        <f t="shared" si="12"/>
        <v>0</v>
      </c>
      <c r="R73" t="b">
        <f t="shared" si="12"/>
        <v>0</v>
      </c>
      <c r="S73" t="b">
        <f t="shared" si="12"/>
        <v>0</v>
      </c>
      <c r="T73" t="b">
        <f t="shared" si="12"/>
        <v>0</v>
      </c>
      <c r="U73" t="b">
        <f t="shared" si="12"/>
        <v>0</v>
      </c>
    </row>
    <row r="74" spans="4:21" ht="34">
      <c r="D74" s="50" t="s">
        <v>51</v>
      </c>
      <c r="E74" s="30">
        <v>4</v>
      </c>
      <c r="G74" s="49" t="s">
        <v>47</v>
      </c>
      <c r="H74" s="49" t="str">
        <f t="shared" ref="H74:M74" si="13">IF(AND(H75&gt;=$E$77, H75&lt;$E$74+1), $E$76, "")</f>
        <v/>
      </c>
      <c r="I74" s="49">
        <f t="shared" si="13"/>
        <v>1</v>
      </c>
      <c r="J74" s="49">
        <f t="shared" si="13"/>
        <v>1</v>
      </c>
      <c r="K74" s="49">
        <f t="shared" si="13"/>
        <v>1</v>
      </c>
      <c r="L74" s="49">
        <f t="shared" si="13"/>
        <v>1</v>
      </c>
      <c r="M74" s="49" t="str">
        <f t="shared" si="13"/>
        <v/>
      </c>
      <c r="Q74" t="b">
        <f>IF(Q$71&lt;&gt;"",(I57-Q$71)=I77,FALSE)</f>
        <v>0</v>
      </c>
      <c r="R74" t="b">
        <f>IF(R$71&lt;&gt;"",(J57-R$71)=J77,FALSE)</f>
        <v>0</v>
      </c>
      <c r="S74" t="b">
        <f>IF(S$71&lt;&gt;"",(K57-S$71)=K77,FALSE)</f>
        <v>0</v>
      </c>
      <c r="T74" t="b">
        <f>IF(T$71&lt;&gt;"",(L57-T$71)=L77,FALSE)</f>
        <v>0</v>
      </c>
      <c r="U74" t="b">
        <f>IF(U$71&lt;&gt;"",(M57-U$71)=M77,FALSE)</f>
        <v>0</v>
      </c>
    </row>
    <row r="75" spans="4:21">
      <c r="D75" s="26" t="s">
        <v>41</v>
      </c>
      <c r="E75" s="13">
        <f>E53</f>
        <v>0.95102540174670946</v>
      </c>
      <c r="G75" s="3" t="s">
        <v>0</v>
      </c>
      <c r="H75" s="3">
        <v>0</v>
      </c>
      <c r="I75" s="3">
        <v>1</v>
      </c>
      <c r="J75" s="3">
        <v>2</v>
      </c>
      <c r="K75" s="3">
        <v>3</v>
      </c>
      <c r="L75" s="3">
        <v>4</v>
      </c>
      <c r="M75" s="3">
        <v>5</v>
      </c>
      <c r="R75" t="b">
        <f>IF(R$71&lt;&gt;"",(J58-R$71)=J78,FALSE)</f>
        <v>0</v>
      </c>
      <c r="S75" t="b">
        <f>IF(S$71&lt;&gt;"",(K58-S$71)=K78,FALSE)</f>
        <v>0</v>
      </c>
      <c r="T75" t="b">
        <f>IF(T$71&lt;&gt;"",(L58-T$71)=L78,FALSE)</f>
        <v>1</v>
      </c>
      <c r="U75" t="b">
        <f>IF(U$71&lt;&gt;"",(M58-U$71)=M78,FALSE)</f>
        <v>0</v>
      </c>
    </row>
    <row r="76" spans="4:21">
      <c r="D76" t="s">
        <v>48</v>
      </c>
      <c r="E76">
        <v>1</v>
      </c>
      <c r="F76" s="46" t="s">
        <v>44</v>
      </c>
      <c r="G76" t="s">
        <v>50</v>
      </c>
      <c r="H76">
        <f>IF(H$74&lt;&gt;"",MAX(MAX(H56-H$74,0),0.5*(I76+I77)*H27),0.5*(I76+I77)*H27)</f>
        <v>1.5930663184135403E-2</v>
      </c>
      <c r="I76">
        <f>IF(I$74&lt;&gt;"",MAX(MAX(I56-I$74,0),0.5*(J76+J77)*I27),0.5*(J76+J77)*I27)</f>
        <v>8.8399049080791665E-3</v>
      </c>
      <c r="J76">
        <f>IF(J$74&lt;&gt;"",MAX(MAX(J56-J$74,0),0.5*(K76+K77)*J27),0.5*(K76+K77)*J27)</f>
        <v>3.435007100208829E-3</v>
      </c>
      <c r="K76">
        <f>IF(K$74&lt;&gt;"",MAX(MAX(K56-K$74,0),0.5*(L76+L77)*K27),0.5*(L76+L77)*K27)</f>
        <v>0</v>
      </c>
      <c r="L76">
        <f>IF(L$74&lt;&gt;"",MAX(MAX(L56-L$74,0),0.5*(M76+M77)*L27),0.5*(M76+M77)*L27)</f>
        <v>0</v>
      </c>
      <c r="M76">
        <f t="shared" ref="M76:M81" si="14">IF(M$74&lt;&gt;"",MAX(MAX(M56-M$74,0),0.5*(N73+N74))*M27,0.5*(N73+N74)*M27)</f>
        <v>0</v>
      </c>
      <c r="S76" t="b">
        <f>IF(S$71&lt;&gt;"",(K59-S$71)=K79,FALSE)</f>
        <v>1</v>
      </c>
      <c r="T76" t="b">
        <f>IF(T$71&lt;&gt;"",(L59-T$71)=L79,FALSE)</f>
        <v>1</v>
      </c>
      <c r="U76" t="b">
        <f>IF(U$71&lt;&gt;"",(M59-U$71)=M79,FALSE)</f>
        <v>0</v>
      </c>
    </row>
    <row r="77" spans="4:21">
      <c r="D77" t="s">
        <v>49</v>
      </c>
      <c r="E77">
        <v>1</v>
      </c>
      <c r="I77">
        <f>IF(I$74&lt;&gt;"",MAX(MAX(I57-I$74,0),0.5*(J77+J78)*I28),0.5*(J77+J78)*I28)</f>
        <v>2.4654986595087209E-2</v>
      </c>
      <c r="J77">
        <f>IF(J$74&lt;&gt;"",MAX(MAX(J57-J$74,0),0.5*(K77+K78)*J28),0.5*(K77+K78)*J28)</f>
        <v>1.5417097753397169E-2</v>
      </c>
      <c r="K77">
        <f>IF(K$74&lt;&gt;"",MAX(MAX(K57-K$74,0),0.5*(L77+L78)*K28),0.5*(L77+L78)*K28)</f>
        <v>7.4603493045501072E-3</v>
      </c>
      <c r="L77">
        <f>IF(L$74&lt;&gt;"",MAX(MAX(L57-L$74,0),0.5*(M77+M78)*L28),0.5*(M77+M78)*L28)</f>
        <v>0</v>
      </c>
      <c r="M77">
        <f t="shared" si="14"/>
        <v>0</v>
      </c>
      <c r="T77" t="b">
        <f>IF(T$71&lt;&gt;"",(L60-T$71)=L80,FALSE)</f>
        <v>1</v>
      </c>
      <c r="U77" t="b">
        <f>IF(U$71&lt;&gt;"",(M60-U$71)=M80,FALSE)</f>
        <v>0</v>
      </c>
    </row>
    <row r="78" spans="4:21">
      <c r="D78" s="3" t="s">
        <v>46</v>
      </c>
      <c r="E78">
        <f>H76</f>
        <v>1.5930663184135403E-2</v>
      </c>
      <c r="J78">
        <f>IF(J$74&lt;&gt;"",MAX(MAX(J58-J$74,0),0.5*(K78+K79)*J29),0.5*(K78+K79)*J29)</f>
        <v>3.6061274095324336E-2</v>
      </c>
      <c r="K78">
        <f>IF(K$74&lt;&gt;"",MAX(MAX(K58-K$74,0),0.5*(L78+L79)*K29),0.5*(L78+L79)*K29)</f>
        <v>2.5125654457988297E-2</v>
      </c>
      <c r="L78">
        <f>IF(L$74&lt;&gt;"",MAX(MAX(L58-L$74,0),0.5*(M78+M79)*L29),0.5*(M78+M79)*L29)</f>
        <v>1.601783509351784E-2</v>
      </c>
      <c r="M78">
        <f t="shared" si="14"/>
        <v>0</v>
      </c>
      <c r="U78" t="b">
        <f>IF(U$71&lt;&gt;"",(M61-U$71)=M81,FALSE)</f>
        <v>0</v>
      </c>
    </row>
    <row r="79" spans="4:21">
      <c r="D79" s="3" t="s">
        <v>45</v>
      </c>
      <c r="E79">
        <f>E75-E78</f>
        <v>0.93509473856257408</v>
      </c>
      <c r="K79">
        <f>IF(K$74&lt;&gt;"",MAX(MAX(K59-K$74,0),0.5*(L79+L80)*K30),0.5*(L79+L80)*K30)</f>
        <v>4.9718472332500818E-2</v>
      </c>
      <c r="L79">
        <f>IF(L$74&lt;&gt;"",MAX(MAX(L59-L$74,0),0.5*(M79+M80)*L30),0.5*(M79+M80)*L30)</f>
        <v>3.6681248480253448E-2</v>
      </c>
      <c r="M79">
        <f t="shared" si="14"/>
        <v>0</v>
      </c>
    </row>
    <row r="80" spans="4:21">
      <c r="L80">
        <f>IF(L$74&lt;&gt;"",MAX(MAX(L60-L$74,0),0.5*(M80+M81)*L31),0.5*(M80+M81)*L31)</f>
        <v>5.0767089987055147E-2</v>
      </c>
      <c r="M80">
        <f t="shared" si="14"/>
        <v>0</v>
      </c>
    </row>
    <row r="81" spans="7:13">
      <c r="M81">
        <f t="shared" si="14"/>
        <v>0</v>
      </c>
    </row>
    <row r="84" spans="7:13">
      <c r="G84" s="3" t="s">
        <v>0</v>
      </c>
      <c r="H84" s="3">
        <v>0</v>
      </c>
      <c r="I84" s="3">
        <v>1</v>
      </c>
      <c r="J84" s="3">
        <v>2</v>
      </c>
      <c r="K84" s="3">
        <v>3</v>
      </c>
      <c r="L84" s="3">
        <v>4</v>
      </c>
      <c r="M84" s="3">
        <v>5</v>
      </c>
    </row>
    <row r="85" spans="7:13">
      <c r="G85" t="s">
        <v>45</v>
      </c>
      <c r="H85">
        <f t="shared" ref="H85:M85" si="15">H56-H76</f>
        <v>0.93509473856257408</v>
      </c>
      <c r="I85">
        <f t="shared" si="15"/>
        <v>0.90881704601701607</v>
      </c>
      <c r="J85">
        <f t="shared" si="15"/>
        <v>0.89586827091625587</v>
      </c>
      <c r="K85">
        <f t="shared" si="15"/>
        <v>0.90347521910954798</v>
      </c>
      <c r="L85">
        <f t="shared" si="15"/>
        <v>0.94275103000852989</v>
      </c>
      <c r="M85">
        <f t="shared" si="15"/>
        <v>1.04</v>
      </c>
    </row>
    <row r="86" spans="7:13">
      <c r="I86">
        <f>I57-I77</f>
        <v>0.97725909603124139</v>
      </c>
      <c r="J86">
        <f>J57-J77</f>
        <v>0.96228767334040333</v>
      </c>
      <c r="K86">
        <f>K57-K77</f>
        <v>0.96222388337331966</v>
      </c>
      <c r="L86">
        <f>L57-L77</f>
        <v>0.98595467018117511</v>
      </c>
      <c r="M86">
        <f>M57-M77</f>
        <v>1.04</v>
      </c>
    </row>
    <row r="87" spans="7:13">
      <c r="J87">
        <f>J58-J78</f>
        <v>0.99818016240630425</v>
      </c>
      <c r="K87">
        <f>K58-K78</f>
        <v>0.99169392954352098</v>
      </c>
      <c r="L87">
        <f>L58-L78</f>
        <v>1</v>
      </c>
      <c r="M87">
        <f>M58-M78</f>
        <v>1.04</v>
      </c>
    </row>
    <row r="88" spans="7:13">
      <c r="K88">
        <f>K59-K79</f>
        <v>1</v>
      </c>
      <c r="L88">
        <f>L59-L79</f>
        <v>1</v>
      </c>
      <c r="M88">
        <f>M59-M79</f>
        <v>1.04</v>
      </c>
    </row>
    <row r="89" spans="7:13">
      <c r="L89">
        <f>L60-L80</f>
        <v>1</v>
      </c>
      <c r="M89">
        <f>M60-M80</f>
        <v>1.04</v>
      </c>
    </row>
    <row r="90" spans="7:13">
      <c r="M90">
        <f>M61-M81</f>
        <v>1.04</v>
      </c>
    </row>
  </sheetData>
  <conditionalFormatting sqref="P73:U78">
    <cfRule type="cellIs" dxfId="0" priority="1" operator="equal">
      <formula>TRUE</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33CA7-76ED-5E47-AB37-C77B7F1F6D1A}">
  <sheetPr codeName="Sheet4"/>
  <dimension ref="B17:Z108"/>
  <sheetViews>
    <sheetView zoomScale="99" workbookViewId="0">
      <selection activeCell="E22" sqref="E22"/>
    </sheetView>
  </sheetViews>
  <sheetFormatPr baseColWidth="10" defaultRowHeight="16"/>
  <cols>
    <col min="5" max="5" width="22.83203125" customWidth="1"/>
    <col min="6" max="6" width="11.6640625" customWidth="1"/>
    <col min="7" max="7" width="16.1640625" customWidth="1"/>
    <col min="18" max="18" width="15.6640625" bestFit="1" customWidth="1"/>
    <col min="19" max="19" width="19.33203125" bestFit="1" customWidth="1"/>
  </cols>
  <sheetData>
    <row r="17" spans="2:13" ht="17" thickBot="1"/>
    <row r="18" spans="2:13">
      <c r="B18" s="7" t="s">
        <v>6</v>
      </c>
      <c r="C18" s="8">
        <v>0.2</v>
      </c>
    </row>
    <row r="19" spans="2:13">
      <c r="B19" s="9" t="s">
        <v>28</v>
      </c>
      <c r="C19" s="10">
        <v>0.05</v>
      </c>
    </row>
    <row r="20" spans="2:13">
      <c r="B20" s="9" t="s">
        <v>29</v>
      </c>
      <c r="C20" s="10">
        <v>0.05</v>
      </c>
    </row>
    <row r="21" spans="2:13" ht="17" thickBot="1">
      <c r="B21" s="11" t="s">
        <v>3</v>
      </c>
      <c r="C21" s="12">
        <v>1</v>
      </c>
    </row>
    <row r="23" spans="2:13">
      <c r="F23" s="46" t="s">
        <v>30</v>
      </c>
    </row>
    <row r="24" spans="2:13">
      <c r="G24" s="3" t="s">
        <v>0</v>
      </c>
      <c r="H24" s="3">
        <v>0</v>
      </c>
      <c r="I24" s="3">
        <v>1</v>
      </c>
      <c r="J24" s="3">
        <v>2</v>
      </c>
      <c r="K24" s="3">
        <v>3</v>
      </c>
      <c r="L24" s="3">
        <v>4</v>
      </c>
      <c r="M24" s="3">
        <v>5</v>
      </c>
    </row>
    <row r="25" spans="2:13">
      <c r="G25" t="s">
        <v>24</v>
      </c>
      <c r="H25">
        <f>C19</f>
        <v>0.05</v>
      </c>
      <c r="I25">
        <f>IF(H25=0,H24*EXP($C$20*$C$21-$C$18*SQRT($C$21)),H25*EXP($C$20*$C$21+$C$18*SQRT($C$21)))</f>
        <v>6.4201270834387078E-2</v>
      </c>
      <c r="J25">
        <f>IF(I25=0,I24*EXP($C$20*$C$21-$C$18*SQRT($C$21)),I25*EXP($C$20*$C$21+$C$18*SQRT($C$21)))</f>
        <v>8.2436063535006404E-2</v>
      </c>
      <c r="K25">
        <f>IF(J25=0,J24*EXP($C$20*$C$21-$C$18*SQRT($C$21)),J25*EXP($C$20*$C$21+$C$18*SQRT($C$21)))</f>
        <v>0.10585000083063373</v>
      </c>
      <c r="L25">
        <f>IF(K25=0,K24*EXP($C$20*$C$21-$C$18*SQRT($C$21)),K25*EXP($C$20*$C$21+$C$18*SQRT($C$21)))</f>
        <v>0.13591409142295224</v>
      </c>
      <c r="M25">
        <f>IF(L25=0,L24*EXP($C$20*$C$21-$C$18*SQRT($C$21)),L25*EXP($C$20*$C$21+$C$18*SQRT($C$21)))</f>
        <v>0.17451714787309203</v>
      </c>
    </row>
    <row r="26" spans="2:13">
      <c r="I26">
        <f>IF(H26=0,H25*EXP($C$20*$C$21-$C$18*SQRT($C$21)),H26*EXP($C$20*$C$21+$C$18*SQRT($C$21)))</f>
        <v>4.3035398821252895E-2</v>
      </c>
      <c r="J26">
        <f>IF(I26=0,I25*EXP($C$20*$C$21-$C$18*SQRT($C$21)),I26*EXP($C$20*$C$21+$C$18*SQRT($C$21)))</f>
        <v>5.5258545903782381E-2</v>
      </c>
      <c r="K26">
        <f>IF(J26=0,J25*EXP($C$20*$C$21-$C$18*SQRT($C$21)),J26*EXP($C$20*$C$21+$C$18*SQRT($C$21)))</f>
        <v>7.0953377429662859E-2</v>
      </c>
      <c r="L26">
        <f>IF(K26=0,K25*EXP($C$20*$C$21-$C$18*SQRT($C$21)),K26*EXP($C$20*$C$21+$C$18*SQRT($C$21)))</f>
        <v>9.1105940019525433E-2</v>
      </c>
      <c r="M26">
        <f t="shared" ref="M26:M30" si="0">IF(L26=0,L25*EXP($C$20*$C$21-$C$18*SQRT($C$21)),L26*EXP($C$20*$C$21+$C$18*SQRT($C$21)))</f>
        <v>0.11698234259629951</v>
      </c>
    </row>
    <row r="27" spans="2:13">
      <c r="J27">
        <f>IF(I27=0,I26*EXP($C$20*$C$21-$C$18*SQRT($C$21)),I27*EXP($C$20*$C$21+$C$18*SQRT($C$21)))</f>
        <v>3.7040911034085897E-2</v>
      </c>
      <c r="K27">
        <f>IF(J27=0,J26*EXP($C$20*$C$21-$C$18*SQRT($C$21)),J27*EXP($C$20*$C$21+$C$18*SQRT($C$21)))</f>
        <v>4.7561471225035699E-2</v>
      </c>
      <c r="L27">
        <f>IF(K27=0,K26*EXP($C$20*$C$21-$C$18*SQRT($C$21)),K27*EXP($C$20*$C$21+$C$18*SQRT($C$21)))</f>
        <v>6.1070137908008484E-2</v>
      </c>
      <c r="M27">
        <f t="shared" si="0"/>
        <v>7.8415609274508427E-2</v>
      </c>
    </row>
    <row r="28" spans="2:13">
      <c r="K28">
        <f>IF(J28=0,J27*EXP($C$20*$C$21-$C$18*SQRT($C$21)),J28*EXP($C$20*$C$21+$C$18*SQRT($C$21)))</f>
        <v>3.1881407581088671E-2</v>
      </c>
      <c r="L28">
        <f>IF(K28=0,K27*EXP($C$20*$C$21-$C$18*SQRT($C$21)),K28*EXP($C$20*$C$21+$C$18*SQRT($C$21)))</f>
        <v>4.0936537653899097E-2</v>
      </c>
      <c r="M28">
        <f t="shared" si="0"/>
        <v>5.2563554818801206E-2</v>
      </c>
    </row>
    <row r="29" spans="2:13">
      <c r="L29">
        <f>IF(K29=0,K28*EXP($C$20*$C$21-$C$18*SQRT($C$21)),K29*EXP($C$20*$C$21+$C$18*SQRT($C$21)))</f>
        <v>2.7440581804701328E-2</v>
      </c>
      <c r="M29">
        <f t="shared" si="0"/>
        <v>3.5234404485935678E-2</v>
      </c>
    </row>
    <row r="30" spans="2:13">
      <c r="M30">
        <f t="shared" si="0"/>
        <v>2.361832763705074E-2</v>
      </c>
    </row>
    <row r="32" spans="2:13" ht="17" thickBot="1"/>
    <row r="33" spans="5:26">
      <c r="Q33" s="7"/>
      <c r="R33" s="40"/>
      <c r="S33" s="40"/>
      <c r="T33" s="40"/>
      <c r="U33" s="40"/>
      <c r="V33" s="40"/>
      <c r="W33" s="40"/>
      <c r="X33" s="40"/>
      <c r="Y33" s="40"/>
      <c r="Z33" s="8"/>
    </row>
    <row r="34" spans="5:26">
      <c r="Q34" s="9"/>
      <c r="Z34" s="10"/>
    </row>
    <row r="35" spans="5:26">
      <c r="E35" s="46" t="s">
        <v>32</v>
      </c>
      <c r="Q35" s="9"/>
      <c r="S35" s="3" t="s">
        <v>34</v>
      </c>
      <c r="T35" s="3">
        <v>0</v>
      </c>
      <c r="U35" s="3">
        <v>1</v>
      </c>
      <c r="V35" s="3">
        <v>2</v>
      </c>
      <c r="W35" s="3">
        <v>3</v>
      </c>
      <c r="X35" s="3">
        <v>4</v>
      </c>
      <c r="Y35" s="3">
        <v>5</v>
      </c>
      <c r="Z35" s="10"/>
    </row>
    <row r="36" spans="5:26">
      <c r="G36" s="3" t="s">
        <v>0</v>
      </c>
      <c r="H36" s="3">
        <v>0</v>
      </c>
      <c r="I36" s="3">
        <v>1</v>
      </c>
      <c r="J36" s="3">
        <v>2</v>
      </c>
      <c r="K36" s="3">
        <v>3</v>
      </c>
      <c r="L36" s="3">
        <v>4</v>
      </c>
      <c r="M36" s="3">
        <v>5</v>
      </c>
      <c r="Q36" s="9"/>
      <c r="S36" s="3" t="s">
        <v>35</v>
      </c>
      <c r="T36">
        <f>H56</f>
        <v>1</v>
      </c>
      <c r="U36">
        <f t="shared" ref="U36:Y36" si="1">I56</f>
        <v>0.95122942450071402</v>
      </c>
      <c r="V36">
        <f t="shared" si="1"/>
        <v>0.90161981707088834</v>
      </c>
      <c r="W36">
        <f t="shared" si="1"/>
        <v>0.8514538123812283</v>
      </c>
      <c r="X36">
        <f t="shared" si="1"/>
        <v>0.80104893099396346</v>
      </c>
      <c r="Y36">
        <f t="shared" si="1"/>
        <v>0.75075122439707176</v>
      </c>
      <c r="Z36" s="10"/>
    </row>
    <row r="37" spans="5:26">
      <c r="G37" t="s">
        <v>31</v>
      </c>
      <c r="H37">
        <f>EXP(-H25)</f>
        <v>0.95122942450071402</v>
      </c>
      <c r="I37">
        <f t="shared" ref="I37:M37" si="2">EXP(-I25)</f>
        <v>0.93781622547980736</v>
      </c>
      <c r="J37">
        <f t="shared" si="2"/>
        <v>0.92087031316718637</v>
      </c>
      <c r="K37">
        <f t="shared" si="2"/>
        <v>0.89955957114496421</v>
      </c>
      <c r="L37">
        <f t="shared" si="2"/>
        <v>0.87291762037826837</v>
      </c>
      <c r="M37">
        <f t="shared" si="2"/>
        <v>0.83986245225098322</v>
      </c>
      <c r="Q37" s="9"/>
      <c r="S37" s="3" t="s">
        <v>60</v>
      </c>
      <c r="T37">
        <f>H57</f>
        <v>0</v>
      </c>
      <c r="U37">
        <f t="shared" ref="U37" si="3">I57</f>
        <v>4.9999999999999996E-2</v>
      </c>
      <c r="V37">
        <f t="shared" ref="V37" si="4">J57</f>
        <v>5.1781168302917582E-2</v>
      </c>
      <c r="W37">
        <f t="shared" ref="W37" si="5">K57</f>
        <v>5.3603341001092403E-2</v>
      </c>
      <c r="X37">
        <f t="shared" ref="X37" si="6">L57</f>
        <v>5.5458311599077686E-2</v>
      </c>
      <c r="Y37">
        <f t="shared" ref="Y37" si="7">M57</f>
        <v>5.7336188244299369E-2</v>
      </c>
      <c r="Z37" s="10"/>
    </row>
    <row r="38" spans="5:26">
      <c r="I38">
        <f t="shared" ref="I38:M38" si="8">EXP(-I26)</f>
        <v>0.9578774817331186</v>
      </c>
      <c r="J38">
        <f t="shared" si="8"/>
        <v>0.94624046972712916</v>
      </c>
      <c r="K38">
        <f t="shared" si="8"/>
        <v>0.93150532028753252</v>
      </c>
      <c r="L38">
        <f t="shared" si="8"/>
        <v>0.91292099090849543</v>
      </c>
      <c r="M38">
        <f t="shared" si="8"/>
        <v>0.88960090106697298</v>
      </c>
      <c r="Q38" s="9"/>
      <c r="S38" s="3" t="s">
        <v>63</v>
      </c>
      <c r="T38">
        <f>((1 + U37)^U35/(1 +T37 )^T35) - 1</f>
        <v>5.0000000000000044E-2</v>
      </c>
      <c r="U38">
        <f>((1 + V37)^V35/(1 +U37 )^U35) - 1</f>
        <v>5.3565358092047877E-2</v>
      </c>
      <c r="V38">
        <f>((1 + W37)^W35/(1 +V37 )^V35) - 1</f>
        <v>5.7257162410749851E-2</v>
      </c>
      <c r="W38">
        <f>((1 + X37)^X35/(1 +W37 )^W35) - 1</f>
        <v>6.1042841533598846E-2</v>
      </c>
      <c r="X38">
        <f>((1 + Y37)^Y35/(1 +X37 )^X35) - 1</f>
        <v>6.4881165597688639E-2</v>
      </c>
      <c r="Z38" s="10"/>
    </row>
    <row r="39" spans="5:26">
      <c r="J39">
        <f t="shared" ref="J39:M39" si="9">EXP(-J27)</f>
        <v>0.96363671116827987</v>
      </c>
      <c r="K39">
        <f t="shared" si="9"/>
        <v>0.95355185533030851</v>
      </c>
      <c r="L39">
        <f t="shared" si="9"/>
        <v>0.94075725471622018</v>
      </c>
      <c r="M39">
        <f t="shared" si="9"/>
        <v>0.92458008262325875</v>
      </c>
      <c r="Q39" s="9"/>
      <c r="Z39" s="10"/>
    </row>
    <row r="40" spans="5:26">
      <c r="K40">
        <f t="shared" ref="K40:M40" si="10">EXP(-K28)</f>
        <v>0.96862144642838377</v>
      </c>
      <c r="L40">
        <f t="shared" si="10"/>
        <v>0.95989004488912344</v>
      </c>
      <c r="M40">
        <f t="shared" si="10"/>
        <v>0.94879401870763058</v>
      </c>
      <c r="Q40" s="9"/>
      <c r="Z40" s="10"/>
    </row>
    <row r="41" spans="5:26">
      <c r="L41">
        <f t="shared" ref="L41:M42" si="11">EXP(-L29)</f>
        <v>0.97293249072875476</v>
      </c>
      <c r="M41">
        <f t="shared" si="11"/>
        <v>0.96537910054209763</v>
      </c>
      <c r="Q41" s="9"/>
      <c r="Z41" s="10"/>
    </row>
    <row r="42" spans="5:26">
      <c r="M42">
        <f t="shared" si="11"/>
        <v>0.97665840215033495</v>
      </c>
      <c r="Q42" s="9"/>
      <c r="Z42" s="10"/>
    </row>
    <row r="43" spans="5:26">
      <c r="Q43" s="9"/>
      <c r="Z43" s="10"/>
    </row>
    <row r="44" spans="5:26">
      <c r="Q44" s="9"/>
      <c r="S44" s="30" t="s">
        <v>34</v>
      </c>
      <c r="T44" s="30">
        <v>0</v>
      </c>
      <c r="U44" s="30">
        <v>1</v>
      </c>
      <c r="V44" s="30">
        <v>2</v>
      </c>
      <c r="W44" s="30">
        <v>3</v>
      </c>
      <c r="X44" s="30">
        <v>4</v>
      </c>
      <c r="Y44" s="30">
        <v>5</v>
      </c>
      <c r="Z44" s="10"/>
    </row>
    <row r="45" spans="5:26">
      <c r="Q45" s="9"/>
      <c r="R45" s="58" t="s">
        <v>59</v>
      </c>
      <c r="S45" s="57" t="s">
        <v>62</v>
      </c>
      <c r="T45" s="13">
        <v>0.05</v>
      </c>
      <c r="U45" s="13">
        <v>0.05</v>
      </c>
      <c r="V45" s="13">
        <v>0.05</v>
      </c>
      <c r="W45" s="13">
        <v>0.05</v>
      </c>
      <c r="X45" s="13">
        <v>0.05</v>
      </c>
      <c r="Y45" s="13"/>
      <c r="Z45" s="10"/>
    </row>
    <row r="46" spans="5:26" ht="35" thickBot="1">
      <c r="E46" s="47" t="s">
        <v>53</v>
      </c>
      <c r="Q46" s="9"/>
      <c r="Z46" s="10"/>
    </row>
    <row r="47" spans="5:26">
      <c r="F47" s="54" t="s">
        <v>55</v>
      </c>
      <c r="G47" s="51" t="s">
        <v>34</v>
      </c>
      <c r="H47" s="51">
        <v>0</v>
      </c>
      <c r="I47" s="51">
        <v>1</v>
      </c>
      <c r="J47" s="51">
        <v>2</v>
      </c>
      <c r="K47" s="51">
        <v>3</v>
      </c>
      <c r="L47" s="51">
        <v>4</v>
      </c>
      <c r="M47" s="25">
        <v>5</v>
      </c>
      <c r="Q47" s="9"/>
      <c r="R47" s="2" t="s">
        <v>55</v>
      </c>
      <c r="S47" s="2" t="s">
        <v>34</v>
      </c>
      <c r="T47" s="2">
        <v>0</v>
      </c>
      <c r="U47" s="2">
        <v>1</v>
      </c>
      <c r="V47" s="2">
        <v>2</v>
      </c>
      <c r="W47" s="2">
        <v>3</v>
      </c>
      <c r="X47" s="2">
        <v>4</v>
      </c>
      <c r="Y47" s="2">
        <v>5</v>
      </c>
      <c r="Z47" s="10"/>
    </row>
    <row r="48" spans="5:26" ht="34">
      <c r="F48" s="55">
        <v>1</v>
      </c>
      <c r="G48" t="s">
        <v>54</v>
      </c>
      <c r="H48">
        <v>1</v>
      </c>
      <c r="I48">
        <f>0.5*H37*H48</f>
        <v>0.47561471225035701</v>
      </c>
      <c r="J48">
        <f t="shared" ref="J48:M48" si="12">0.5*I37*I48</f>
        <v>0.22301959711264727</v>
      </c>
      <c r="K48">
        <f t="shared" si="12"/>
        <v>0.10268606311777161</v>
      </c>
      <c r="L48">
        <f t="shared" si="12"/>
        <v>4.6186115450393674E-2</v>
      </c>
      <c r="M48" s="10">
        <f t="shared" si="12"/>
        <v>2.015833699673681E-2</v>
      </c>
      <c r="Q48" s="9"/>
      <c r="R48" s="2">
        <v>1</v>
      </c>
      <c r="S48" s="1" t="s">
        <v>61</v>
      </c>
      <c r="T48">
        <f>MAX(H25-T$45, 0)*H48</f>
        <v>0</v>
      </c>
      <c r="U48">
        <f t="shared" ref="U48:X48" si="13">MAX(I25-U$45, 0)*I48</f>
        <v>6.754333341486396E-3</v>
      </c>
      <c r="V48">
        <f t="shared" si="13"/>
        <v>7.2338778214973568E-3</v>
      </c>
      <c r="W48">
        <f t="shared" si="13"/>
        <v>5.7350167104220509E-3</v>
      </c>
      <c r="X48">
        <f t="shared" si="13"/>
        <v>3.9680381452761489E-3</v>
      </c>
      <c r="Z48" s="10"/>
    </row>
    <row r="49" spans="6:26">
      <c r="F49" s="55">
        <v>2</v>
      </c>
      <c r="I49">
        <f>0.5*H48*H37</f>
        <v>0.47561471225035701</v>
      </c>
      <c r="J49">
        <f>0.5*(I48*I37+I49*I38)</f>
        <v>0.45080990853544417</v>
      </c>
      <c r="K49">
        <f t="shared" ref="K49:M51" si="14">0.5*(J48*J37+J49*J38)</f>
        <v>0.31597335292288303</v>
      </c>
      <c r="L49">
        <f t="shared" si="14"/>
        <v>0.19335154510877153</v>
      </c>
      <c r="M49" s="10">
        <f t="shared" si="14"/>
        <v>0.10841567907393099</v>
      </c>
      <c r="Q49" s="9"/>
      <c r="R49" s="2">
        <v>2</v>
      </c>
      <c r="U49">
        <f t="shared" ref="U49" si="15">MAX(I26-U$45, 0)*I49</f>
        <v>0</v>
      </c>
      <c r="V49">
        <f t="shared" ref="V49:V50" si="16">MAX(J26-V$45, 0)*J49</f>
        <v>2.3706045979135686E-3</v>
      </c>
      <c r="W49">
        <f t="shared" ref="W49:W51" si="17">MAX(K26-W$45, 0)*K49</f>
        <v>6.620708921509233E-3</v>
      </c>
      <c r="X49">
        <f t="shared" ref="X49:X52" si="18">MAX(L26-X$45, 0)*L49</f>
        <v>7.9478970159237283E-3</v>
      </c>
      <c r="Z49" s="10"/>
    </row>
    <row r="50" spans="6:26">
      <c r="F50" s="55">
        <v>3</v>
      </c>
      <c r="J50">
        <f>0.5*I49*I38</f>
        <v>0.2277903114227969</v>
      </c>
      <c r="K50">
        <f t="shared" si="14"/>
        <v>0.32304084307284253</v>
      </c>
      <c r="L50">
        <f t="shared" si="14"/>
        <v>0.30118352728816589</v>
      </c>
      <c r="M50" s="10">
        <f t="shared" ref="M50" si="19">0.5*(L49*L38+L50*L39)</f>
        <v>0.22992763622587556</v>
      </c>
      <c r="Q50" s="9"/>
      <c r="R50" s="2">
        <v>3</v>
      </c>
      <c r="V50">
        <f t="shared" si="16"/>
        <v>0</v>
      </c>
      <c r="W50">
        <f t="shared" si="17"/>
        <v>0</v>
      </c>
      <c r="X50">
        <f t="shared" si="18"/>
        <v>3.334143182700432E-3</v>
      </c>
      <c r="Z50" s="10"/>
    </row>
    <row r="51" spans="6:26">
      <c r="F51" s="55">
        <v>4</v>
      </c>
      <c r="K51">
        <f>0.5*J50*J39</f>
        <v>0.10975355326773113</v>
      </c>
      <c r="L51">
        <f t="shared" si="14"/>
        <v>0.20717292038821022</v>
      </c>
      <c r="M51" s="10">
        <f t="shared" ref="M51:M52" si="20">0.5*(L50*L39+L51*L40)</f>
        <v>0.24110190607430632</v>
      </c>
      <c r="Q51" s="9"/>
      <c r="R51" s="2">
        <v>4</v>
      </c>
      <c r="W51">
        <f t="shared" si="17"/>
        <v>0</v>
      </c>
      <c r="X51">
        <f t="shared" si="18"/>
        <v>0</v>
      </c>
      <c r="Z51" s="10"/>
    </row>
    <row r="52" spans="6:26">
      <c r="F52" s="55">
        <v>5</v>
      </c>
      <c r="L52">
        <f>0.5*K51*K40</f>
        <v>5.3154822758422197E-2</v>
      </c>
      <c r="M52" s="10">
        <f t="shared" si="20"/>
        <v>0.12528963897592355</v>
      </c>
      <c r="Q52" s="9"/>
      <c r="R52" s="2">
        <v>5</v>
      </c>
      <c r="X52">
        <f t="shared" si="18"/>
        <v>0</v>
      </c>
      <c r="Z52" s="10"/>
    </row>
    <row r="53" spans="6:26">
      <c r="F53" s="55">
        <v>6</v>
      </c>
      <c r="M53" s="10">
        <f>0.5*L52*L41</f>
        <v>2.5858027050298604E-2</v>
      </c>
      <c r="Q53" s="9"/>
      <c r="R53" s="2">
        <v>6</v>
      </c>
      <c r="Z53" s="10"/>
    </row>
    <row r="54" spans="6:26">
      <c r="F54" s="9"/>
      <c r="M54" s="10"/>
      <c r="Q54" s="9"/>
      <c r="Z54" s="10"/>
    </row>
    <row r="55" spans="6:26">
      <c r="F55" s="9"/>
      <c r="G55" s="3" t="s">
        <v>34</v>
      </c>
      <c r="H55" s="3">
        <v>0</v>
      </c>
      <c r="I55" s="3">
        <v>1</v>
      </c>
      <c r="J55" s="3">
        <v>2</v>
      </c>
      <c r="K55" s="3">
        <v>3</v>
      </c>
      <c r="L55" s="3">
        <v>4</v>
      </c>
      <c r="M55" s="53">
        <v>5</v>
      </c>
      <c r="Q55" s="9"/>
      <c r="S55" s="30" t="s">
        <v>34</v>
      </c>
      <c r="T55" s="30">
        <v>0</v>
      </c>
      <c r="U55" s="30">
        <v>1</v>
      </c>
      <c r="V55" s="30">
        <v>2</v>
      </c>
      <c r="W55" s="30">
        <v>3</v>
      </c>
      <c r="X55" s="30">
        <v>4</v>
      </c>
      <c r="Y55" s="30">
        <v>5</v>
      </c>
      <c r="Z55" s="10"/>
    </row>
    <row r="56" spans="6:26" ht="17" thickBot="1">
      <c r="F56" s="11"/>
      <c r="G56" s="21" t="s">
        <v>35</v>
      </c>
      <c r="H56" s="21">
        <f t="shared" ref="H56:K56" si="21">SUM(H48:H53)</f>
        <v>1</v>
      </c>
      <c r="I56" s="21">
        <f t="shared" si="21"/>
        <v>0.95122942450071402</v>
      </c>
      <c r="J56" s="21">
        <f>SUM(J48:J53)</f>
        <v>0.90161981707088834</v>
      </c>
      <c r="K56" s="21">
        <f t="shared" si="21"/>
        <v>0.8514538123812283</v>
      </c>
      <c r="L56" s="21">
        <f>SUM(L48:L53)</f>
        <v>0.80104893099396346</v>
      </c>
      <c r="M56" s="12">
        <f>SUM(M48:M53)</f>
        <v>0.75075122439707176</v>
      </c>
      <c r="Q56" s="9"/>
      <c r="S56" s="13" t="s">
        <v>64</v>
      </c>
      <c r="T56" s="13">
        <f>SUM(T48:T53)</f>
        <v>0</v>
      </c>
      <c r="U56" s="13">
        <f t="shared" ref="U56:X56" si="22">SUM(U48:U53)</f>
        <v>6.754333341486396E-3</v>
      </c>
      <c r="V56" s="13">
        <f t="shared" si="22"/>
        <v>9.6044824194109254E-3</v>
      </c>
      <c r="W56" s="13">
        <f t="shared" si="22"/>
        <v>1.2355725631931283E-2</v>
      </c>
      <c r="X56" s="13">
        <f t="shared" si="22"/>
        <v>1.525007834390031E-2</v>
      </c>
      <c r="Y56" s="13"/>
      <c r="Z56" s="10"/>
    </row>
    <row r="57" spans="6:26">
      <c r="G57" t="s">
        <v>60</v>
      </c>
      <c r="I57">
        <f>-1/I55*LN(I56)</f>
        <v>4.9999999999999996E-2</v>
      </c>
      <c r="J57">
        <f>-1/J55*LN(J56)</f>
        <v>5.1781168302917582E-2</v>
      </c>
      <c r="K57">
        <f>-1/K55*LN(K56)</f>
        <v>5.3603341001092403E-2</v>
      </c>
      <c r="L57">
        <f t="shared" ref="L57" si="23">-1/L55*LN(L56)</f>
        <v>5.5458311599077686E-2</v>
      </c>
      <c r="M57">
        <f>-1/M55*LN(M56)</f>
        <v>5.7336188244299369E-2</v>
      </c>
      <c r="Q57" s="9"/>
      <c r="S57" s="13" t="s">
        <v>84</v>
      </c>
      <c r="T57">
        <f>SUM(U56:X56)</f>
        <v>4.3964619736728917E-2</v>
      </c>
      <c r="Z57" s="10"/>
    </row>
    <row r="58" spans="6:26">
      <c r="Q58" s="9"/>
      <c r="Z58" s="10"/>
    </row>
    <row r="59" spans="6:26" ht="17" thickBot="1">
      <c r="Q59" s="11"/>
      <c r="R59" s="21"/>
      <c r="S59" s="21"/>
      <c r="T59" s="21"/>
      <c r="U59" s="21"/>
      <c r="V59" s="21"/>
      <c r="W59" s="21"/>
      <c r="X59" s="21"/>
      <c r="Y59" s="21"/>
      <c r="Z59" s="12"/>
    </row>
    <row r="80" ht="17" thickBot="1"/>
    <row r="81" spans="3:10" ht="17" thickBot="1">
      <c r="C81" s="24" t="s">
        <v>34</v>
      </c>
      <c r="D81" s="51">
        <v>0</v>
      </c>
      <c r="E81" s="51">
        <v>1</v>
      </c>
      <c r="F81" s="51">
        <v>2</v>
      </c>
      <c r="G81" s="51">
        <v>3</v>
      </c>
      <c r="H81" s="51">
        <v>4</v>
      </c>
      <c r="I81" s="25">
        <v>5</v>
      </c>
    </row>
    <row r="82" spans="3:10">
      <c r="C82" s="9"/>
      <c r="I82" s="10"/>
      <c r="J82" s="54" t="s">
        <v>55</v>
      </c>
    </row>
    <row r="83" spans="3:10">
      <c r="C83" s="56" t="s">
        <v>58</v>
      </c>
      <c r="D83">
        <v>0</v>
      </c>
      <c r="E83" s="46">
        <v>1</v>
      </c>
      <c r="F83">
        <f t="shared" ref="F83:I85" si="24">0.5*(E82*I36+E83*I37)</f>
        <v>0.46890811273990368</v>
      </c>
      <c r="G83">
        <f t="shared" si="24"/>
        <v>0.21590178031271473</v>
      </c>
      <c r="H83">
        <f t="shared" si="24"/>
        <v>9.710825645376997E-2</v>
      </c>
      <c r="I83" s="10">
        <f t="shared" si="24"/>
        <v>4.2383754071353752E-2</v>
      </c>
      <c r="J83" s="55">
        <v>1</v>
      </c>
    </row>
    <row r="84" spans="3:10">
      <c r="C84" s="9"/>
      <c r="E84">
        <f>0.5*D83*H50</f>
        <v>0</v>
      </c>
      <c r="F84">
        <f t="shared" si="24"/>
        <v>0.46890811273990368</v>
      </c>
      <c r="G84">
        <f t="shared" si="24"/>
        <v>0.43775169674164882</v>
      </c>
      <c r="H84">
        <f t="shared" si="24"/>
        <v>0.30099227369364018</v>
      </c>
      <c r="I84" s="10">
        <f t="shared" si="24"/>
        <v>0.17977483644945327</v>
      </c>
      <c r="J84" s="55">
        <v>2</v>
      </c>
    </row>
    <row r="85" spans="3:10">
      <c r="C85" s="9"/>
      <c r="F85">
        <f t="shared" si="24"/>
        <v>0</v>
      </c>
      <c r="G85">
        <f t="shared" si="24"/>
        <v>0.22184991642893406</v>
      </c>
      <c r="H85">
        <f t="shared" si="24"/>
        <v>0.30965671694771219</v>
      </c>
      <c r="I85" s="10">
        <f t="shared" si="24"/>
        <v>0.28304698384818316</v>
      </c>
      <c r="J85" s="55">
        <v>3</v>
      </c>
    </row>
    <row r="86" spans="3:10">
      <c r="C86" s="9"/>
      <c r="G86">
        <f>0.5*(F85*J39+F86*J40)</f>
        <v>0</v>
      </c>
      <c r="H86">
        <f>0.5*(G85*K39+G86*K40)</f>
        <v>0.10577269970784198</v>
      </c>
      <c r="I86" s="10">
        <f>0.5*(H85*L39+H86*L40)</f>
        <v>0.19642098220538579</v>
      </c>
      <c r="J86" s="55">
        <v>4</v>
      </c>
    </row>
    <row r="87" spans="3:10">
      <c r="C87" s="9"/>
      <c r="H87">
        <f>0.5*(G86*K40+G87*K41)</f>
        <v>0</v>
      </c>
      <c r="I87" s="10">
        <f>0.5*(H86*L40+H87*L41)</f>
        <v>5.0765080735302108E-2</v>
      </c>
      <c r="J87" s="55">
        <v>5</v>
      </c>
    </row>
    <row r="88" spans="3:10">
      <c r="C88" s="9"/>
      <c r="I88" s="10">
        <f>0.5*(H87*L41+H88*L42)</f>
        <v>0</v>
      </c>
      <c r="J88" s="55">
        <v>6</v>
      </c>
    </row>
    <row r="89" spans="3:10">
      <c r="C89" s="9"/>
      <c r="I89" s="10"/>
    </row>
    <row r="90" spans="3:10">
      <c r="C90" s="52" t="s">
        <v>34</v>
      </c>
      <c r="D90" s="3">
        <v>0</v>
      </c>
      <c r="E90" s="3">
        <v>1</v>
      </c>
      <c r="F90" s="3">
        <v>2</v>
      </c>
      <c r="G90" s="3">
        <v>3</v>
      </c>
      <c r="H90" s="3">
        <v>4</v>
      </c>
      <c r="I90" s="53">
        <v>5</v>
      </c>
    </row>
    <row r="91" spans="3:10" ht="17" thickBot="1">
      <c r="C91" s="11" t="s">
        <v>56</v>
      </c>
      <c r="D91" s="21">
        <f t="shared" ref="D91:H91" si="25">SUM(D83:D88)</f>
        <v>0</v>
      </c>
      <c r="E91" s="21">
        <f t="shared" si="25"/>
        <v>1</v>
      </c>
      <c r="F91" s="21">
        <f t="shared" si="25"/>
        <v>0.93781622547980736</v>
      </c>
      <c r="G91" s="21">
        <f t="shared" si="25"/>
        <v>0.87550339348329764</v>
      </c>
      <c r="H91" s="21">
        <f t="shared" si="25"/>
        <v>0.81352994680296431</v>
      </c>
      <c r="I91" s="12">
        <f>SUM(I83:I88)</f>
        <v>0.75239163730967806</v>
      </c>
    </row>
    <row r="95" spans="3:10" ht="17" thickBot="1"/>
    <row r="96" spans="3:10" ht="17" thickBot="1">
      <c r="C96" s="24" t="s">
        <v>34</v>
      </c>
      <c r="D96" s="51">
        <v>0</v>
      </c>
      <c r="E96" s="51">
        <v>1</v>
      </c>
      <c r="F96" s="51">
        <v>2</v>
      </c>
      <c r="G96" s="51">
        <v>3</v>
      </c>
      <c r="H96" s="51">
        <v>4</v>
      </c>
      <c r="I96" s="25">
        <v>5</v>
      </c>
    </row>
    <row r="97" spans="3:10">
      <c r="C97" s="9"/>
      <c r="I97" s="10"/>
      <c r="J97" s="54" t="s">
        <v>55</v>
      </c>
    </row>
    <row r="98" spans="3:10">
      <c r="C98" s="56" t="s">
        <v>58</v>
      </c>
      <c r="D98">
        <v>0</v>
      </c>
      <c r="E98">
        <v>0</v>
      </c>
      <c r="F98">
        <f t="shared" ref="F98:I100" si="26">0.5*(E97*I36+E98*I37)</f>
        <v>0</v>
      </c>
      <c r="G98">
        <f t="shared" si="26"/>
        <v>0</v>
      </c>
      <c r="H98">
        <f t="shared" si="26"/>
        <v>0</v>
      </c>
      <c r="I98">
        <f t="shared" si="26"/>
        <v>0</v>
      </c>
      <c r="J98" s="55">
        <v>1</v>
      </c>
    </row>
    <row r="99" spans="3:10">
      <c r="C99" s="9"/>
      <c r="E99" s="46">
        <v>1</v>
      </c>
      <c r="F99">
        <f t="shared" si="26"/>
        <v>0.4789387408665593</v>
      </c>
      <c r="G99">
        <f t="shared" si="26"/>
        <v>0.22659560956404642</v>
      </c>
      <c r="H99">
        <f t="shared" si="26"/>
        <v>0.10553750793135287</v>
      </c>
      <c r="I99">
        <f t="shared" si="26"/>
        <v>4.8173703159351933E-2</v>
      </c>
      <c r="J99" s="55">
        <v>2</v>
      </c>
    </row>
    <row r="100" spans="3:10">
      <c r="C100" s="9"/>
      <c r="F100">
        <f t="shared" si="26"/>
        <v>0.4789387408665593</v>
      </c>
      <c r="G100">
        <f t="shared" si="26"/>
        <v>0.45735708611391057</v>
      </c>
      <c r="H100">
        <f t="shared" si="26"/>
        <v>0.3235943569375444</v>
      </c>
      <c r="I100">
        <f t="shared" si="26"/>
        <v>0.20038557259646439</v>
      </c>
      <c r="J100" s="55">
        <v>3</v>
      </c>
    </row>
    <row r="101" spans="3:10">
      <c r="C101" s="9"/>
      <c r="G101">
        <f>0.5*(F100*J39+F101*J40)</f>
        <v>0.23076147654986412</v>
      </c>
      <c r="H101">
        <f>0.5*(G100*K39+G101*K40)</f>
        <v>0.32981710660403102</v>
      </c>
      <c r="I101">
        <f>0.5*(H100*L39+H101*L40)</f>
        <v>0.31050594806878451</v>
      </c>
      <c r="J101" s="55">
        <v>4</v>
      </c>
    </row>
    <row r="102" spans="3:10">
      <c r="C102" s="9"/>
      <c r="H102">
        <f>0.5*(G101*K40+G102*K41)</f>
        <v>0.11176025759783947</v>
      </c>
      <c r="I102">
        <f>0.5*(H101*L40+H102*L41)</f>
        <v>0.21266167152624868</v>
      </c>
      <c r="J102" s="55">
        <v>5</v>
      </c>
    </row>
    <row r="103" spans="3:10">
      <c r="C103" s="9"/>
      <c r="I103">
        <f>0.5*(H102*L41+H103*L42)</f>
        <v>5.43675928945766E-2</v>
      </c>
      <c r="J103" s="55">
        <v>6</v>
      </c>
    </row>
    <row r="104" spans="3:10">
      <c r="C104" s="9"/>
      <c r="I104" s="10"/>
    </row>
    <row r="105" spans="3:10">
      <c r="C105" s="9"/>
      <c r="I105" s="10"/>
    </row>
    <row r="106" spans="3:10">
      <c r="C106" s="9"/>
      <c r="I106" s="10"/>
    </row>
    <row r="107" spans="3:10">
      <c r="C107" s="52" t="s">
        <v>34</v>
      </c>
      <c r="D107" s="3">
        <v>0</v>
      </c>
      <c r="E107" s="3">
        <v>1</v>
      </c>
      <c r="F107" s="3">
        <v>2</v>
      </c>
      <c r="G107" s="3">
        <v>3</v>
      </c>
      <c r="H107" s="3">
        <v>4</v>
      </c>
      <c r="I107" s="53">
        <v>5</v>
      </c>
    </row>
    <row r="108" spans="3:10" ht="17" thickBot="1">
      <c r="C108" s="11" t="s">
        <v>57</v>
      </c>
      <c r="D108" s="21">
        <f t="shared" ref="D108:I108" si="27">SUM(D98:D103)</f>
        <v>0</v>
      </c>
      <c r="E108" s="21">
        <f t="shared" si="27"/>
        <v>1</v>
      </c>
      <c r="F108" s="21">
        <f t="shared" si="27"/>
        <v>0.9578774817331186</v>
      </c>
      <c r="G108" s="21">
        <f t="shared" si="27"/>
        <v>0.91471417222782114</v>
      </c>
      <c r="H108" s="21">
        <f t="shared" si="27"/>
        <v>0.87070922907076775</v>
      </c>
      <c r="I108" s="12">
        <f t="shared" si="27"/>
        <v>0.82609448824542608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4DC4-F1C2-9A4A-8267-05C0ADFEA47F}">
  <dimension ref="A1:K99"/>
  <sheetViews>
    <sheetView workbookViewId="0">
      <selection activeCell="C18" sqref="C18"/>
    </sheetView>
  </sheetViews>
  <sheetFormatPr baseColWidth="10" defaultRowHeight="16"/>
  <cols>
    <col min="3" max="3" width="19.5" bestFit="1" customWidth="1"/>
    <col min="4" max="4" width="28.83203125" bestFit="1" customWidth="1"/>
    <col min="11" max="11" width="18.6640625" bestFit="1" customWidth="1"/>
  </cols>
  <sheetData>
    <row r="1" spans="1:11">
      <c r="A1" t="s">
        <v>67</v>
      </c>
      <c r="B1" s="60" t="s">
        <v>68</v>
      </c>
    </row>
    <row r="4" spans="1:11">
      <c r="E4" s="61" t="s">
        <v>65</v>
      </c>
      <c r="F4" s="13">
        <v>1.25</v>
      </c>
    </row>
    <row r="5" spans="1:11">
      <c r="E5" s="61" t="s">
        <v>66</v>
      </c>
      <c r="F5" s="13">
        <v>0.9</v>
      </c>
    </row>
    <row r="9" spans="1:11">
      <c r="D9" s="3" t="s">
        <v>0</v>
      </c>
      <c r="E9" s="3">
        <v>0</v>
      </c>
      <c r="F9" s="3">
        <v>1</v>
      </c>
      <c r="G9" s="3">
        <v>2</v>
      </c>
      <c r="H9" s="3">
        <v>3</v>
      </c>
      <c r="I9" s="3">
        <v>4</v>
      </c>
      <c r="J9" s="3">
        <v>5</v>
      </c>
      <c r="K9" s="3">
        <v>6</v>
      </c>
    </row>
    <row r="10" spans="1:11">
      <c r="C10" t="s">
        <v>30</v>
      </c>
      <c r="D10" t="s">
        <v>69</v>
      </c>
      <c r="E10" s="59">
        <v>0.06</v>
      </c>
      <c r="F10" s="59">
        <f t="shared" ref="F10:K10" si="0">E10*$F$4</f>
        <v>7.4999999999999997E-2</v>
      </c>
      <c r="G10" s="59">
        <f t="shared" si="0"/>
        <v>9.375E-2</v>
      </c>
      <c r="H10" s="59">
        <f t="shared" si="0"/>
        <v>0.1171875</v>
      </c>
      <c r="I10" s="59">
        <f t="shared" si="0"/>
        <v>0.146484375</v>
      </c>
      <c r="J10" s="59">
        <f t="shared" si="0"/>
        <v>0.18310546875</v>
      </c>
      <c r="K10" s="59">
        <f t="shared" si="0"/>
        <v>0.2288818359375</v>
      </c>
    </row>
    <row r="11" spans="1:11">
      <c r="F11" s="59">
        <f>E10*$F$5</f>
        <v>5.3999999999999999E-2</v>
      </c>
      <c r="G11" s="59">
        <f>F11*$F$4</f>
        <v>6.7500000000000004E-2</v>
      </c>
      <c r="H11" s="59">
        <f>G11*$F$4</f>
        <v>8.4375000000000006E-2</v>
      </c>
      <c r="I11" s="59">
        <f>H11*$F$4</f>
        <v>0.10546875</v>
      </c>
      <c r="J11" s="59">
        <f>I11*$F$4</f>
        <v>0.1318359375</v>
      </c>
      <c r="K11" s="59">
        <f>J11*$F$4</f>
        <v>0.164794921875</v>
      </c>
    </row>
    <row r="12" spans="1:11">
      <c r="F12" s="59"/>
      <c r="G12" s="59">
        <f>F11*$F$5</f>
        <v>4.8599999999999997E-2</v>
      </c>
      <c r="H12" s="59">
        <f>G12*$F$4</f>
        <v>6.0749999999999998E-2</v>
      </c>
      <c r="I12" s="59">
        <f>H12*$F$4</f>
        <v>7.5937499999999991E-2</v>
      </c>
      <c r="J12" s="59">
        <f>I12*$F$4</f>
        <v>9.4921874999999989E-2</v>
      </c>
      <c r="K12" s="59">
        <f>J12*$F$4</f>
        <v>0.11865234374999999</v>
      </c>
    </row>
    <row r="13" spans="1:11">
      <c r="F13" s="59"/>
      <c r="G13" s="59"/>
      <c r="H13" s="59">
        <f>G12*$F$5</f>
        <v>4.3740000000000001E-2</v>
      </c>
      <c r="I13" s="59">
        <f>H13*$F$4</f>
        <v>5.4675000000000001E-2</v>
      </c>
      <c r="J13" s="59">
        <f>I13*$F$4</f>
        <v>6.8343750000000009E-2</v>
      </c>
      <c r="K13" s="59">
        <f>J13*$F$4</f>
        <v>8.5429687500000018E-2</v>
      </c>
    </row>
    <row r="14" spans="1:11">
      <c r="F14" s="59"/>
      <c r="G14" s="59"/>
      <c r="H14" s="59"/>
      <c r="I14" s="59">
        <f>H13*$F$5</f>
        <v>3.9366000000000005E-2</v>
      </c>
      <c r="J14" s="59">
        <f>I14*$F$4</f>
        <v>4.9207500000000008E-2</v>
      </c>
      <c r="K14" s="59">
        <f>J14*$F$4</f>
        <v>6.1509375000000012E-2</v>
      </c>
    </row>
    <row r="15" spans="1:11">
      <c r="F15" s="59"/>
      <c r="G15" s="59"/>
      <c r="H15" s="59"/>
      <c r="I15" s="59"/>
      <c r="J15" s="59">
        <f>I14*$F$5</f>
        <v>3.5429400000000007E-2</v>
      </c>
      <c r="K15" s="59">
        <f>J15*$F$4</f>
        <v>4.4286750000000007E-2</v>
      </c>
    </row>
    <row r="16" spans="1:11">
      <c r="F16" s="59"/>
      <c r="G16" s="59"/>
      <c r="H16" s="59"/>
      <c r="I16" s="59"/>
      <c r="J16" s="59"/>
      <c r="K16" s="59">
        <f>J15*$F$5</f>
        <v>3.1886460000000005E-2</v>
      </c>
    </row>
    <row r="20" spans="3:11">
      <c r="D20" s="3" t="s">
        <v>0</v>
      </c>
      <c r="E20" s="3">
        <v>0</v>
      </c>
      <c r="F20" s="3">
        <v>1</v>
      </c>
      <c r="G20" s="3">
        <v>2</v>
      </c>
      <c r="H20" s="3">
        <v>3</v>
      </c>
      <c r="I20" s="3">
        <v>4</v>
      </c>
      <c r="J20" s="3">
        <v>5</v>
      </c>
      <c r="K20" s="3">
        <v>6</v>
      </c>
    </row>
    <row r="21" spans="3:11">
      <c r="C21" t="s">
        <v>70</v>
      </c>
      <c r="D21" t="s">
        <v>31</v>
      </c>
      <c r="E21">
        <f>1/(1 + E10)</f>
        <v>0.94339622641509424</v>
      </c>
      <c r="F21">
        <f t="shared" ref="F21:K21" si="1">1/(1 + F10)</f>
        <v>0.93023255813953487</v>
      </c>
      <c r="G21">
        <f t="shared" si="1"/>
        <v>0.91428571428571426</v>
      </c>
      <c r="H21">
        <f t="shared" si="1"/>
        <v>0.8951048951048951</v>
      </c>
      <c r="I21">
        <f t="shared" si="1"/>
        <v>0.87223168654173766</v>
      </c>
      <c r="J21">
        <f t="shared" si="1"/>
        <v>0.84523318200577802</v>
      </c>
      <c r="K21">
        <f t="shared" si="1"/>
        <v>0.81374788914274365</v>
      </c>
    </row>
    <row r="22" spans="3:11">
      <c r="F22">
        <f t="shared" ref="F22:K22" si="2">1/(1 + F11)</f>
        <v>0.94876660341555974</v>
      </c>
      <c r="G22">
        <f t="shared" si="2"/>
        <v>0.93676814988290402</v>
      </c>
      <c r="H22">
        <f t="shared" si="2"/>
        <v>0.9221902017291066</v>
      </c>
      <c r="I22">
        <f t="shared" si="2"/>
        <v>0.90459363957597172</v>
      </c>
      <c r="J22">
        <f t="shared" si="2"/>
        <v>0.88352027610008632</v>
      </c>
      <c r="K22">
        <f t="shared" si="2"/>
        <v>0.85852022636763781</v>
      </c>
    </row>
    <row r="23" spans="3:11">
      <c r="G23">
        <f t="shared" ref="G23:K23" si="3">1/(1 + G12)</f>
        <v>0.95365248903299638</v>
      </c>
      <c r="H23">
        <f t="shared" si="3"/>
        <v>0.94272920103700208</v>
      </c>
      <c r="I23">
        <f t="shared" si="3"/>
        <v>0.92942201568399652</v>
      </c>
      <c r="J23">
        <f t="shared" si="3"/>
        <v>0.91330717088833391</v>
      </c>
      <c r="K23">
        <f t="shared" si="3"/>
        <v>0.8939327804452204</v>
      </c>
    </row>
    <row r="24" spans="3:11">
      <c r="H24">
        <f t="shared" ref="H24:K24" si="4">1/(1 + H13)</f>
        <v>0.95809301166957272</v>
      </c>
      <c r="I24">
        <f t="shared" si="4"/>
        <v>0.94815938559271806</v>
      </c>
      <c r="J24">
        <f t="shared" si="4"/>
        <v>0.93602831485652449</v>
      </c>
      <c r="K24">
        <f t="shared" si="4"/>
        <v>0.92129413034872421</v>
      </c>
    </row>
    <row r="25" spans="3:11">
      <c r="I25">
        <f t="shared" ref="I25:K25" si="5">1/(1 + I14)</f>
        <v>0.96212498773290644</v>
      </c>
      <c r="J25">
        <f t="shared" si="5"/>
        <v>0.95310031619102986</v>
      </c>
      <c r="K25">
        <f t="shared" si="5"/>
        <v>0.9420547981500399</v>
      </c>
    </row>
    <row r="26" spans="3:11">
      <c r="J26">
        <f t="shared" ref="J26:K26" si="6">1/(1 + J15)</f>
        <v>0.96578289161965081</v>
      </c>
      <c r="K26">
        <f t="shared" si="6"/>
        <v>0.95759138952974365</v>
      </c>
    </row>
    <row r="27" spans="3:11">
      <c r="K27">
        <f t="shared" ref="K27" si="7">1/(1 + K16)</f>
        <v>0.96909886771845044</v>
      </c>
    </row>
    <row r="31" spans="3:11">
      <c r="D31" s="3" t="s">
        <v>0</v>
      </c>
      <c r="E31" s="3">
        <v>0</v>
      </c>
      <c r="F31" s="3">
        <v>1</v>
      </c>
      <c r="G31" s="3">
        <v>2</v>
      </c>
      <c r="H31" s="3">
        <v>3</v>
      </c>
      <c r="I31" s="3">
        <v>4</v>
      </c>
      <c r="J31" s="3">
        <v>5</v>
      </c>
      <c r="K31" s="3">
        <v>6</v>
      </c>
    </row>
    <row r="32" spans="3:11">
      <c r="C32" t="s">
        <v>71</v>
      </c>
      <c r="D32" t="s">
        <v>36</v>
      </c>
      <c r="E32">
        <f t="shared" ref="E32:G34" si="8">E21*0.5*(F32+F33)</f>
        <v>77.217740328716005</v>
      </c>
      <c r="F32">
        <f t="shared" si="8"/>
        <v>79.268001029924164</v>
      </c>
      <c r="G32">
        <f t="shared" si="8"/>
        <v>83.076347283840079</v>
      </c>
      <c r="H32">
        <f>H21*0.5*(I32+I33)</f>
        <v>89.510489510489506</v>
      </c>
      <c r="I32">
        <v>100</v>
      </c>
    </row>
    <row r="33" spans="4:11" ht="21" customHeight="1">
      <c r="F33">
        <f t="shared" si="8"/>
        <v>84.433608466953771</v>
      </c>
      <c r="G33">
        <f t="shared" si="8"/>
        <v>87.349854930496903</v>
      </c>
      <c r="H33">
        <f t="shared" ref="H33:H35" si="9">H22*0.5*(I33+I34)</f>
        <v>92.21902017291066</v>
      </c>
      <c r="I33">
        <v>100</v>
      </c>
    </row>
    <row r="34" spans="4:11">
      <c r="G34">
        <f t="shared" si="8"/>
        <v>90.636191717841641</v>
      </c>
      <c r="H34">
        <f t="shared" si="9"/>
        <v>94.272920103700216</v>
      </c>
      <c r="I34">
        <v>100</v>
      </c>
    </row>
    <row r="35" spans="4:11">
      <c r="H35">
        <f t="shared" si="9"/>
        <v>95.809301166957269</v>
      </c>
      <c r="I35">
        <v>100</v>
      </c>
    </row>
    <row r="36" spans="4:11">
      <c r="I36">
        <v>100</v>
      </c>
    </row>
    <row r="38" spans="4:11">
      <c r="D38" s="30" t="s">
        <v>25</v>
      </c>
      <c r="E38" s="13">
        <v>84</v>
      </c>
    </row>
    <row r="40" spans="4:11">
      <c r="D40" s="3" t="s">
        <v>0</v>
      </c>
      <c r="E40" s="3">
        <v>0</v>
      </c>
      <c r="F40" s="3">
        <v>1</v>
      </c>
      <c r="G40" s="3">
        <v>2</v>
      </c>
      <c r="H40" s="3">
        <v>3</v>
      </c>
      <c r="I40" s="3">
        <v>4</v>
      </c>
      <c r="J40" s="3">
        <v>5</v>
      </c>
      <c r="K40" s="3">
        <v>6</v>
      </c>
    </row>
    <row r="41" spans="4:11">
      <c r="D41" t="s">
        <v>72</v>
      </c>
      <c r="E41">
        <f>E21*0.5*(F41+F42)</f>
        <v>2.9694744531806516</v>
      </c>
      <c r="F41">
        <f>F21*0.5*(G41+G42)</f>
        <v>1.5580720606962339</v>
      </c>
      <c r="G41">
        <f>MAX(0, G32-$E$38)</f>
        <v>0</v>
      </c>
    </row>
    <row r="42" spans="4:11">
      <c r="F42">
        <f>F22*0.5*(G42+G43)</f>
        <v>4.7372137800467478</v>
      </c>
      <c r="G42">
        <f t="shared" ref="G42:G43" si="10">MAX(0, G33-$E$38)</f>
        <v>3.3498549304969032</v>
      </c>
    </row>
    <row r="43" spans="4:11">
      <c r="G43">
        <f t="shared" si="10"/>
        <v>6.6361917178416405</v>
      </c>
    </row>
    <row r="47" spans="4:11">
      <c r="D47" s="30" t="s">
        <v>25</v>
      </c>
      <c r="E47" s="13">
        <v>88</v>
      </c>
    </row>
    <row r="49" spans="4:11">
      <c r="D49" s="3" t="s">
        <v>0</v>
      </c>
      <c r="E49" s="3">
        <v>0</v>
      </c>
      <c r="F49" s="3">
        <v>1</v>
      </c>
      <c r="G49" s="3">
        <v>2</v>
      </c>
      <c r="H49" s="3">
        <v>3</v>
      </c>
      <c r="I49" s="3">
        <v>4</v>
      </c>
      <c r="J49" s="3">
        <v>5</v>
      </c>
      <c r="K49" s="3">
        <v>6</v>
      </c>
    </row>
    <row r="50" spans="4:11">
      <c r="D50" t="s">
        <v>73</v>
      </c>
      <c r="E50">
        <f t="shared" ref="E50:F50" si="11">MAX(E21*0.5*(F50+F51), MAX($E$47 - E32, 0))</f>
        <v>10.782259671283995</v>
      </c>
      <c r="F50">
        <f t="shared" si="11"/>
        <v>8.7319989700758356</v>
      </c>
      <c r="G50">
        <f>MAX(G21*0.5*(H50+H51), MAX($E$47 - G32, 0))</f>
        <v>4.9236527161599213</v>
      </c>
      <c r="H50">
        <f>MAX($E$47 - H32, 0)</f>
        <v>0</v>
      </c>
    </row>
    <row r="51" spans="4:11">
      <c r="F51">
        <f t="shared" ref="F51:G52" si="12">MAX(F22*0.5*(G51+G52), MAX($E$47 - F33, 0))</f>
        <v>3.5663915330462288</v>
      </c>
      <c r="G51">
        <f t="shared" si="12"/>
        <v>0.65014506950309681</v>
      </c>
      <c r="H51">
        <f>MAX($E$47 - H33, 0)</f>
        <v>0</v>
      </c>
    </row>
    <row r="52" spans="4:11">
      <c r="G52">
        <f t="shared" si="12"/>
        <v>0</v>
      </c>
      <c r="H52">
        <f t="shared" ref="H52:H53" si="13">MAX($E$47 - H34, 0)</f>
        <v>0</v>
      </c>
    </row>
    <row r="53" spans="4:11">
      <c r="H53">
        <f t="shared" si="13"/>
        <v>0</v>
      </c>
    </row>
    <row r="55" spans="4:11">
      <c r="D55" s="30" t="s">
        <v>39</v>
      </c>
      <c r="E55" s="13">
        <v>0.1</v>
      </c>
    </row>
    <row r="56" spans="4:11">
      <c r="I56" t="s">
        <v>74</v>
      </c>
      <c r="K56" t="s">
        <v>75</v>
      </c>
    </row>
    <row r="57" spans="4:11">
      <c r="D57" s="3" t="s">
        <v>0</v>
      </c>
      <c r="E57" s="3">
        <v>0</v>
      </c>
      <c r="F57" s="3">
        <v>1</v>
      </c>
      <c r="G57" s="3">
        <v>2</v>
      </c>
      <c r="H57" s="3">
        <v>3</v>
      </c>
      <c r="I57" s="3">
        <v>4</v>
      </c>
      <c r="J57" s="3">
        <v>5</v>
      </c>
      <c r="K57" s="3">
        <v>6</v>
      </c>
    </row>
    <row r="58" spans="4:11">
      <c r="D58" t="s">
        <v>79</v>
      </c>
      <c r="E58">
        <f t="shared" ref="E58:H61" si="14">E21*0.5*(F58+F59)</f>
        <v>79.82696286654145</v>
      </c>
      <c r="F58">
        <f t="shared" si="14"/>
        <v>79.99109276539005</v>
      </c>
      <c r="G58">
        <f t="shared" si="14"/>
        <v>81.529355242975726</v>
      </c>
      <c r="H58">
        <f t="shared" si="14"/>
        <v>85.078926142597325</v>
      </c>
      <c r="I58">
        <f>I21*0.5*(J58+J59)</f>
        <v>91.655361806237053</v>
      </c>
      <c r="J58">
        <f>J21*0.5*(K58+K59) +100*$E$55</f>
        <v>102.9756500206356</v>
      </c>
      <c r="K58">
        <f>100*(1+$E$55)</f>
        <v>110.00000000000001</v>
      </c>
    </row>
    <row r="59" spans="4:11">
      <c r="F59">
        <f t="shared" si="14"/>
        <v>89.242068511677829</v>
      </c>
      <c r="G59">
        <f t="shared" si="14"/>
        <v>90.451494202612892</v>
      </c>
      <c r="H59">
        <f t="shared" si="14"/>
        <v>93.26653845141206</v>
      </c>
      <c r="I59">
        <f t="shared" ref="I59:I62" si="15">I22*0.5*(J59+J60)</f>
        <v>98.442863793628831</v>
      </c>
      <c r="J59">
        <f t="shared" ref="J59:J63" si="16">J22*0.5*(K59+K60) +100*$E$55</f>
        <v>107.18723037100951</v>
      </c>
      <c r="K59">
        <f t="shared" ref="K59:K64" si="17">100*(1+$E$55)</f>
        <v>110.00000000000001</v>
      </c>
    </row>
    <row r="60" spans="4:11">
      <c r="G60">
        <f t="shared" si="14"/>
        <v>97.67078622000399</v>
      </c>
      <c r="H60">
        <f t="shared" si="14"/>
        <v>99.847401671166452</v>
      </c>
      <c r="I60">
        <f t="shared" si="15"/>
        <v>103.82894147287108</v>
      </c>
      <c r="J60">
        <f t="shared" si="16"/>
        <v>110.46378879771675</v>
      </c>
      <c r="K60">
        <f t="shared" si="17"/>
        <v>110.00000000000001</v>
      </c>
    </row>
    <row r="61" spans="4:11">
      <c r="H61">
        <f t="shared" si="14"/>
        <v>104.98777118942591</v>
      </c>
      <c r="I61">
        <f t="shared" si="15"/>
        <v>107.99732117250858</v>
      </c>
      <c r="J61">
        <f t="shared" si="16"/>
        <v>112.9631146342177</v>
      </c>
      <c r="K61">
        <f t="shared" si="17"/>
        <v>110.00000000000001</v>
      </c>
    </row>
    <row r="62" spans="4:11">
      <c r="D62" t="s">
        <v>78</v>
      </c>
      <c r="E62">
        <f>E58/E32*100</f>
        <v>103.3790454456683</v>
      </c>
      <c r="I62">
        <f t="shared" si="15"/>
        <v>111.16255142999428</v>
      </c>
      <c r="J62">
        <f t="shared" si="16"/>
        <v>114.84103478101329</v>
      </c>
      <c r="K62">
        <f t="shared" si="17"/>
        <v>110.00000000000001</v>
      </c>
    </row>
    <row r="63" spans="4:11">
      <c r="J63">
        <f t="shared" si="16"/>
        <v>116.2361180781616</v>
      </c>
      <c r="K63">
        <f t="shared" si="17"/>
        <v>110.00000000000001</v>
      </c>
    </row>
    <row r="64" spans="4:11">
      <c r="K64">
        <f t="shared" si="17"/>
        <v>110.00000000000001</v>
      </c>
    </row>
    <row r="67" spans="4:11">
      <c r="D67" s="3" t="s">
        <v>0</v>
      </c>
      <c r="E67" s="3">
        <v>0</v>
      </c>
      <c r="F67" s="3">
        <v>1</v>
      </c>
      <c r="G67" s="3">
        <v>2</v>
      </c>
      <c r="H67" s="3">
        <v>3</v>
      </c>
      <c r="I67" s="3">
        <v>4</v>
      </c>
      <c r="J67" s="3">
        <v>5</v>
      </c>
      <c r="K67" s="3">
        <v>6</v>
      </c>
    </row>
    <row r="68" spans="4:11" ht="34">
      <c r="D68" s="1" t="s">
        <v>76</v>
      </c>
      <c r="E68">
        <f t="shared" ref="E68:G70" si="18">E21*0.5*(F68+F69)</f>
        <v>4.1895208476420997E-16</v>
      </c>
      <c r="F68">
        <f t="shared" si="18"/>
        <v>-1.9554100432080748</v>
      </c>
      <c r="G68">
        <f t="shared" si="18"/>
        <v>-4.3541795701865382</v>
      </c>
      <c r="H68">
        <f>H21*0.5*(I68+I69)</f>
        <v>-7.4561634870917857</v>
      </c>
      <c r="I68">
        <f>I58 -$E$62</f>
        <v>-11.723683639431243</v>
      </c>
    </row>
    <row r="69" spans="4:11">
      <c r="F69">
        <f t="shared" si="18"/>
        <v>1.9554100432080757</v>
      </c>
      <c r="G69">
        <f t="shared" si="18"/>
        <v>0.15004797728917732</v>
      </c>
      <c r="H69">
        <f t="shared" ref="H69:H71" si="19">H22*0.5*(I69+I70)</f>
        <v>-2.0686043226912658</v>
      </c>
      <c r="I69">
        <f t="shared" ref="I69:I72" si="20">I59 -$E$62</f>
        <v>-4.9361816520394655</v>
      </c>
    </row>
    <row r="70" spans="4:11">
      <c r="G70">
        <f t="shared" si="18"/>
        <v>3.9719563937934468</v>
      </c>
      <c r="H70">
        <f t="shared" si="19"/>
        <v>2.3889567542036594</v>
      </c>
      <c r="I70">
        <f t="shared" si="20"/>
        <v>0.44989602720278299</v>
      </c>
    </row>
    <row r="71" spans="4:11">
      <c r="H71">
        <f t="shared" si="19"/>
        <v>5.9410301948599571</v>
      </c>
      <c r="I71">
        <f t="shared" si="20"/>
        <v>4.618275726840281</v>
      </c>
    </row>
    <row r="72" spans="4:11">
      <c r="I72">
        <f t="shared" si="20"/>
        <v>7.7835059843259842</v>
      </c>
    </row>
    <row r="77" spans="4:11">
      <c r="D77" s="3" t="s">
        <v>0</v>
      </c>
      <c r="E77" s="3">
        <v>0</v>
      </c>
      <c r="F77" s="3">
        <v>1</v>
      </c>
      <c r="G77" s="3">
        <v>2</v>
      </c>
      <c r="H77" s="3">
        <v>3</v>
      </c>
      <c r="I77" s="3">
        <v>4</v>
      </c>
      <c r="J77" s="3">
        <v>5</v>
      </c>
      <c r="K77" s="3">
        <v>6</v>
      </c>
    </row>
    <row r="78" spans="4:11">
      <c r="D78" t="s">
        <v>77</v>
      </c>
      <c r="E78">
        <f>0.5*(F78+F79)</f>
        <v>103.22201887112546</v>
      </c>
      <c r="F78">
        <f>0.5*(G78+G79)</f>
        <v>100.80851234728067</v>
      </c>
      <c r="G78">
        <f>0.5*(H78+H79)</f>
        <v>98.092507716591456</v>
      </c>
      <c r="H78">
        <f>0.5*(I78+I79)</f>
        <v>95.049112799932942</v>
      </c>
      <c r="I78">
        <f>I58</f>
        <v>91.655361806237053</v>
      </c>
    </row>
    <row r="79" spans="4:11">
      <c r="F79">
        <f t="shared" ref="F79:G80" si="21">0.5*(G79+G80)</f>
        <v>105.63552539497024</v>
      </c>
      <c r="G79">
        <f t="shared" si="21"/>
        <v>103.52451697796988</v>
      </c>
      <c r="H79">
        <f t="shared" ref="H79:H81" si="22">0.5*(I79+I80)</f>
        <v>101.13590263324996</v>
      </c>
      <c r="I79">
        <f>I59</f>
        <v>98.442863793628831</v>
      </c>
    </row>
    <row r="80" spans="4:11">
      <c r="G80">
        <f t="shared" si="21"/>
        <v>107.74653381197062</v>
      </c>
      <c r="H80">
        <f t="shared" si="22"/>
        <v>105.91313132268982</v>
      </c>
      <c r="I80">
        <f t="shared" ref="I80:I82" si="23">I60</f>
        <v>103.82894147287108</v>
      </c>
    </row>
    <row r="81" spans="4:11">
      <c r="H81">
        <f t="shared" si="22"/>
        <v>109.57993630125142</v>
      </c>
      <c r="I81">
        <f t="shared" si="23"/>
        <v>107.99732117250858</v>
      </c>
    </row>
    <row r="82" spans="4:11">
      <c r="I82">
        <f t="shared" si="23"/>
        <v>111.16255142999428</v>
      </c>
    </row>
    <row r="88" spans="4:11" ht="34">
      <c r="D88" s="61" t="s">
        <v>83</v>
      </c>
      <c r="E88" s="13">
        <v>0.02</v>
      </c>
      <c r="J88" t="s">
        <v>81</v>
      </c>
      <c r="K88" s="1" t="s">
        <v>82</v>
      </c>
    </row>
    <row r="89" spans="4:11">
      <c r="D89" s="3" t="s">
        <v>0</v>
      </c>
      <c r="E89" s="3">
        <v>0</v>
      </c>
      <c r="F89" s="3">
        <v>1</v>
      </c>
      <c r="G89" s="3">
        <v>2</v>
      </c>
      <c r="H89" s="3">
        <v>3</v>
      </c>
      <c r="I89" s="3">
        <v>4</v>
      </c>
      <c r="J89" s="3">
        <v>5</v>
      </c>
      <c r="K89" s="3">
        <v>6</v>
      </c>
    </row>
    <row r="90" spans="4:11">
      <c r="D90" t="s">
        <v>80</v>
      </c>
      <c r="E90" s="63">
        <f t="shared" ref="E90:H93" si="24">E21*0.5*(F90+F91)</f>
        <v>4.204522491792468</v>
      </c>
      <c r="F90" s="63">
        <f t="shared" si="24"/>
        <v>5.1502670054143636</v>
      </c>
      <c r="G90" s="63">
        <f t="shared" si="24"/>
        <v>6.3672438860078238</v>
      </c>
      <c r="H90" s="63">
        <f t="shared" si="24"/>
        <v>8.0047660622954346</v>
      </c>
      <c r="I90" s="63">
        <f>I21*0.5*(J90+J91)</f>
        <v>10.321617890868268</v>
      </c>
      <c r="J90" s="64">
        <f>100*MAX(J10-$E$88, 0)*J21</f>
        <v>13.786215435410648</v>
      </c>
    </row>
    <row r="91" spans="4:11">
      <c r="E91" s="63"/>
      <c r="F91" s="63">
        <f t="shared" si="24"/>
        <v>3.76332067718567</v>
      </c>
      <c r="G91" s="63">
        <f t="shared" si="24"/>
        <v>4.7058301756330589</v>
      </c>
      <c r="H91" s="63">
        <f t="shared" si="24"/>
        <v>5.9235799383466805</v>
      </c>
      <c r="I91" s="63">
        <f t="shared" ref="I91:I94" si="25">I22*0.5*(J91+J92)</f>
        <v>7.5640312795730944</v>
      </c>
      <c r="J91" s="64">
        <f t="shared" ref="J91:J95" si="26">100*MAX(J11-$E$88, 0)*J22</f>
        <v>9.8809318377912003</v>
      </c>
    </row>
    <row r="92" spans="4:11">
      <c r="E92" s="63"/>
      <c r="F92" s="63"/>
      <c r="G92" s="63">
        <f t="shared" si="24"/>
        <v>3.2272498118743336</v>
      </c>
      <c r="H92" s="63">
        <f t="shared" si="24"/>
        <v>4.1233674866298999</v>
      </c>
      <c r="I92" s="63">
        <f t="shared" si="25"/>
        <v>5.2827327117162701</v>
      </c>
      <c r="J92" s="64">
        <f t="shared" si="26"/>
        <v>6.8426685693899376</v>
      </c>
    </row>
    <row r="93" spans="4:11">
      <c r="E93" s="63"/>
      <c r="F93" s="63"/>
      <c r="G93" s="63"/>
      <c r="H93" s="63">
        <f t="shared" si="24"/>
        <v>2.6448208188329527</v>
      </c>
      <c r="I93" s="63">
        <f t="shared" si="25"/>
        <v>3.4649914111690627</v>
      </c>
      <c r="J93" s="64">
        <f t="shared" si="26"/>
        <v>4.5251118846345113</v>
      </c>
    </row>
    <row r="94" spans="4:11">
      <c r="E94" s="63"/>
      <c r="F94" s="63"/>
      <c r="G94" s="63"/>
      <c r="H94" s="63"/>
      <c r="I94" s="63">
        <f t="shared" si="25"/>
        <v>2.0560191517283499</v>
      </c>
      <c r="J94" s="64">
        <f t="shared" si="26"/>
        <v>2.7837677485149515</v>
      </c>
    </row>
    <row r="95" spans="4:11">
      <c r="E95" s="63"/>
      <c r="F95" s="63"/>
      <c r="G95" s="63"/>
      <c r="H95" s="63"/>
      <c r="I95" s="63"/>
      <c r="J95" s="64">
        <f t="shared" si="26"/>
        <v>1.4901450547956245</v>
      </c>
    </row>
    <row r="96" spans="4:11">
      <c r="J96" s="62"/>
    </row>
    <row r="97" spans="10:10">
      <c r="J97" s="62"/>
    </row>
    <row r="98" spans="10:10">
      <c r="J98" s="62"/>
    </row>
    <row r="99" spans="10:10">
      <c r="J99" s="62"/>
    </row>
  </sheetData>
  <hyperlinks>
    <hyperlink ref="B1" r:id="rId1" xr:uid="{E53A3B6D-E519-A541-807A-0487A54F5943}"/>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687C8-3F31-944E-8FB5-D80367005550}">
  <sheetPr codeName="Sheet1"/>
  <dimension ref="A1:M68"/>
  <sheetViews>
    <sheetView zoomScale="75" workbookViewId="0">
      <selection activeCell="A15" sqref="A15"/>
    </sheetView>
  </sheetViews>
  <sheetFormatPr baseColWidth="10" defaultRowHeight="16"/>
  <cols>
    <col min="1" max="1" width="75.83203125" customWidth="1"/>
    <col min="2" max="2" width="63.5" customWidth="1"/>
    <col min="3" max="3" width="11" bestFit="1" customWidth="1"/>
    <col min="4" max="4" width="13" bestFit="1" customWidth="1"/>
    <col min="5" max="5" width="12.83203125" bestFit="1" customWidth="1"/>
    <col min="6" max="7" width="11" bestFit="1" customWidth="1"/>
    <col min="9" max="9" width="15.83203125" customWidth="1"/>
    <col min="10" max="13" width="11" bestFit="1" customWidth="1"/>
  </cols>
  <sheetData>
    <row r="1" spans="1:12" ht="34">
      <c r="A1" s="1" t="s">
        <v>85</v>
      </c>
      <c r="B1" s="13" t="s">
        <v>3</v>
      </c>
      <c r="C1" s="13">
        <v>0.5</v>
      </c>
      <c r="E1" s="4" t="s">
        <v>16</v>
      </c>
    </row>
    <row r="2" spans="1:12">
      <c r="B2" s="13" t="s">
        <v>6</v>
      </c>
      <c r="C2" s="13">
        <v>0.5</v>
      </c>
    </row>
    <row r="3" spans="1:12">
      <c r="B3" s="13" t="s">
        <v>21</v>
      </c>
      <c r="C3" s="13">
        <v>0.05</v>
      </c>
    </row>
    <row r="5" spans="1:12">
      <c r="C5" s="2" t="s">
        <v>0</v>
      </c>
      <c r="D5" s="2">
        <f>C1</f>
        <v>0.5</v>
      </c>
      <c r="E5" s="2">
        <f t="shared" ref="E5:G5" si="0">D5+$C$1</f>
        <v>1</v>
      </c>
      <c r="F5" s="2">
        <f t="shared" si="0"/>
        <v>1.5</v>
      </c>
      <c r="G5" s="2">
        <f t="shared" si="0"/>
        <v>2</v>
      </c>
      <c r="I5" s="2" t="s">
        <v>0</v>
      </c>
      <c r="J5" s="2">
        <v>0.5</v>
      </c>
      <c r="K5" s="2">
        <v>1</v>
      </c>
      <c r="L5" s="2">
        <v>1.5</v>
      </c>
    </row>
    <row r="6" spans="1:12">
      <c r="C6" t="s">
        <v>22</v>
      </c>
      <c r="D6" s="5">
        <v>0.97299999999999998</v>
      </c>
      <c r="E6" s="5">
        <v>0.9476</v>
      </c>
      <c r="F6" s="5">
        <v>0.92220000000000002</v>
      </c>
      <c r="G6" s="5">
        <v>0.8972</v>
      </c>
      <c r="I6" s="3" t="s">
        <v>23</v>
      </c>
      <c r="J6" s="6">
        <v>-7.8977961172669281E-2</v>
      </c>
      <c r="K6" s="6">
        <v>4.2220000000000001E-2</v>
      </c>
      <c r="L6" s="6">
        <v>1.686E-2</v>
      </c>
    </row>
    <row r="7" spans="1:12" ht="77" customHeight="1"/>
    <row r="8" spans="1:12">
      <c r="B8" s="2" t="s">
        <v>0</v>
      </c>
      <c r="C8" s="2">
        <v>0</v>
      </c>
      <c r="D8" s="2">
        <f>C8+$C$1</f>
        <v>0.5</v>
      </c>
      <c r="E8" s="2">
        <f t="shared" ref="E8:G8" si="1">D8+$C$1</f>
        <v>1</v>
      </c>
      <c r="F8" s="2">
        <f t="shared" si="1"/>
        <v>1.5</v>
      </c>
      <c r="G8" s="2">
        <f t="shared" si="1"/>
        <v>2</v>
      </c>
    </row>
    <row r="9" spans="1:12">
      <c r="B9" s="3" t="s">
        <v>2</v>
      </c>
      <c r="C9" s="3"/>
      <c r="D9" s="3">
        <f>1/(1 + D8*$C$3)</f>
        <v>0.97560975609756106</v>
      </c>
      <c r="E9" s="3">
        <f>1/(1 + E8*$C$3)</f>
        <v>0.95238095238095233</v>
      </c>
      <c r="F9" s="3">
        <f>1/(1 + F8*$C$3)</f>
        <v>0.93023255813953487</v>
      </c>
      <c r="G9" s="3">
        <f>1/(1 + G8*$C$3)</f>
        <v>0.90909090909090906</v>
      </c>
      <c r="K9" t="s">
        <v>10</v>
      </c>
      <c r="L9" t="s">
        <v>11</v>
      </c>
    </row>
    <row r="10" spans="1:12" ht="34">
      <c r="B10" s="1" t="s">
        <v>1</v>
      </c>
      <c r="K10">
        <v>2.2362380104156601</v>
      </c>
      <c r="L10">
        <f xml:space="preserve"> K10^2 - 5</f>
        <v>7.6043922778978867E-4</v>
      </c>
    </row>
    <row r="11" spans="1:12" ht="35" thickBot="1">
      <c r="B11" s="1" t="s">
        <v>12</v>
      </c>
      <c r="D11">
        <f>SUMPRODUCT(D62:D66, D24:D28) - E9/D9</f>
        <v>-5.9492875803212053E-2</v>
      </c>
      <c r="E11">
        <f>SUM(E24:E25)*0.5 - F9/E9</f>
        <v>-5.4288548594066177E-2</v>
      </c>
      <c r="F11">
        <f>SUMPRODUCT(F62:F66, F24:F28) - G9/F9</f>
        <v>-8.2775473018958934E-3</v>
      </c>
      <c r="K11">
        <v>5</v>
      </c>
      <c r="L11">
        <f xml:space="preserve"> K11- 5</f>
        <v>0</v>
      </c>
    </row>
    <row r="12" spans="1:12">
      <c r="A12" t="s">
        <v>5</v>
      </c>
      <c r="B12" s="14" t="s">
        <v>0</v>
      </c>
      <c r="C12" s="15">
        <v>0</v>
      </c>
      <c r="D12" s="15">
        <f>C12+$C$1</f>
        <v>0.5</v>
      </c>
      <c r="E12" s="15">
        <f t="shared" ref="E12:G12" si="2">D12+$C$1</f>
        <v>1</v>
      </c>
      <c r="F12" s="15">
        <f t="shared" si="2"/>
        <v>1.5</v>
      </c>
      <c r="G12" s="16">
        <f t="shared" si="2"/>
        <v>2</v>
      </c>
    </row>
    <row r="13" spans="1:12">
      <c r="B13" s="17" t="s">
        <v>4</v>
      </c>
      <c r="C13" s="18"/>
      <c r="D13" s="19">
        <f>$C$3</f>
        <v>0.05</v>
      </c>
      <c r="E13" s="19">
        <f>$C$3</f>
        <v>0.05</v>
      </c>
      <c r="F13" s="19">
        <f>$C$3</f>
        <v>0.05</v>
      </c>
      <c r="G13" s="20">
        <f>$C$3</f>
        <v>0.05</v>
      </c>
    </row>
    <row r="14" spans="1:12">
      <c r="B14" s="9" t="s">
        <v>8</v>
      </c>
      <c r="C14">
        <f>(1/D9 - 1) / C1</f>
        <v>4.9999999999999822E-2</v>
      </c>
      <c r="D14">
        <f>C14 * EXP(D$13*$C$1 + $C$2*SQRT($C$1))</f>
        <v>7.3008538205013448E-2</v>
      </c>
      <c r="E14">
        <f>D14 * EXP(E$13*$C$1 + $C$2*SQRT($C$1))</f>
        <v>0.10660493301665855</v>
      </c>
      <c r="F14">
        <f>E14 * EXP(F$13*$C$1 + $C$2*SQRT($C$1))</f>
        <v>0.15566140649979285</v>
      </c>
      <c r="G14" s="10"/>
    </row>
    <row r="15" spans="1:12">
      <c r="B15" s="9"/>
      <c r="D15">
        <f>C14 * EXP(D13*$C$1 - $C$2*SQRT($C$1))</f>
        <v>3.599822439342535E-2</v>
      </c>
      <c r="E15">
        <f>D15 * EXP(E$13*$C$1 + $C$2*SQRT($C$1))</f>
        <v>5.2563554818801018E-2</v>
      </c>
      <c r="F15">
        <f>E15 * EXP(F$13*$C$1 + $C$2*SQRT($C$1))</f>
        <v>7.6751766003595331E-2</v>
      </c>
      <c r="G15" s="10"/>
    </row>
    <row r="16" spans="1:12">
      <c r="B16" s="9"/>
      <c r="E16">
        <f>D15 * EXP(E$13*$C$1 - $C$2*SQRT($C$1))</f>
        <v>2.591744318958817E-2</v>
      </c>
      <c r="F16">
        <f>E16 * EXP(F$13*$C$1 + $C$2*SQRT($C$1))</f>
        <v>3.7843892825666407E-2</v>
      </c>
      <c r="G16" s="10"/>
    </row>
    <row r="17" spans="1:13">
      <c r="B17" s="9"/>
      <c r="F17">
        <f>E16 * EXP(F$13*$C$1 - $C$2*SQRT($C$1))</f>
        <v>1.8659638712853036E-2</v>
      </c>
      <c r="G17" s="10"/>
      <c r="L17" s="4">
        <v>-7.9680000000000001E-2</v>
      </c>
      <c r="M17" s="4">
        <v>4.2220000000000001E-2</v>
      </c>
    </row>
    <row r="18" spans="1:13" ht="17" thickBot="1">
      <c r="B18" s="11"/>
      <c r="C18" s="21"/>
      <c r="D18" s="21"/>
      <c r="E18" s="21"/>
      <c r="F18" s="21"/>
      <c r="G18" s="12"/>
    </row>
    <row r="19" spans="1:13">
      <c r="B19" t="s">
        <v>20</v>
      </c>
      <c r="C19">
        <f>AVERAGE(C14:C18)</f>
        <v>4.9999999999999822E-2</v>
      </c>
      <c r="D19">
        <f>AVERAGE(D14:D18)</f>
        <v>5.4503381299219403E-2</v>
      </c>
      <c r="E19">
        <f t="shared" ref="E19:F19" si="3">AVERAGE(E14:E18)</f>
        <v>6.1695310341682574E-2</v>
      </c>
      <c r="F19">
        <f t="shared" si="3"/>
        <v>7.2229176010476903E-2</v>
      </c>
    </row>
    <row r="20" spans="1:13">
      <c r="C20">
        <v>0.05</v>
      </c>
      <c r="D20">
        <f>EXP(C20*$C$1+0.5*$C$2^2*$C$1)*C20</f>
        <v>5.457211322214759E-2</v>
      </c>
      <c r="E20">
        <f t="shared" ref="E20:F20" si="4">EXP(D20*$C$1+0.5*$C$2^2*$C$1)*D20</f>
        <v>5.9698629401681018E-2</v>
      </c>
      <c r="F20">
        <f t="shared" si="4"/>
        <v>6.5474344359305686E-2</v>
      </c>
    </row>
    <row r="21" spans="1:13" ht="17" thickBot="1"/>
    <row r="22" spans="1:13">
      <c r="A22" t="s">
        <v>7</v>
      </c>
      <c r="B22" s="14" t="s">
        <v>0</v>
      </c>
      <c r="C22" s="15">
        <v>0</v>
      </c>
      <c r="D22" s="15">
        <f>C22+$C$1</f>
        <v>0.5</v>
      </c>
      <c r="E22" s="15">
        <f t="shared" ref="E22:G22" si="5">D22+$C$1</f>
        <v>1</v>
      </c>
      <c r="F22" s="15">
        <f t="shared" si="5"/>
        <v>1.5</v>
      </c>
      <c r="G22" s="16">
        <f t="shared" si="5"/>
        <v>2</v>
      </c>
    </row>
    <row r="23" spans="1:13">
      <c r="B23" s="9"/>
      <c r="G23" s="10"/>
      <c r="I23" t="s">
        <v>18</v>
      </c>
      <c r="J23">
        <f>SUMPRODUCT(F24:F27, F62:F65)*F9</f>
        <v>0.90139086508914545</v>
      </c>
      <c r="K23">
        <f>G9</f>
        <v>0.90909090909090906</v>
      </c>
      <c r="L23">
        <f>K23-J23</f>
        <v>7.7000440017636063E-3</v>
      </c>
    </row>
    <row r="24" spans="1:13">
      <c r="A24" t="s">
        <v>15</v>
      </c>
      <c r="B24" s="9" t="s">
        <v>9</v>
      </c>
      <c r="C24">
        <f>0.5*(D25+D24)*1/(1+$C$1*C14)</f>
        <v>0.89433912232903812</v>
      </c>
      <c r="D24">
        <f>0.5*(E25+E24)*1/(1+$C$1*D14)</f>
        <v>0.88996800587342084</v>
      </c>
      <c r="E24">
        <f>0.5*(F25+F24)*1/(1+$C$1*E14)</f>
        <v>0.89757308520618539</v>
      </c>
      <c r="F24">
        <f>1/(1 + F14*$C$1)</f>
        <v>0.92778949141528466</v>
      </c>
      <c r="G24" s="10">
        <v>1</v>
      </c>
      <c r="I24" t="s">
        <v>19</v>
      </c>
      <c r="J24">
        <f>C24</f>
        <v>0.89433912232903812</v>
      </c>
      <c r="K24">
        <f>G9</f>
        <v>0.90909090909090906</v>
      </c>
      <c r="L24">
        <f>K24-J24</f>
        <v>1.4751786761870944E-2</v>
      </c>
    </row>
    <row r="25" spans="1:13">
      <c r="B25" s="9"/>
      <c r="D25">
        <f>0.5*(E26+E25)*1/(1+$C$1*D15)</f>
        <v>0.94342719490110716</v>
      </c>
      <c r="E25">
        <f>0.5*(F26+F25)*1/(1+$C$1*E15)</f>
        <v>0.94733818969870554</v>
      </c>
      <c r="F25">
        <f t="shared" ref="F25" si="6">1/(1 + F15*$C$1)</f>
        <v>0.96304239762304722</v>
      </c>
      <c r="G25" s="10">
        <v>1</v>
      </c>
    </row>
    <row r="26" spans="1:13">
      <c r="B26" s="9"/>
      <c r="E26">
        <f t="shared" ref="E26" si="7">0.5*(F27+F26)*1/(1+$C$1*E16)</f>
        <v>0.9734779039644188</v>
      </c>
      <c r="F26">
        <f>1/(1 + F16*$C$1)</f>
        <v>0.98142944464053516</v>
      </c>
      <c r="G26" s="10">
        <v>1</v>
      </c>
      <c r="K26" t="s">
        <v>17</v>
      </c>
      <c r="L26">
        <f>L24/L23</f>
        <v>1.9158055146817625</v>
      </c>
    </row>
    <row r="27" spans="1:13">
      <c r="B27" s="9"/>
      <c r="F27">
        <f>1/(1 + F17*$C$1)</f>
        <v>0.99075642156061972</v>
      </c>
      <c r="G27" s="10">
        <v>1</v>
      </c>
    </row>
    <row r="28" spans="1:13" ht="17" thickBot="1">
      <c r="B28" s="11"/>
      <c r="C28" s="21"/>
      <c r="D28" s="21"/>
      <c r="E28" s="21"/>
      <c r="F28" s="21"/>
      <c r="G28" s="12">
        <v>1</v>
      </c>
    </row>
    <row r="32" spans="1:13">
      <c r="B32" s="2" t="s">
        <v>0</v>
      </c>
      <c r="C32" s="2">
        <v>0</v>
      </c>
      <c r="D32" s="2">
        <f>C32+$C$1</f>
        <v>0.5</v>
      </c>
      <c r="E32" s="2">
        <f t="shared" ref="E32:G32" si="8">D32+$C$1</f>
        <v>1</v>
      </c>
      <c r="F32" s="2">
        <f t="shared" si="8"/>
        <v>1.5</v>
      </c>
      <c r="G32" s="2">
        <f t="shared" si="8"/>
        <v>2</v>
      </c>
    </row>
    <row r="34" spans="2:7" ht="17" thickBot="1">
      <c r="B34" t="s">
        <v>26</v>
      </c>
      <c r="G34" t="s">
        <v>27</v>
      </c>
    </row>
    <row r="35" spans="2:7">
      <c r="B35" s="22" t="s">
        <v>25</v>
      </c>
    </row>
    <row r="36" spans="2:7" ht="17" thickBot="1">
      <c r="B36" s="23">
        <v>0.9</v>
      </c>
    </row>
    <row r="60" spans="2:7">
      <c r="B60" s="2" t="s">
        <v>0</v>
      </c>
      <c r="C60" s="2">
        <v>0</v>
      </c>
      <c r="D60" s="2">
        <f>C60+$C$1</f>
        <v>0.5</v>
      </c>
      <c r="E60" s="2">
        <f t="shared" ref="E60:G60" si="9">D60+$C$1</f>
        <v>1</v>
      </c>
      <c r="F60" s="2">
        <f t="shared" si="9"/>
        <v>1.5</v>
      </c>
      <c r="G60" s="2">
        <f t="shared" si="9"/>
        <v>2</v>
      </c>
    </row>
    <row r="61" spans="2:7">
      <c r="B61" t="s">
        <v>13</v>
      </c>
    </row>
    <row r="62" spans="2:7">
      <c r="C62">
        <v>1</v>
      </c>
      <c r="D62">
        <f>C62/2</f>
        <v>0.5</v>
      </c>
      <c r="E62">
        <f>D62/2</f>
        <v>0.25</v>
      </c>
      <c r="F62">
        <f t="shared" ref="F62:G62" si="10">E62/2</f>
        <v>0.125</v>
      </c>
      <c r="G62">
        <f t="shared" si="10"/>
        <v>6.25E-2</v>
      </c>
    </row>
    <row r="63" spans="2:7">
      <c r="D63">
        <f>C62/2</f>
        <v>0.5</v>
      </c>
      <c r="E63">
        <f>D62/2+ D63/2</f>
        <v>0.5</v>
      </c>
      <c r="F63">
        <f t="shared" ref="F63:G66" si="11">E62/2+ E63/2</f>
        <v>0.375</v>
      </c>
      <c r="G63">
        <f t="shared" si="11"/>
        <v>0.25</v>
      </c>
    </row>
    <row r="64" spans="2:7">
      <c r="E64">
        <f>D63/2+ D64/2</f>
        <v>0.25</v>
      </c>
      <c r="F64">
        <f t="shared" si="11"/>
        <v>0.375</v>
      </c>
      <c r="G64">
        <f t="shared" si="11"/>
        <v>0.375</v>
      </c>
    </row>
    <row r="65" spans="2:7">
      <c r="F65">
        <f t="shared" si="11"/>
        <v>0.125</v>
      </c>
      <c r="G65">
        <f t="shared" si="11"/>
        <v>0.25</v>
      </c>
    </row>
    <row r="66" spans="2:7">
      <c r="G66">
        <f t="shared" si="11"/>
        <v>6.25E-2</v>
      </c>
    </row>
    <row r="68" spans="2:7">
      <c r="B68" t="s">
        <v>14</v>
      </c>
      <c r="C68">
        <f>SUM(C62:C66)</f>
        <v>1</v>
      </c>
      <c r="D68">
        <f>SUM(D62:D66)</f>
        <v>1</v>
      </c>
      <c r="E68">
        <f>SUM(E62:E66)</f>
        <v>1</v>
      </c>
      <c r="F68">
        <f>SUM(F62:F66)</f>
        <v>1</v>
      </c>
      <c r="G68">
        <f>SUM(G62:G66)</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Callable Bond (Bwd induction)</vt:lpstr>
      <vt:lpstr>European claims (Arrow-Debrew)</vt:lpstr>
      <vt:lpstr>Forwards &amp; Futures </vt:lpstr>
      <vt:lpstr>calibration BDT model (Draft)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Kaji</dc:creator>
  <cp:lastModifiedBy>Joshua Kaji</cp:lastModifiedBy>
  <dcterms:created xsi:type="dcterms:W3CDTF">2025-01-31T16:41:19Z</dcterms:created>
  <dcterms:modified xsi:type="dcterms:W3CDTF">2025-02-16T18:28:11Z</dcterms:modified>
</cp:coreProperties>
</file>