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c7c7318f3fed710/Desktop/School/Fall 2020/Ch En 2300/"/>
    </mc:Choice>
  </mc:AlternateContent>
  <xr:revisionPtr revIDLastSave="16" documentId="8_{5F747601-D2DB-4365-9E3E-472784EDDB50}" xr6:coauthVersionLast="45" xr6:coauthVersionMax="45" xr10:uidLastSave="{AB9499D2-1465-484A-9A59-4C375EAABC3C}"/>
  <bookViews>
    <workbookView xWindow="465" yWindow="1230" windowWidth="9635" windowHeight="7180" activeTab="2" xr2:uid="{24D19521-FACA-4A26-A25F-EB19F3B9ED7B}"/>
  </bookViews>
  <sheets>
    <sheet name="Sheet1" sheetId="1" r:id="rId1"/>
    <sheet name="Sheet2" sheetId="2" r:id="rId2"/>
    <sheet name="Sheet3" sheetId="3" r:id="rId3"/>
  </sheets>
  <definedNames>
    <definedName name="solver_adj" localSheetId="0" hidden="1">Sheet1!$B$9</definedName>
    <definedName name="solver_cvg" localSheetId="0" hidden="1">0.0001</definedName>
    <definedName name="solver_drv" localSheetId="0" hidden="1">2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0</definedName>
    <definedName name="solver_nwt" localSheetId="0" hidden="1">1</definedName>
    <definedName name="solver_opt" localSheetId="0" hidden="1">Sheet1!$L$6</definedName>
    <definedName name="solver_pre" localSheetId="0" hidden="1">0.000001</definedName>
    <definedName name="solver_rbv" localSheetId="0" hidden="1">2</definedName>
    <definedName name="solver_rlx" localSheetId="0" hidden="1">2</definedName>
    <definedName name="solver_rsd" localSheetId="0" hidden="1">0</definedName>
    <definedName name="solver_scl" localSheetId="0" hidden="1">2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3</definedName>
    <definedName name="solver_val" localSheetId="0" hidden="1">0</definedName>
    <definedName name="solver_ver" localSheetId="0" hidden="1">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1" i="3" l="1"/>
  <c r="A2" i="3" s="1"/>
  <c r="B7" i="2"/>
  <c r="A14" i="2"/>
  <c r="B10" i="2" l="1"/>
  <c r="B9" i="2"/>
  <c r="B8" i="2"/>
  <c r="F2" i="2"/>
  <c r="F3" i="2"/>
  <c r="F4" i="2"/>
  <c r="F5" i="2"/>
  <c r="E5" i="2"/>
  <c r="E4" i="2"/>
  <c r="E3" i="2"/>
  <c r="E2" i="2"/>
  <c r="D5" i="2"/>
  <c r="D4" i="2"/>
  <c r="D3" i="2"/>
  <c r="D2" i="2"/>
  <c r="C5" i="2"/>
  <c r="C4" i="2"/>
  <c r="C3" i="2"/>
  <c r="C2" i="2"/>
  <c r="J5" i="2" l="1"/>
  <c r="J6" i="2"/>
  <c r="J7" i="2"/>
  <c r="J8" i="2"/>
  <c r="H2" i="2"/>
  <c r="A13" i="2"/>
  <c r="I5" i="2"/>
  <c r="C9" i="1"/>
  <c r="D5" i="1"/>
  <c r="K5" i="1" s="1"/>
  <c r="D4" i="1"/>
  <c r="K4" i="1" s="1"/>
  <c r="D3" i="1"/>
  <c r="K3" i="1" s="1"/>
  <c r="D2" i="1"/>
  <c r="J2" i="1" s="1"/>
  <c r="B8" i="1"/>
  <c r="B7" i="1"/>
  <c r="G5" i="1"/>
  <c r="G4" i="1"/>
  <c r="G3" i="1"/>
  <c r="F3" i="1"/>
  <c r="I2" i="1"/>
  <c r="F2" i="1"/>
  <c r="E3" i="1"/>
  <c r="E2" i="1"/>
  <c r="E13" i="2" l="1"/>
  <c r="D13" i="2"/>
  <c r="C13" i="2"/>
  <c r="A12" i="2"/>
  <c r="B13" i="2"/>
  <c r="J5" i="1"/>
  <c r="J6" i="1" s="1"/>
  <c r="J4" i="1"/>
  <c r="J3" i="1"/>
  <c r="K2" i="1"/>
  <c r="K6" i="1" s="1"/>
  <c r="L6" i="1" l="1"/>
</calcChain>
</file>

<file path=xl/sharedStrings.xml><?xml version="1.0" encoding="utf-8"?>
<sst xmlns="http://schemas.openxmlformats.org/spreadsheetml/2006/main" count="36" uniqueCount="32">
  <si>
    <t>Species</t>
  </si>
  <si>
    <t>Mg</t>
  </si>
  <si>
    <t>H2</t>
  </si>
  <si>
    <t>Mg(OH)2</t>
  </si>
  <si>
    <t>H2O</t>
  </si>
  <si>
    <t>Del Hf</t>
  </si>
  <si>
    <t>Mw</t>
  </si>
  <si>
    <t>Cp</t>
  </si>
  <si>
    <t>m</t>
  </si>
  <si>
    <t>v</t>
  </si>
  <si>
    <t>ξ (mol of limit react)</t>
  </si>
  <si>
    <t>ni</t>
  </si>
  <si>
    <t>nf</t>
  </si>
  <si>
    <t>Hi</t>
  </si>
  <si>
    <t>Ti</t>
  </si>
  <si>
    <t>TR</t>
  </si>
  <si>
    <t>Tf</t>
  </si>
  <si>
    <t>Hf</t>
  </si>
  <si>
    <t>CO</t>
  </si>
  <si>
    <t>cCO2</t>
  </si>
  <si>
    <t>del Hf</t>
  </si>
  <si>
    <t>a</t>
  </si>
  <si>
    <t>b</t>
  </si>
  <si>
    <t>c</t>
  </si>
  <si>
    <t>d</t>
  </si>
  <si>
    <t>vi</t>
  </si>
  <si>
    <t>del a</t>
  </si>
  <si>
    <t>del b</t>
  </si>
  <si>
    <t>del c</t>
  </si>
  <si>
    <t>del d</t>
  </si>
  <si>
    <t>del HR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</si>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</sst>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88DBEE-F860-4BC0-B599-63D3C284F689}">
  <dimension ref="A1:L9"/>
  <sheetViews>
    <sheetView workbookViewId="0">
      <selection activeCell="D10" sqref="D10"/>
    </sheetView>
  </sheetViews>
  <sheetFormatPr defaultRowHeight="14.75" x14ac:dyDescent="0.75"/>
  <cols>
    <col min="9" max="9" width="17.08984375" bestFit="1" customWidth="1"/>
  </cols>
  <sheetData>
    <row r="1" spans="1:12" x14ac:dyDescent="0.75">
      <c r="A1" t="s">
        <v>0</v>
      </c>
      <c r="B1" t="s">
        <v>5</v>
      </c>
      <c r="C1" t="s">
        <v>6</v>
      </c>
      <c r="D1" t="s">
        <v>7</v>
      </c>
      <c r="E1" t="s">
        <v>8</v>
      </c>
      <c r="F1" t="s">
        <v>11</v>
      </c>
      <c r="G1" t="s">
        <v>12</v>
      </c>
      <c r="H1" t="s">
        <v>9</v>
      </c>
      <c r="I1" s="1" t="s">
        <v>10</v>
      </c>
      <c r="J1" s="1" t="s">
        <v>13</v>
      </c>
      <c r="K1" s="1" t="s">
        <v>17</v>
      </c>
    </row>
    <row r="2" spans="1:12" x14ac:dyDescent="0.75">
      <c r="A2" t="s">
        <v>1</v>
      </c>
      <c r="B2">
        <v>0</v>
      </c>
      <c r="C2">
        <v>24.305</v>
      </c>
      <c r="D2">
        <f>24.9/1000</f>
        <v>2.4899999999999999E-2</v>
      </c>
      <c r="E2">
        <f>9.5</f>
        <v>9.5</v>
      </c>
      <c r="F2">
        <f>E2/C2</f>
        <v>0.39086607693890146</v>
      </c>
      <c r="G2">
        <v>0</v>
      </c>
      <c r="H2">
        <v>-1</v>
      </c>
      <c r="I2">
        <f>F2</f>
        <v>0.39086607693890146</v>
      </c>
      <c r="J2">
        <f>F2*(B2+D2*(B$7-B$8))</f>
        <v>-4.8662826578893231E-2</v>
      </c>
      <c r="K2">
        <f>G2*(B2+D2*(B$9-B$8))</f>
        <v>0</v>
      </c>
    </row>
    <row r="3" spans="1:12" x14ac:dyDescent="0.75">
      <c r="A3" t="s">
        <v>4</v>
      </c>
      <c r="B3">
        <v>-285.8</v>
      </c>
      <c r="C3">
        <v>18.015000000000001</v>
      </c>
      <c r="D3">
        <f>75.3/1000</f>
        <v>7.5299999999999992E-2</v>
      </c>
      <c r="E3">
        <f>28.35</f>
        <v>28.35</v>
      </c>
      <c r="F3">
        <f>E3/C3+600/C3</f>
        <v>34.879267277268944</v>
      </c>
      <c r="G3">
        <f>H3*I$2+F3</f>
        <v>34.09753512339114</v>
      </c>
      <c r="H3">
        <v>-2</v>
      </c>
      <c r="J3">
        <f>F3*(B3+D3*(B$7-B$8))</f>
        <v>-9981.6266319733568</v>
      </c>
      <c r="K3">
        <f t="shared" ref="K3:K5" si="0">G3*(B3+D3*(B$9-B$8))</f>
        <v>-9622.1084617482084</v>
      </c>
    </row>
    <row r="4" spans="1:12" x14ac:dyDescent="0.75">
      <c r="A4" t="s">
        <v>3</v>
      </c>
      <c r="B4">
        <v>-925</v>
      </c>
      <c r="C4">
        <v>58.32</v>
      </c>
      <c r="D4">
        <f>77.2/1000</f>
        <v>7.7200000000000005E-2</v>
      </c>
      <c r="E4">
        <v>0</v>
      </c>
      <c r="F4">
        <v>0</v>
      </c>
      <c r="G4">
        <f>I$2</f>
        <v>0.39086607693890146</v>
      </c>
      <c r="H4">
        <v>1</v>
      </c>
      <c r="J4">
        <f t="shared" ref="J4:J5" si="1">F4*(B4+D4*(B$7-B$8))</f>
        <v>0</v>
      </c>
      <c r="K4">
        <f t="shared" si="0"/>
        <v>-360.10596038911035</v>
      </c>
    </row>
    <row r="5" spans="1:12" x14ac:dyDescent="0.75">
      <c r="A5" t="s">
        <v>2</v>
      </c>
      <c r="B5">
        <v>0</v>
      </c>
      <c r="C5">
        <v>2.016</v>
      </c>
      <c r="D5">
        <f>28.8/1000</f>
        <v>2.8799999999999999E-2</v>
      </c>
      <c r="E5">
        <v>0</v>
      </c>
      <c r="F5">
        <v>0</v>
      </c>
      <c r="G5">
        <f>I$2</f>
        <v>0.39086607693890146</v>
      </c>
      <c r="H5">
        <v>1</v>
      </c>
      <c r="J5">
        <f t="shared" si="1"/>
        <v>0</v>
      </c>
      <c r="K5">
        <f t="shared" si="0"/>
        <v>0.53912733738285434</v>
      </c>
    </row>
    <row r="6" spans="1:12" x14ac:dyDescent="0.75">
      <c r="J6">
        <f>SUM(J2:J5)</f>
        <v>-9981.6752947999357</v>
      </c>
      <c r="K6">
        <f>SUM(K2:K5)</f>
        <v>-9981.6752947999357</v>
      </c>
      <c r="L6">
        <f>K6-J6</f>
        <v>0</v>
      </c>
    </row>
    <row r="7" spans="1:12" x14ac:dyDescent="0.75">
      <c r="A7" t="s">
        <v>14</v>
      </c>
      <c r="B7">
        <f>20+273.15</f>
        <v>293.14999999999998</v>
      </c>
    </row>
    <row r="8" spans="1:12" x14ac:dyDescent="0.75">
      <c r="A8" t="s">
        <v>15</v>
      </c>
      <c r="B8">
        <f>298.15</f>
        <v>298.14999999999998</v>
      </c>
    </row>
    <row r="9" spans="1:12" x14ac:dyDescent="0.75">
      <c r="A9" t="s">
        <v>16</v>
      </c>
      <c r="B9">
        <v>346.04287256977437</v>
      </c>
      <c r="C9">
        <f>B9-273.15</f>
        <v>72.892872569774397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41490B-B808-43C7-86DD-F083E195B337}">
  <dimension ref="A1:J14"/>
  <sheetViews>
    <sheetView workbookViewId="0">
      <selection activeCell="B8" sqref="B8"/>
    </sheetView>
  </sheetViews>
  <sheetFormatPr defaultRowHeight="14.75" x14ac:dyDescent="0.75"/>
  <cols>
    <col min="1" max="1" width="11.6328125" bestFit="1" customWidth="1"/>
    <col min="4" max="4" width="11.6796875" bestFit="1" customWidth="1"/>
    <col min="5" max="5" width="11.6328125" bestFit="1" customWidth="1"/>
    <col min="10" max="10" width="10.6796875" bestFit="1" customWidth="1"/>
  </cols>
  <sheetData>
    <row r="1" spans="1:10" x14ac:dyDescent="0.75">
      <c r="A1" t="s">
        <v>0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30</v>
      </c>
      <c r="I1" t="s">
        <v>31</v>
      </c>
      <c r="J1" t="s">
        <v>15</v>
      </c>
    </row>
    <row r="2" spans="1:10" x14ac:dyDescent="0.75">
      <c r="A2" t="s">
        <v>18</v>
      </c>
      <c r="B2">
        <v>-110.53</v>
      </c>
      <c r="C2">
        <f>30.87/1000</f>
        <v>3.0870000000000002E-2</v>
      </c>
      <c r="D2">
        <f>-0.01285/1000</f>
        <v>-1.2850000000000001E-5</v>
      </c>
      <c r="E2" s="2">
        <f>0.00002789/1000</f>
        <v>2.789E-8</v>
      </c>
      <c r="F2" s="2">
        <f>-0.0000000127/1000</f>
        <v>-1.2699999999999999E-11</v>
      </c>
      <c r="G2">
        <v>-1</v>
      </c>
      <c r="H2">
        <f>G2*B2+G3*B3+B4*G4+G5*B5</f>
        <v>-41.144999999999982</v>
      </c>
      <c r="I2">
        <v>298.14999999999998</v>
      </c>
      <c r="J2">
        <v>298.14999999999998</v>
      </c>
    </row>
    <row r="3" spans="1:10" x14ac:dyDescent="0.75">
      <c r="A3" t="s">
        <v>4</v>
      </c>
      <c r="B3">
        <v>-241.83500000000001</v>
      </c>
      <c r="C3">
        <f>32.24/1000</f>
        <v>3.2240000000000005E-2</v>
      </c>
      <c r="D3">
        <f>0.001924/1000</f>
        <v>1.9240000000000001E-6</v>
      </c>
      <c r="E3" s="2">
        <f>0.00001055/1000</f>
        <v>1.055E-8</v>
      </c>
      <c r="F3" s="2">
        <f>-0.0000000036/1000</f>
        <v>-3.6E-12</v>
      </c>
      <c r="G3">
        <v>-1</v>
      </c>
      <c r="I3">
        <v>1250</v>
      </c>
    </row>
    <row r="4" spans="1:10" x14ac:dyDescent="0.75">
      <c r="A4" t="s">
        <v>19</v>
      </c>
      <c r="B4">
        <v>-393.51</v>
      </c>
      <c r="C4">
        <f>19.8/1000</f>
        <v>1.9800000000000002E-2</v>
      </c>
      <c r="D4">
        <f>0.07344/1000</f>
        <v>7.3440000000000002E-5</v>
      </c>
      <c r="E4" s="2">
        <f>-0.00005602/1000</f>
        <v>-5.6020000000000001E-8</v>
      </c>
      <c r="F4" s="2">
        <f>0.00000001715/1000</f>
        <v>1.715E-11</v>
      </c>
      <c r="G4">
        <v>1</v>
      </c>
    </row>
    <row r="5" spans="1:10" x14ac:dyDescent="0.75">
      <c r="A5" t="s">
        <v>2</v>
      </c>
      <c r="B5">
        <v>0</v>
      </c>
      <c r="C5">
        <f>27.14/1000</f>
        <v>2.7140000000000001E-2</v>
      </c>
      <c r="D5">
        <f>0.009274/1000</f>
        <v>9.2739999999999996E-6</v>
      </c>
      <c r="E5" s="2">
        <f>-0.00001381/1000</f>
        <v>-1.3809999999999999E-8</v>
      </c>
      <c r="F5" s="2">
        <f>0.000000007645/1000</f>
        <v>7.6449999999999998E-12</v>
      </c>
      <c r="G5">
        <v>1</v>
      </c>
      <c r="I5">
        <f>I2-J2</f>
        <v>0</v>
      </c>
      <c r="J5">
        <f>I$3-J$2</f>
        <v>951.85</v>
      </c>
    </row>
    <row r="6" spans="1:10" x14ac:dyDescent="0.75">
      <c r="J6">
        <f>I$3^2-J$2^2</f>
        <v>1473606.5775000001</v>
      </c>
    </row>
    <row r="7" spans="1:10" x14ac:dyDescent="0.75">
      <c r="A7" t="s">
        <v>26</v>
      </c>
      <c r="B7" s="2">
        <f>C2*G2+C3*G3+C4*G4+C5*G5</f>
        <v>-1.617E-2</v>
      </c>
      <c r="J7">
        <f>I$3^3-J$2^3</f>
        <v>1926621426.081625</v>
      </c>
    </row>
    <row r="8" spans="1:10" x14ac:dyDescent="0.75">
      <c r="A8" t="s">
        <v>27</v>
      </c>
      <c r="B8" s="2">
        <f>D2*G2+D3*G3+D4*G4+D5*G5</f>
        <v>9.3640000000000005E-5</v>
      </c>
      <c r="J8">
        <f>I$3^4-J$2^4</f>
        <v>2433504209436.2363</v>
      </c>
    </row>
    <row r="9" spans="1:10" x14ac:dyDescent="0.75">
      <c r="A9" t="s">
        <v>28</v>
      </c>
      <c r="B9" s="2">
        <f>E2*G2+E3*G3+E4*G4+E5*G5</f>
        <v>-1.0827E-7</v>
      </c>
    </row>
    <row r="10" spans="1:10" x14ac:dyDescent="0.75">
      <c r="A10" t="s">
        <v>29</v>
      </c>
      <c r="B10" s="2">
        <f>F2*G2+F3*G3+F4*G4+F5*G5</f>
        <v>4.1095000000000001E-11</v>
      </c>
    </row>
    <row r="12" spans="1:10" x14ac:dyDescent="0.75">
      <c r="A12">
        <f>H$2+B$7*I6+B8/2*I6+B9/3*I6+B10/4*I6</f>
        <v>-41.144999999999982</v>
      </c>
    </row>
    <row r="13" spans="1:10" x14ac:dyDescent="0.75">
      <c r="A13">
        <f>H2</f>
        <v>-41.144999999999982</v>
      </c>
      <c r="B13">
        <f>B7*J5</f>
        <v>-15.391414500000002</v>
      </c>
      <c r="C13">
        <f>B8/2*J6</f>
        <v>68.994259958550003</v>
      </c>
      <c r="D13">
        <f>B9/3*J7</f>
        <v>-69.531767267285844</v>
      </c>
      <c r="E13">
        <f>B10/4*J8</f>
        <v>25.001213871695533</v>
      </c>
    </row>
    <row r="14" spans="1:10" x14ac:dyDescent="0.75">
      <c r="A14">
        <f>A13+B13+C13+D13+E13</f>
        <v>-32.072707937040292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8161B1-8912-4958-9170-726F324EAB10}">
  <dimension ref="A1:A2"/>
  <sheetViews>
    <sheetView tabSelected="1" workbookViewId="0">
      <selection activeCell="A2" sqref="A2"/>
    </sheetView>
  </sheetViews>
  <sheetFormatPr defaultRowHeight="14.75" x14ac:dyDescent="0.75"/>
  <sheetData>
    <row r="1" spans="1:1" x14ac:dyDescent="0.75">
      <c r="A1">
        <f>1200/1000-30/45</f>
        <v>0.53333333333333333</v>
      </c>
    </row>
    <row r="2" spans="1:1" x14ac:dyDescent="0.75">
      <c r="A2">
        <f>500/A1</f>
        <v>937.5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Whitehead</dc:creator>
  <cp:lastModifiedBy>Joshua Whitehead</cp:lastModifiedBy>
  <dcterms:created xsi:type="dcterms:W3CDTF">2020-10-15T17:59:24Z</dcterms:created>
  <dcterms:modified xsi:type="dcterms:W3CDTF">2020-10-16T20:24:36Z</dcterms:modified>
</cp:coreProperties>
</file>