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HW4\"/>
    </mc:Choice>
  </mc:AlternateContent>
  <xr:revisionPtr revIDLastSave="0" documentId="13_ncr:1_{56BF0382-4199-46BE-9CA4-A36016248DA4}" xr6:coauthVersionLast="47" xr6:coauthVersionMax="47" xr10:uidLastSave="{00000000-0000-0000-0000-000000000000}"/>
  <bookViews>
    <workbookView xWindow="-90" yWindow="-90" windowWidth="19380" windowHeight="10980" activeTab="5" xr2:uid="{D788935E-79CF-4A65-AA50-46D545770A2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6" l="1"/>
  <c r="A1" i="6"/>
  <c r="A3" i="5"/>
  <c r="C4" i="5"/>
  <c r="E3" i="4"/>
  <c r="E4" i="4"/>
  <c r="E2" i="4"/>
  <c r="B3" i="4"/>
  <c r="B4" i="4"/>
  <c r="B2" i="4"/>
  <c r="A3" i="4"/>
  <c r="A4" i="4"/>
  <c r="A2" i="4"/>
  <c r="C3" i="5" l="1"/>
  <c r="C5" i="5"/>
  <c r="E7" i="4"/>
  <c r="K12" i="3"/>
  <c r="I2" i="3"/>
  <c r="A2" i="3"/>
  <c r="K2" i="3"/>
  <c r="G2" i="3"/>
  <c r="F2" i="3"/>
  <c r="B19" i="3"/>
  <c r="A11" i="3"/>
  <c r="A7" i="3"/>
  <c r="B2" i="3"/>
  <c r="A19" i="3"/>
  <c r="K16" i="1"/>
  <c r="A10" i="2"/>
  <c r="I2" i="2"/>
  <c r="H2" i="2"/>
  <c r="A6" i="2"/>
  <c r="A3" i="2"/>
  <c r="K12" i="1"/>
  <c r="I2" i="1"/>
  <c r="A11" i="1"/>
  <c r="A2" i="1"/>
  <c r="E2" i="1"/>
  <c r="G2" i="1"/>
  <c r="C19" i="1"/>
  <c r="A7" i="1"/>
  <c r="E2" i="3" l="1"/>
  <c r="K9" i="3"/>
  <c r="K2" i="1"/>
  <c r="A19" i="1"/>
  <c r="K16" i="3" l="1"/>
  <c r="K14" i="3"/>
  <c r="K9" i="1"/>
  <c r="K14" i="1" s="1"/>
</calcChain>
</file>

<file path=xl/sharedStrings.xml><?xml version="1.0" encoding="utf-8"?>
<sst xmlns="http://schemas.openxmlformats.org/spreadsheetml/2006/main" count="50" uniqueCount="34">
  <si>
    <t>flux (p/sec)</t>
  </si>
  <si>
    <t>roNi (g/cm3)</t>
  </si>
  <si>
    <t>total x (cm)</t>
  </si>
  <si>
    <t>sigma (cm2)</t>
  </si>
  <si>
    <t>NT (atoms/cm3)</t>
  </si>
  <si>
    <t>R</t>
  </si>
  <si>
    <t>lam</t>
  </si>
  <si>
    <t>t</t>
  </si>
  <si>
    <t>t1/2</t>
  </si>
  <si>
    <t>Rate</t>
  </si>
  <si>
    <t>Bq</t>
  </si>
  <si>
    <t>Ci</t>
  </si>
  <si>
    <t>a dens g/cm2</t>
  </si>
  <si>
    <t>total x needed (cm)</t>
  </si>
  <si>
    <t>energy MeV</t>
  </si>
  <si>
    <t>molar mass (g/mol)</t>
  </si>
  <si>
    <t>cross section (barns)</t>
  </si>
  <si>
    <t>vc</t>
  </si>
  <si>
    <t>vclab</t>
  </si>
  <si>
    <t>z al</t>
  </si>
  <si>
    <t>z gd</t>
  </si>
  <si>
    <t>a al</t>
  </si>
  <si>
    <t>a gd</t>
  </si>
  <si>
    <t>a dy</t>
  </si>
  <si>
    <t>dpm</t>
  </si>
  <si>
    <t>roC (g/cm3)</t>
  </si>
  <si>
    <t>t (min)</t>
  </si>
  <si>
    <t>m2/kg</t>
  </si>
  <si>
    <t>m</t>
  </si>
  <si>
    <t>ro</t>
  </si>
  <si>
    <t>x</t>
  </si>
  <si>
    <t>ReSP</t>
  </si>
  <si>
    <t>ro kg/m3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</si>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</sst>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2DD3-E9C6-439B-866B-7442A23FCA89}">
  <dimension ref="A1:L38"/>
  <sheetViews>
    <sheetView workbookViewId="0">
      <selection activeCell="A4" sqref="A1:XFD1048576"/>
    </sheetView>
  </sheetViews>
  <sheetFormatPr defaultRowHeight="14.75" x14ac:dyDescent="0.75"/>
  <cols>
    <col min="1" max="1" width="16.54296875" bestFit="1" customWidth="1"/>
    <col min="2" max="2" width="10.953125" bestFit="1" customWidth="1"/>
    <col min="3" max="3" width="5.6796875" bestFit="1" customWidth="1"/>
    <col min="4" max="4" width="10.58984375" bestFit="1" customWidth="1"/>
    <col min="5" max="5" width="9.90625" bestFit="1" customWidth="1"/>
    <col min="6" max="6" width="17.36328125" bestFit="1" customWidth="1"/>
    <col min="7" max="7" width="10.5" bestFit="1" customWidth="1"/>
    <col min="9" max="9" width="13.86328125" bestFit="1" customWidth="1"/>
    <col min="11" max="11" width="11.6796875" bestFit="1" customWidth="1"/>
    <col min="12" max="12" width="4.40625" bestFit="1" customWidth="1"/>
    <col min="13" max="13" width="11.6328125" bestFit="1" customWidth="1"/>
    <col min="14" max="14" width="4.6796875" bestFit="1" customWidth="1"/>
    <col min="15" max="15" width="7.6796875" bestFit="1" customWidth="1"/>
  </cols>
  <sheetData>
    <row r="1" spans="1:12" x14ac:dyDescent="0.75">
      <c r="A1" t="s">
        <v>0</v>
      </c>
      <c r="B1" t="s">
        <v>1</v>
      </c>
      <c r="D1" t="s">
        <v>14</v>
      </c>
      <c r="E1" t="s">
        <v>2</v>
      </c>
      <c r="F1" t="s">
        <v>16</v>
      </c>
      <c r="G1" t="s">
        <v>3</v>
      </c>
      <c r="I1" t="s">
        <v>4</v>
      </c>
      <c r="K1" t="s">
        <v>5</v>
      </c>
    </row>
    <row r="2" spans="1:12" x14ac:dyDescent="0.75">
      <c r="A2">
        <f>10*0.000001/1.602E-19/2</f>
        <v>31210986267166.039</v>
      </c>
      <c r="B2">
        <v>8.9019999999999992</v>
      </c>
      <c r="D2">
        <v>32</v>
      </c>
      <c r="E2">
        <f>A11</f>
        <v>5.6167153448663226E-3</v>
      </c>
      <c r="F2">
        <v>0.9</v>
      </c>
      <c r="G2">
        <f>F2*1E-24</f>
        <v>9.0000000000000002E-25</v>
      </c>
      <c r="I2">
        <f>B2/A15*6.022E+23</f>
        <v>8.9449594078486373E+22</v>
      </c>
      <c r="K2">
        <f>G2*A$2*E2*I$2</f>
        <v>14112722125.07579</v>
      </c>
    </row>
    <row r="6" spans="1:12" x14ac:dyDescent="0.75">
      <c r="A6" t="s">
        <v>12</v>
      </c>
    </row>
    <row r="7" spans="1:12" x14ac:dyDescent="0.75">
      <c r="A7">
        <f>50/1000</f>
        <v>0.05</v>
      </c>
    </row>
    <row r="9" spans="1:12" x14ac:dyDescent="0.75">
      <c r="K9">
        <f>SUM(K2:K7)</f>
        <v>14112722125.07579</v>
      </c>
      <c r="L9" t="s">
        <v>9</v>
      </c>
    </row>
    <row r="10" spans="1:12" x14ac:dyDescent="0.75">
      <c r="A10" t="s">
        <v>13</v>
      </c>
    </row>
    <row r="11" spans="1:12" x14ac:dyDescent="0.75">
      <c r="A11">
        <f>A7/B2</f>
        <v>5.6167153448663226E-3</v>
      </c>
    </row>
    <row r="12" spans="1:12" x14ac:dyDescent="0.75">
      <c r="K12">
        <f>K9*(1-EXP(-A19*B19))</f>
        <v>9297056781.1612301</v>
      </c>
      <c r="L12" t="s">
        <v>10</v>
      </c>
    </row>
    <row r="14" spans="1:12" x14ac:dyDescent="0.75">
      <c r="A14" t="s">
        <v>15</v>
      </c>
      <c r="K14">
        <f>K12/37000000000</f>
        <v>0.25127180489624945</v>
      </c>
      <c r="L14" t="s">
        <v>11</v>
      </c>
    </row>
    <row r="15" spans="1:12" x14ac:dyDescent="0.75">
      <c r="A15">
        <v>59.930785100000001</v>
      </c>
    </row>
    <row r="16" spans="1:12" x14ac:dyDescent="0.75">
      <c r="K16">
        <f>K12*60</f>
        <v>557823406869.67383</v>
      </c>
      <c r="L16" t="s">
        <v>24</v>
      </c>
    </row>
    <row r="18" spans="1:3" x14ac:dyDescent="0.75">
      <c r="A18" t="s">
        <v>6</v>
      </c>
      <c r="B18" t="s">
        <v>7</v>
      </c>
      <c r="C18" t="s">
        <v>8</v>
      </c>
    </row>
    <row r="19" spans="1:3" x14ac:dyDescent="0.75">
      <c r="A19">
        <f>LN(2)/C19</f>
        <v>7.1680163449839226E-2</v>
      </c>
      <c r="B19">
        <v>15</v>
      </c>
      <c r="C19">
        <f>9.67</f>
        <v>9.67</v>
      </c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43B3-8ADC-4EB0-BCAE-89BC271DD133}">
  <dimension ref="A1:I10"/>
  <sheetViews>
    <sheetView workbookViewId="0">
      <selection activeCell="A11" sqref="A11"/>
    </sheetView>
  </sheetViews>
  <sheetFormatPr defaultRowHeight="14.75" x14ac:dyDescent="0.75"/>
  <cols>
    <col min="2" max="2" width="12.26953125" bestFit="1" customWidth="1"/>
  </cols>
  <sheetData>
    <row r="1" spans="1:9" x14ac:dyDescent="0.75">
      <c r="A1">
        <v>2424.9158699999998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17</v>
      </c>
      <c r="I1" t="s">
        <v>18</v>
      </c>
    </row>
    <row r="2" spans="1:9" x14ac:dyDescent="0.75">
      <c r="A2">
        <v>-72535.3</v>
      </c>
      <c r="C2">
        <v>2</v>
      </c>
      <c r="D2">
        <v>64</v>
      </c>
      <c r="E2">
        <v>4</v>
      </c>
      <c r="F2">
        <v>156</v>
      </c>
      <c r="G2">
        <v>159</v>
      </c>
      <c r="H2">
        <f>1.44*C2*D2/1.2/(E2^(1/3)+F2^(1/3))</f>
        <v>22.035362652796334</v>
      </c>
      <c r="I2">
        <f>G2/F2*H2</f>
        <v>22.459119626888569</v>
      </c>
    </row>
    <row r="3" spans="1:9" x14ac:dyDescent="0.75">
      <c r="A3">
        <f>0.008665*931500</f>
        <v>8071.4475000000011</v>
      </c>
    </row>
    <row r="4" spans="1:9" x14ac:dyDescent="0.75">
      <c r="A4">
        <v>-69167.199999999997</v>
      </c>
    </row>
    <row r="6" spans="1:9" x14ac:dyDescent="0.75">
      <c r="A6">
        <f>A1+A2-A3-A4</f>
        <v>-9014.6316300000035</v>
      </c>
    </row>
    <row r="10" spans="1:9" x14ac:dyDescent="0.75">
      <c r="A10">
        <f>G2/F2*-A6</f>
        <v>9187.9899305769268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5EF2-9CCF-4F5F-A8D9-E8986F8F73B3}">
  <dimension ref="A1:L19"/>
  <sheetViews>
    <sheetView workbookViewId="0">
      <selection activeCell="K14" sqref="K14"/>
    </sheetView>
  </sheetViews>
  <sheetFormatPr defaultRowHeight="14.75" x14ac:dyDescent="0.75"/>
  <cols>
    <col min="1" max="1" width="16.54296875" bestFit="1" customWidth="1"/>
    <col min="2" max="2" width="10.953125" bestFit="1" customWidth="1"/>
    <col min="3" max="3" width="5.6796875" bestFit="1" customWidth="1"/>
    <col min="4" max="4" width="10.58984375" bestFit="1" customWidth="1"/>
    <col min="5" max="5" width="9.90625" bestFit="1" customWidth="1"/>
    <col min="6" max="6" width="17.36328125" bestFit="1" customWidth="1"/>
    <col min="7" max="7" width="10.5" bestFit="1" customWidth="1"/>
    <col min="9" max="9" width="13.86328125" bestFit="1" customWidth="1"/>
    <col min="11" max="11" width="11.6796875" bestFit="1" customWidth="1"/>
    <col min="12" max="12" width="4.40625" bestFit="1" customWidth="1"/>
    <col min="13" max="13" width="11.6328125" bestFit="1" customWidth="1"/>
    <col min="14" max="14" width="4.6796875" bestFit="1" customWidth="1"/>
    <col min="15" max="15" width="7.6796875" bestFit="1" customWidth="1"/>
  </cols>
  <sheetData>
    <row r="1" spans="1:12" x14ac:dyDescent="0.75">
      <c r="A1" t="s">
        <v>0</v>
      </c>
      <c r="B1" t="s">
        <v>25</v>
      </c>
      <c r="D1" t="s">
        <v>14</v>
      </c>
      <c r="E1" t="s">
        <v>2</v>
      </c>
      <c r="F1" t="s">
        <v>16</v>
      </c>
      <c r="G1" t="s">
        <v>3</v>
      </c>
      <c r="I1" t="s">
        <v>4</v>
      </c>
      <c r="K1" t="s">
        <v>5</v>
      </c>
    </row>
    <row r="2" spans="1:12" x14ac:dyDescent="0.75">
      <c r="A2">
        <f>25*0.000000001/1.602E-19/2</f>
        <v>78027465667.915115</v>
      </c>
      <c r="B2">
        <f>2260*1000/1000000</f>
        <v>2.2599999999999998</v>
      </c>
      <c r="D2">
        <v>14.6</v>
      </c>
      <c r="E2">
        <f>A11</f>
        <v>4.4247787610619477E-5</v>
      </c>
      <c r="F2">
        <f>25/1000</f>
        <v>2.5000000000000001E-2</v>
      </c>
      <c r="G2">
        <f>F2*1E-24</f>
        <v>2.4999999999999998E-26</v>
      </c>
      <c r="I2">
        <f>B2/A15*6.022E+23</f>
        <v>1.1341433333333333E+23</v>
      </c>
      <c r="K2">
        <f>G2*A$2*E2*I$2</f>
        <v>9789.1957969205178</v>
      </c>
    </row>
    <row r="6" spans="1:12" x14ac:dyDescent="0.75">
      <c r="A6" t="s">
        <v>12</v>
      </c>
    </row>
    <row r="7" spans="1:12" x14ac:dyDescent="0.75">
      <c r="A7">
        <f>0.1/1000</f>
        <v>1E-4</v>
      </c>
    </row>
    <row r="9" spans="1:12" x14ac:dyDescent="0.75">
      <c r="K9">
        <f>SUM(K2:K7)</f>
        <v>9789.1957969205178</v>
      </c>
      <c r="L9" t="s">
        <v>9</v>
      </c>
    </row>
    <row r="10" spans="1:12" x14ac:dyDescent="0.75">
      <c r="A10" t="s">
        <v>13</v>
      </c>
    </row>
    <row r="11" spans="1:12" x14ac:dyDescent="0.75">
      <c r="A11">
        <f>A7/B2</f>
        <v>4.4247787610619477E-5</v>
      </c>
    </row>
    <row r="12" spans="1:12" x14ac:dyDescent="0.75">
      <c r="K12">
        <f>K9*(1-EXP(-A19*B19))</f>
        <v>7565.5681579774127</v>
      </c>
      <c r="L12" t="s">
        <v>10</v>
      </c>
    </row>
    <row r="14" spans="1:12" x14ac:dyDescent="0.75">
      <c r="A14" t="s">
        <v>15</v>
      </c>
      <c r="K14">
        <f>K12/37000000000</f>
        <v>2.0447481508047062E-7</v>
      </c>
      <c r="L14" t="s">
        <v>11</v>
      </c>
    </row>
    <row r="15" spans="1:12" x14ac:dyDescent="0.75">
      <c r="A15">
        <v>12</v>
      </c>
    </row>
    <row r="16" spans="1:12" x14ac:dyDescent="0.75">
      <c r="K16">
        <f>K12*60</f>
        <v>453934.08947864478</v>
      </c>
      <c r="L16" t="s">
        <v>24</v>
      </c>
    </row>
    <row r="18" spans="1:3" x14ac:dyDescent="0.75">
      <c r="A18" t="s">
        <v>6</v>
      </c>
      <c r="B18" t="s">
        <v>26</v>
      </c>
      <c r="C18" t="s">
        <v>8</v>
      </c>
    </row>
    <row r="19" spans="1:3" x14ac:dyDescent="0.75">
      <c r="A19">
        <f>LN(2)/C19</f>
        <v>6.17558072487478E-3</v>
      </c>
      <c r="B19">
        <f>4*60</f>
        <v>240</v>
      </c>
      <c r="C19">
        <v>112.24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3DA2-E4CB-4829-95C4-C65CE70B8074}">
  <dimension ref="A1:E7"/>
  <sheetViews>
    <sheetView workbookViewId="0">
      <selection activeCell="C2" sqref="C2:C4"/>
    </sheetView>
  </sheetViews>
  <sheetFormatPr defaultRowHeight="14.75" x14ac:dyDescent="0.75"/>
  <cols>
    <col min="5" max="5" width="12.2265625" bestFit="1" customWidth="1"/>
  </cols>
  <sheetData>
    <row r="1" spans="1:5" x14ac:dyDescent="0.75">
      <c r="A1" t="s">
        <v>27</v>
      </c>
      <c r="B1" t="s">
        <v>28</v>
      </c>
      <c r="C1" t="s">
        <v>29</v>
      </c>
      <c r="E1" t="s">
        <v>30</v>
      </c>
    </row>
    <row r="2" spans="1:5" x14ac:dyDescent="0.75">
      <c r="A2">
        <f>1.7*2.28^-1.14</f>
        <v>0.66435957071188056</v>
      </c>
      <c r="B2">
        <f>A2*C2</f>
        <v>1793.7708409220775</v>
      </c>
      <c r="C2">
        <v>2700</v>
      </c>
      <c r="E2">
        <f>LN(0.05)/-B2</f>
        <v>1.6700752432869585E-3</v>
      </c>
    </row>
    <row r="3" spans="1:5" x14ac:dyDescent="0.75">
      <c r="A3">
        <f t="shared" ref="A3:A4" si="0">1.7*2.28^-1.14</f>
        <v>0.66435957071188056</v>
      </c>
      <c r="B3">
        <f t="shared" ref="B3:B4" si="1">A3*C3</f>
        <v>5952.6617535784499</v>
      </c>
      <c r="C3">
        <v>8960</v>
      </c>
      <c r="E3">
        <f t="shared" ref="E3:E4" si="2">LN(0.05)/-B3</f>
        <v>5.0325928090120403E-4</v>
      </c>
    </row>
    <row r="4" spans="1:5" x14ac:dyDescent="0.75">
      <c r="A4">
        <f t="shared" si="0"/>
        <v>0.66435957071188056</v>
      </c>
      <c r="B4">
        <f t="shared" si="1"/>
        <v>12822.139714739295</v>
      </c>
      <c r="C4">
        <v>19300</v>
      </c>
      <c r="E4">
        <f t="shared" si="2"/>
        <v>2.3363746926812373E-4</v>
      </c>
    </row>
    <row r="7" spans="1:5" x14ac:dyDescent="0.75">
      <c r="E7">
        <f>MIN(E2:E4)</f>
        <v>2.3363746926812373E-4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2135-F271-4FBE-900E-6E54DDC1F1A6}">
  <dimension ref="A1:C5"/>
  <sheetViews>
    <sheetView workbookViewId="0">
      <selection activeCell="G20" sqref="G20"/>
    </sheetView>
  </sheetViews>
  <sheetFormatPr defaultRowHeight="14.75" x14ac:dyDescent="0.75"/>
  <sheetData>
    <row r="1" spans="1:3" x14ac:dyDescent="0.75">
      <c r="A1">
        <v>10</v>
      </c>
    </row>
    <row r="2" spans="1:3" x14ac:dyDescent="0.75">
      <c r="A2" t="s">
        <v>31</v>
      </c>
      <c r="B2" t="s">
        <v>32</v>
      </c>
      <c r="C2" t="s">
        <v>33</v>
      </c>
    </row>
    <row r="3" spans="1:3" x14ac:dyDescent="0.75">
      <c r="A3">
        <f>5.3*A1-1.06</f>
        <v>51.94</v>
      </c>
      <c r="B3">
        <v>2700</v>
      </c>
      <c r="C3">
        <f>A$3/B3</f>
        <v>1.9237037037037035E-2</v>
      </c>
    </row>
    <row r="4" spans="1:3" x14ac:dyDescent="0.75">
      <c r="B4">
        <v>8960</v>
      </c>
      <c r="C4">
        <f t="shared" ref="C4:C5" si="0">A$3/B4</f>
        <v>5.7968749999999999E-3</v>
      </c>
    </row>
    <row r="5" spans="1:3" x14ac:dyDescent="0.75">
      <c r="B5">
        <v>19300</v>
      </c>
      <c r="C5">
        <f t="shared" si="0"/>
        <v>2.6911917098445593E-3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CDD2-A1F0-4B48-A04C-32E7E1BCBFF3}">
  <dimension ref="A1:A3"/>
  <sheetViews>
    <sheetView tabSelected="1" workbookViewId="0">
      <selection activeCell="I8" sqref="I8"/>
    </sheetView>
  </sheetViews>
  <sheetFormatPr defaultRowHeight="14.75" x14ac:dyDescent="0.75"/>
  <sheetData>
    <row r="1" spans="1:1" x14ac:dyDescent="0.75">
      <c r="A1">
        <f>ACOS(1/1.6)</f>
        <v>0.8956647938578649</v>
      </c>
    </row>
    <row r="3" spans="1:1" x14ac:dyDescent="0.75">
      <c r="A3">
        <f>A1/PI()*180</f>
        <v>51.317812546510559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2022-03-14T17:31:13Z</dcterms:created>
  <dcterms:modified xsi:type="dcterms:W3CDTF">2022-03-15T00:21:20Z</dcterms:modified>
</cp:coreProperties>
</file>