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school\Spring_2022\chemRxnEng\"/>
    </mc:Choice>
  </mc:AlternateContent>
  <xr:revisionPtr revIDLastSave="0" documentId="13_ncr:1_{00196EA1-FA3B-4065-8810-952B2C0496F1}" xr6:coauthVersionLast="47" xr6:coauthVersionMax="47" xr10:uidLastSave="{00000000-0000-0000-0000-000000000000}"/>
  <bookViews>
    <workbookView xWindow="-90" yWindow="-90" windowWidth="19380" windowHeight="10980" activeTab="2" xr2:uid="{709B5A04-B194-4119-BB31-8EB4959CA3C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3" l="1"/>
  <c r="J13" i="3"/>
  <c r="J11" i="3"/>
  <c r="J10" i="3"/>
  <c r="K7" i="3"/>
  <c r="J7" i="3"/>
  <c r="A2" i="3"/>
  <c r="A1" i="3"/>
  <c r="I19" i="2"/>
  <c r="G9" i="2"/>
  <c r="F3" i="2"/>
  <c r="F9" i="2" s="1"/>
  <c r="G3" i="2"/>
  <c r="G4" i="2"/>
  <c r="G5" i="2"/>
  <c r="G6" i="2"/>
  <c r="G2" i="2"/>
  <c r="F4" i="2"/>
  <c r="F5" i="2"/>
  <c r="F6" i="2"/>
  <c r="F2" i="2"/>
  <c r="B3" i="2"/>
  <c r="B4" i="2"/>
  <c r="B5" i="2"/>
  <c r="B6" i="2"/>
  <c r="B2" i="2"/>
  <c r="G10" i="1"/>
  <c r="H2" i="1"/>
  <c r="A2" i="1"/>
  <c r="E15" i="1" s="1"/>
  <c r="C15" i="1" s="1"/>
  <c r="C12" i="1"/>
  <c r="C19" i="1"/>
  <c r="C20" i="1"/>
  <c r="B23" i="1" s="1"/>
  <c r="B19" i="1"/>
  <c r="B20" i="1"/>
  <c r="C22" i="1" s="1"/>
  <c r="E12" i="1"/>
  <c r="G3" i="1"/>
  <c r="B3" i="1"/>
  <c r="E13" i="1"/>
  <c r="C13" i="1" s="1"/>
  <c r="E14" i="1"/>
  <c r="C14" i="1" s="1"/>
  <c r="E17" i="1"/>
  <c r="C17" i="1" s="1"/>
  <c r="E19" i="1"/>
  <c r="E20" i="1"/>
  <c r="D15" i="1"/>
  <c r="B15" i="1" s="1"/>
  <c r="D13" i="1"/>
  <c r="B13" i="1" s="1"/>
  <c r="D17" i="1"/>
  <c r="B17" i="1" s="1"/>
  <c r="D19" i="1"/>
  <c r="D20" i="1"/>
  <c r="A19" i="1"/>
  <c r="A20" i="1" s="1"/>
  <c r="A14" i="1"/>
  <c r="A15" i="1" s="1"/>
  <c r="A16" i="1" s="1"/>
  <c r="A17" i="1" s="1"/>
  <c r="A18" i="1" s="1"/>
  <c r="A13" i="1"/>
  <c r="E2" i="1"/>
  <c r="D3" i="1"/>
  <c r="G2" i="1"/>
  <c r="B2" i="1"/>
  <c r="A5" i="3" l="1"/>
  <c r="A6" i="3"/>
  <c r="C5" i="3" s="1"/>
  <c r="E3" i="2"/>
  <c r="E4" i="2"/>
  <c r="E5" i="2"/>
  <c r="E6" i="2"/>
  <c r="E2" i="2"/>
  <c r="D18" i="1"/>
  <c r="B18" i="1" s="1"/>
  <c r="E18" i="1"/>
  <c r="C18" i="1" s="1"/>
  <c r="D12" i="1"/>
  <c r="B12" i="1" s="1"/>
  <c r="D16" i="1"/>
  <c r="B16" i="1" s="1"/>
  <c r="E16" i="1"/>
  <c r="C16" i="1" s="1"/>
  <c r="D14" i="1"/>
  <c r="B14" i="1" s="1"/>
  <c r="I2" i="1"/>
  <c r="F2" i="1"/>
  <c r="E5" i="1"/>
  <c r="E9" i="2" l="1"/>
  <c r="F5" i="1"/>
  <c r="E6" i="1" s="1"/>
  <c r="J2" i="1"/>
  <c r="I4" i="1" s="1"/>
</calcChain>
</file>

<file path=xl/sharedStrings.xml><?xml version="1.0" encoding="utf-8"?>
<sst xmlns="http://schemas.openxmlformats.org/spreadsheetml/2006/main" count="21" uniqueCount="19">
  <si>
    <t>ca0</t>
  </si>
  <si>
    <t>k</t>
  </si>
  <si>
    <t>yc</t>
  </si>
  <si>
    <t>xa</t>
  </si>
  <si>
    <t>v</t>
  </si>
  <si>
    <t>fa0</t>
  </si>
  <si>
    <t>v0</t>
  </si>
  <si>
    <t>ra1</t>
  </si>
  <si>
    <t>ra2</t>
  </si>
  <si>
    <t>=</t>
  </si>
  <si>
    <t>r</t>
  </si>
  <si>
    <t>t</t>
  </si>
  <si>
    <t>kf</t>
  </si>
  <si>
    <t>K</t>
  </si>
  <si>
    <t>A</t>
  </si>
  <si>
    <t>E</t>
  </si>
  <si>
    <t>H</t>
  </si>
  <si>
    <t>benz</t>
  </si>
  <si>
    <t>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</si>
</sst>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Sheet1!$A$12:$A$20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</c:numCache>
            </c:numRef>
          </c:xVal>
          <c:yVal>
            <c:numRef>
              <c:f>Sheet1!$B$12:$B$20</c:f>
              <c:numCache>
                <c:formatCode>General</c:formatCode>
                <c:ptCount val="9"/>
                <c:pt idx="0">
                  <c:v>2.4720752498530274</c:v>
                </c:pt>
                <c:pt idx="1">
                  <c:v>2.9166666666666665</c:v>
                </c:pt>
                <c:pt idx="2">
                  <c:v>3.5422740524781346</c:v>
                </c:pt>
                <c:pt idx="3">
                  <c:v>4.4708994708994707</c:v>
                </c:pt>
                <c:pt idx="4">
                  <c:v>5.9523809523809534</c:v>
                </c:pt>
                <c:pt idx="5">
                  <c:v>8.5714285714285712</c:v>
                </c:pt>
                <c:pt idx="6">
                  <c:v>13.994708994708994</c:v>
                </c:pt>
                <c:pt idx="7">
                  <c:v>28.8095238095238</c:v>
                </c:pt>
                <c:pt idx="8">
                  <c:v>104.99999999999984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2-4C4D-B491-EA83CCC632E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Sheet1!$A$12:$A$20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</c:numCache>
            </c:numRef>
          </c:xVal>
          <c:yVal>
            <c:numRef>
              <c:f>Sheet1!$C$12:$C$20</c:f>
              <c:numCache>
                <c:formatCode>General</c:formatCode>
                <c:ptCount val="9"/>
                <c:pt idx="0">
                  <c:v>4.0969364426154531</c:v>
                </c:pt>
                <c:pt idx="1">
                  <c:v>4.4708994708994698</c:v>
                </c:pt>
                <c:pt idx="2">
                  <c:v>4.9757045675413023</c:v>
                </c:pt>
                <c:pt idx="3">
                  <c:v>5.6907701352145805</c:v>
                </c:pt>
                <c:pt idx="4">
                  <c:v>6.7724867724867721</c:v>
                </c:pt>
                <c:pt idx="5">
                  <c:v>8.5714285714285694</c:v>
                </c:pt>
                <c:pt idx="6">
                  <c:v>12.039976484420926</c:v>
                </c:pt>
                <c:pt idx="7">
                  <c:v>20.740740740740726</c:v>
                </c:pt>
                <c:pt idx="8">
                  <c:v>60.95238095238085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C2-4C4D-B491-EA83CCC63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730736"/>
        <c:axId val="2119714928"/>
      </c:scatterChart>
      <c:valAx>
        <c:axId val="211973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14928"/>
        <c:crosses val="autoZero"/>
        <c:crossBetween val="midCat"/>
      </c:valAx>
      <c:valAx>
        <c:axId val="21197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3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4284776902887139E-2"/>
                  <c:y val="-0.26824803149606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Sheet2!$B$2:$B$6</c:f>
              <c:numCache>
                <c:formatCode>General</c:formatCode>
                <c:ptCount val="5"/>
                <c:pt idx="0">
                  <c:v>303</c:v>
                </c:pt>
                <c:pt idx="1">
                  <c:v>353</c:v>
                </c:pt>
                <c:pt idx="2">
                  <c:v>403</c:v>
                </c:pt>
                <c:pt idx="3">
                  <c:v>453</c:v>
                </c:pt>
                <c:pt idx="4">
                  <c:v>503</c:v>
                </c:pt>
              </c:numCache>
            </c:numRef>
          </c:xVal>
          <c:yVal>
            <c:numRef>
              <c:f>Sheet2!$D$2:$D$6</c:f>
              <c:numCache>
                <c:formatCode>General</c:formatCode>
                <c:ptCount val="5"/>
                <c:pt idx="0" formatCode="0.00E+00">
                  <c:v>909</c:v>
                </c:pt>
                <c:pt idx="1">
                  <c:v>26.3</c:v>
                </c:pt>
                <c:pt idx="2">
                  <c:v>1.83</c:v>
                </c:pt>
                <c:pt idx="3" formatCode="0.00E+00">
                  <c:v>0.23</c:v>
                </c:pt>
                <c:pt idx="4" formatCode="0.00E+00">
                  <c:v>4.36E-2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C1-4859-97B9-43B44383B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577232"/>
        <c:axId val="1809577648"/>
      </c:scatterChart>
      <c:valAx>
        <c:axId val="180957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77648"/>
        <c:crosses val="autoZero"/>
        <c:crossBetween val="midCat"/>
      </c:valAx>
      <c:valAx>
        <c:axId val="18095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292099</xdr:colOff>
      <xdr:row>10</xdr:row>
      <xdr:rowOff>69850</xdr:rowOff>
    </xdr:from>
    <xdr:to>
      <xdr:col>19</xdr:col>
      <xdr:colOff>568324</xdr:colOff>
      <xdr:row>27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130C58-AD32-4EB5-8B77-118A03D3E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481012</xdr:colOff>
      <xdr:row>0</xdr:row>
      <xdr:rowOff>44450</xdr:rowOff>
    </xdr:from>
    <xdr:to>
      <xdr:col>9</xdr:col>
      <xdr:colOff>582612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64B20-958D-45AD-BD48-B726CBA8F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1891E-D1C5-43CF-B428-C4FE5D5D1FBF}">
  <dimension ref="A1:J23"/>
  <sheetViews>
    <sheetView workbookViewId="0">
      <selection activeCell="G10" sqref="G10"/>
    </sheetView>
  </sheetViews>
  <sheetFormatPr defaultRowHeight="14.75" x14ac:dyDescent="0.75"/>
  <cols>
    <col min="1" max="1" width="10.6328125" bestFit="1" customWidth="1"/>
    <col min="2" max="2" width="11.6328125" bestFit="1" customWidth="1"/>
    <col min="5" max="5" width="11.6328125" bestFit="1" customWidth="1"/>
    <col min="7" max="7" width="11.6328125" bestFit="1" customWidth="1"/>
  </cols>
  <sheetData>
    <row r="1" spans="1:10" x14ac:dyDescent="0.75">
      <c r="A1" t="s">
        <v>1</v>
      </c>
      <c r="B1" t="s">
        <v>0</v>
      </c>
      <c r="C1" t="s">
        <v>2</v>
      </c>
      <c r="D1" t="s">
        <v>3</v>
      </c>
      <c r="E1" t="s">
        <v>7</v>
      </c>
      <c r="F1" t="s">
        <v>8</v>
      </c>
      <c r="G1" t="s">
        <v>5</v>
      </c>
      <c r="H1" t="s">
        <v>6</v>
      </c>
      <c r="I1" t="s">
        <v>4</v>
      </c>
    </row>
    <row r="2" spans="1:10" x14ac:dyDescent="0.75">
      <c r="A2">
        <f>0.035*60</f>
        <v>2.1</v>
      </c>
      <c r="B2" s="1">
        <f>1/3</f>
        <v>0.33333333333333331</v>
      </c>
      <c r="C2">
        <v>0.25</v>
      </c>
      <c r="D2">
        <v>0.9</v>
      </c>
      <c r="E2">
        <f>2*A2*B2^2*((1-D2)^2/(1-(1/3)*D2)^2)</f>
        <v>9.5238095238095195E-3</v>
      </c>
      <c r="F2">
        <f>A2*4.5*B2^2*(1-C2)^2*(1-D2)^2/(1.5-D2)^2</f>
        <v>1.6406249999999994E-2</v>
      </c>
      <c r="G2">
        <f>B2*H2</f>
        <v>0.5</v>
      </c>
      <c r="H2">
        <f>1.5</f>
        <v>1.5</v>
      </c>
      <c r="I2">
        <f>G2*D2/E2</f>
        <v>47.250000000000021</v>
      </c>
      <c r="J2">
        <f>G2*D2/F2</f>
        <v>27.428571428571441</v>
      </c>
    </row>
    <row r="3" spans="1:10" x14ac:dyDescent="0.75">
      <c r="B3" s="1">
        <f>D3*B2</f>
        <v>0.19999999999999998</v>
      </c>
      <c r="D3">
        <f>3*C2/(1+C2)</f>
        <v>0.6</v>
      </c>
      <c r="G3">
        <f>B3*H2</f>
        <v>0.3</v>
      </c>
    </row>
    <row r="4" spans="1:10" x14ac:dyDescent="0.75">
      <c r="I4">
        <f>I2+J2</f>
        <v>74.678571428571459</v>
      </c>
    </row>
    <row r="5" spans="1:10" x14ac:dyDescent="0.75">
      <c r="E5">
        <f>G2*D3/E2</f>
        <v>31.500000000000014</v>
      </c>
      <c r="F5">
        <f>G2*0.3/F2</f>
        <v>9.1428571428571459</v>
      </c>
    </row>
    <row r="6" spans="1:10" x14ac:dyDescent="0.75">
      <c r="E6">
        <f>E5+F5</f>
        <v>40.64285714285716</v>
      </c>
    </row>
    <row r="10" spans="1:10" x14ac:dyDescent="0.75">
      <c r="G10">
        <f>G2*D3/670</f>
        <v>4.4776119402985075E-4</v>
      </c>
    </row>
    <row r="11" spans="1:10" x14ac:dyDescent="0.75">
      <c r="A11" t="s">
        <v>3</v>
      </c>
    </row>
    <row r="12" spans="1:10" x14ac:dyDescent="0.75">
      <c r="A12">
        <v>0.1</v>
      </c>
      <c r="B12">
        <f>1/D12</f>
        <v>2.4720752498530274</v>
      </c>
      <c r="C12">
        <f>1/E12</f>
        <v>4.0969364426154531</v>
      </c>
      <c r="D12">
        <f>2*A$2*B$2^2*((1-A12)^2/(1-(1/3)*A12)^2)</f>
        <v>0.4045184304399525</v>
      </c>
      <c r="E12">
        <f>A$2*4.5*B$2^2*(1-C$2)^2*(1-A12)^2/(1.5-A12)^2</f>
        <v>0.24408482142857152</v>
      </c>
    </row>
    <row r="13" spans="1:10" x14ac:dyDescent="0.75">
      <c r="A13">
        <f>A12+0.1</f>
        <v>0.2</v>
      </c>
      <c r="B13">
        <f t="shared" ref="B13:C20" si="0">1/D13</f>
        <v>2.9166666666666665</v>
      </c>
      <c r="C13">
        <f t="shared" si="0"/>
        <v>4.4708994708994698</v>
      </c>
      <c r="D13">
        <f>2*A$2*B$2^2*((1-A13)^2/(1-(1/3)*A13)^2)</f>
        <v>0.34285714285714286</v>
      </c>
      <c r="E13">
        <f>A$2*4.5*B$2^2*(1-C$2)^2*(1-A13)^2/(1.5-A13)^2</f>
        <v>0.22366863905325449</v>
      </c>
    </row>
    <row r="14" spans="1:10" x14ac:dyDescent="0.75">
      <c r="A14">
        <f t="shared" ref="A14:A21" si="1">A13+0.1</f>
        <v>0.30000000000000004</v>
      </c>
      <c r="B14">
        <f t="shared" si="0"/>
        <v>3.5422740524781346</v>
      </c>
      <c r="C14">
        <f t="shared" si="0"/>
        <v>4.9757045675413023</v>
      </c>
      <c r="D14">
        <f>2*A$2*B$2^2*((1-A14)^2/(1-(1/3)*A14)^2)</f>
        <v>0.28230452674897116</v>
      </c>
      <c r="E14">
        <f>A$2*4.5*B$2^2*(1-C$2)^2*(1-A14)^2/(1.5-A14)^2</f>
        <v>0.20097656249999998</v>
      </c>
    </row>
    <row r="15" spans="1:10" x14ac:dyDescent="0.75">
      <c r="A15">
        <f t="shared" si="1"/>
        <v>0.4</v>
      </c>
      <c r="B15">
        <f t="shared" si="0"/>
        <v>4.4708994708994707</v>
      </c>
      <c r="C15">
        <f t="shared" si="0"/>
        <v>5.6907701352145805</v>
      </c>
      <c r="D15">
        <f>2*A$2*B$2^2*((1-A15)^2/(1-(1/3)*A15)^2)</f>
        <v>0.22366863905325443</v>
      </c>
      <c r="E15">
        <f>A$2*4.5*B$2^2*(1-C$2)^2*(1-A15)^2/(1.5-A15)^2</f>
        <v>0.17572314049586774</v>
      </c>
    </row>
    <row r="16" spans="1:10" x14ac:dyDescent="0.75">
      <c r="A16">
        <f t="shared" si="1"/>
        <v>0.5</v>
      </c>
      <c r="B16">
        <f t="shared" si="0"/>
        <v>5.9523809523809534</v>
      </c>
      <c r="C16">
        <f t="shared" si="0"/>
        <v>6.7724867724867721</v>
      </c>
      <c r="D16">
        <f>2*A$2*B$2^2*((1-A16)^2/(1-(1/3)*A16)^2)</f>
        <v>0.16799999999999998</v>
      </c>
      <c r="E16">
        <f>A$2*4.5*B$2^2*(1-C$2)^2*(1-A16)^2/(1.5-A16)^2</f>
        <v>0.14765625000000002</v>
      </c>
    </row>
    <row r="17" spans="1:5" x14ac:dyDescent="0.75">
      <c r="A17">
        <f t="shared" si="1"/>
        <v>0.6</v>
      </c>
      <c r="B17">
        <f t="shared" si="0"/>
        <v>8.5714285714285712</v>
      </c>
      <c r="C17">
        <f t="shared" si="0"/>
        <v>8.5714285714285694</v>
      </c>
      <c r="D17">
        <f>2*A$2*B$2^2*((1-A17)^2/(1-(1/3)*A17)^2)</f>
        <v>0.11666666666666667</v>
      </c>
      <c r="E17">
        <f>A$2*4.5*B$2^2*(1-C$2)^2*(1-A17)^2/(1.5-A17)^2</f>
        <v>0.1166666666666667</v>
      </c>
    </row>
    <row r="18" spans="1:5" x14ac:dyDescent="0.75">
      <c r="A18">
        <f t="shared" si="1"/>
        <v>0.7</v>
      </c>
      <c r="B18">
        <f t="shared" si="0"/>
        <v>13.994708994708994</v>
      </c>
      <c r="C18">
        <f t="shared" si="0"/>
        <v>12.039976484420926</v>
      </c>
      <c r="D18">
        <f>2*A$2*B$2^2*((1-A18)^2/(1-(1/3)*A18)^2)</f>
        <v>7.1455576559546319E-2</v>
      </c>
      <c r="E18">
        <f>A$2*4.5*B$2^2*(1-C$2)^2*(1-A18)^2/(1.5-A18)^2</f>
        <v>8.3056640625000025E-2</v>
      </c>
    </row>
    <row r="19" spans="1:5" x14ac:dyDescent="0.75">
      <c r="A19">
        <f>A18+0.1</f>
        <v>0.79999999999999993</v>
      </c>
      <c r="B19">
        <f t="shared" si="0"/>
        <v>28.8095238095238</v>
      </c>
      <c r="C19">
        <f t="shared" si="0"/>
        <v>20.740740740740726</v>
      </c>
      <c r="D19">
        <f>2*A$2*B$2^2*((1-A19)^2/(1-(1/3)*A19)^2)</f>
        <v>3.4710743801652906E-2</v>
      </c>
      <c r="E19">
        <f>A$2*4.5*B$2^2*(1-C$2)^2*(1-A19)^2/(1.5-A19)^2</f>
        <v>4.8214285714285744E-2</v>
      </c>
    </row>
    <row r="20" spans="1:5" x14ac:dyDescent="0.75">
      <c r="A20">
        <f t="shared" si="1"/>
        <v>0.89999999999999991</v>
      </c>
      <c r="B20">
        <f t="shared" si="0"/>
        <v>104.99999999999984</v>
      </c>
      <c r="C20">
        <f t="shared" si="0"/>
        <v>60.95238095238085</v>
      </c>
      <c r="D20">
        <f>2*A$2*B$2^2*((1-A20)^2/(1-(1/3)*A20)^2)</f>
        <v>9.5238095238095385E-3</v>
      </c>
      <c r="E20">
        <f>A$2*4.5*B$2^2*(1-C$2)^2*(1-A20)^2/(1.5-A20)^2</f>
        <v>1.6406250000000028E-2</v>
      </c>
    </row>
    <row r="22" spans="1:5" x14ac:dyDescent="0.75">
      <c r="C22">
        <f>B20*A20</f>
        <v>94.499999999999844</v>
      </c>
    </row>
    <row r="23" spans="1:5" x14ac:dyDescent="0.75">
      <c r="B23">
        <f>C20*0.1</f>
        <v>6.0952380952380851</v>
      </c>
      <c r="C23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98A9-2E31-404C-9FF5-096E7C314604}">
  <dimension ref="A1:I19"/>
  <sheetViews>
    <sheetView workbookViewId="0">
      <selection activeCell="E18" sqref="E18"/>
    </sheetView>
  </sheetViews>
  <sheetFormatPr defaultRowHeight="14.75" x14ac:dyDescent="0.75"/>
  <cols>
    <col min="1" max="1" width="11.6796875" bestFit="1" customWidth="1"/>
    <col min="2" max="2" width="11.6796875" customWidth="1"/>
    <col min="5" max="5" width="11.6328125" bestFit="1" customWidth="1"/>
  </cols>
  <sheetData>
    <row r="1" spans="1:8" x14ac:dyDescent="0.75">
      <c r="A1" t="s">
        <v>11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10</v>
      </c>
    </row>
    <row r="2" spans="1:8" x14ac:dyDescent="0.75">
      <c r="A2">
        <v>30</v>
      </c>
      <c r="B2">
        <f>A2+273</f>
        <v>303</v>
      </c>
      <c r="C2" s="2">
        <v>1.7499999999999999E-7</v>
      </c>
      <c r="D2" s="2">
        <v>909</v>
      </c>
      <c r="E2">
        <f>C2/EXP(-F$9/H$2/B2)</f>
        <v>2422291931974.2588</v>
      </c>
      <c r="F2" s="1" t="e">
        <f>-H$2*LN(C2/C$2)/(1/B$2-1/B2)</f>
        <v>#DIV/0!</v>
      </c>
      <c r="G2" s="1" t="e">
        <f>H$2*LN(D2/D$2)/(1/B$2-1/B2)</f>
        <v>#DIV/0!</v>
      </c>
      <c r="H2">
        <v>8.3140000000000002E-3</v>
      </c>
    </row>
    <row r="3" spans="1:8" x14ac:dyDescent="0.75">
      <c r="A3">
        <v>80</v>
      </c>
      <c r="B3">
        <f t="shared" ref="B3:B6" si="0">A3+273</f>
        <v>353</v>
      </c>
      <c r="C3" s="2">
        <v>9.0099999999999995E-5</v>
      </c>
      <c r="D3">
        <v>26.3</v>
      </c>
      <c r="E3">
        <f t="shared" ref="E3:E6" si="1">C3/EXP(-F$9/H$2/B3)</f>
        <v>2424916188786.8169</v>
      </c>
      <c r="F3" s="2">
        <f>-H$2*LN(C$2/C3)/(1/B$2-1/B3)</f>
        <v>111.04846409726004</v>
      </c>
      <c r="G3" s="1">
        <f t="shared" ref="G3:G6" si="2">H$2*LN(D3/D$2)/(1/B$2-1/B3)</f>
        <v>-63.008778833021644</v>
      </c>
    </row>
    <row r="4" spans="1:8" x14ac:dyDescent="0.75">
      <c r="A4">
        <v>130</v>
      </c>
      <c r="B4">
        <f t="shared" si="0"/>
        <v>403</v>
      </c>
      <c r="C4" s="2">
        <v>9.8300000000000002E-3</v>
      </c>
      <c r="D4">
        <v>1.83</v>
      </c>
      <c r="E4">
        <f t="shared" si="1"/>
        <v>2421404819196.7754</v>
      </c>
      <c r="F4" s="1">
        <f t="shared" ref="F3:F6" si="3">-H$2*LN(C$2/C4)/(1/B$2-1/B4)</f>
        <v>111.02548781538682</v>
      </c>
      <c r="G4" s="1">
        <f t="shared" si="2"/>
        <v>-63.024794854818417</v>
      </c>
    </row>
    <row r="5" spans="1:8" x14ac:dyDescent="0.75">
      <c r="A5">
        <v>180</v>
      </c>
      <c r="B5">
        <f t="shared" si="0"/>
        <v>453</v>
      </c>
      <c r="C5" s="2">
        <v>0.38100000000000001</v>
      </c>
      <c r="D5" s="2">
        <v>0.23</v>
      </c>
      <c r="E5">
        <f t="shared" si="1"/>
        <v>2420870420912.8369</v>
      </c>
      <c r="F5" s="1">
        <f t="shared" si="3"/>
        <v>111.02474058330601</v>
      </c>
      <c r="G5" s="1">
        <f t="shared" si="2"/>
        <v>-63.008033065564057</v>
      </c>
    </row>
    <row r="6" spans="1:8" x14ac:dyDescent="0.75">
      <c r="A6">
        <v>230</v>
      </c>
      <c r="B6">
        <f t="shared" si="0"/>
        <v>503</v>
      </c>
      <c r="C6" s="2">
        <v>7.13</v>
      </c>
      <c r="D6" s="2">
        <v>4.36E-2</v>
      </c>
      <c r="E6">
        <f t="shared" si="1"/>
        <v>2418062117812.6152</v>
      </c>
      <c r="F6" s="1">
        <f t="shared" si="3"/>
        <v>111.01813351218745</v>
      </c>
      <c r="G6" s="1">
        <f t="shared" si="2"/>
        <v>-63.008234827071959</v>
      </c>
    </row>
    <row r="9" spans="1:8" x14ac:dyDescent="0.75">
      <c r="E9">
        <f>AVERAGE(E2:E6)</f>
        <v>2421509095736.6606</v>
      </c>
      <c r="F9">
        <f>AVERAGE(F3:F6)</f>
        <v>111.02920650203508</v>
      </c>
      <c r="G9">
        <f>AVERAGE(G3:G6)</f>
        <v>-63.012460395119021</v>
      </c>
    </row>
    <row r="19" spans="9:9" x14ac:dyDescent="0.75">
      <c r="I19">
        <f>3E+51*373^-19.61</f>
        <v>11.115040844732974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2AE28-2C4C-4A68-B3D3-073A984A124A}">
  <dimension ref="A1:K14"/>
  <sheetViews>
    <sheetView tabSelected="1" workbookViewId="0">
      <selection activeCell="G16" sqref="G16"/>
    </sheetView>
  </sheetViews>
  <sheetFormatPr defaultRowHeight="14.75" x14ac:dyDescent="0.75"/>
  <sheetData>
    <row r="1" spans="1:11" x14ac:dyDescent="0.75">
      <c r="A1">
        <f>14.4/3/100*150</f>
        <v>7.2</v>
      </c>
      <c r="B1" t="s">
        <v>17</v>
      </c>
      <c r="J1">
        <v>1</v>
      </c>
      <c r="K1">
        <v>2</v>
      </c>
    </row>
    <row r="2" spans="1:11" x14ac:dyDescent="0.75">
      <c r="A2">
        <f>2*A1/100*150</f>
        <v>21.6</v>
      </c>
      <c r="B2" t="s">
        <v>18</v>
      </c>
    </row>
    <row r="5" spans="1:11" x14ac:dyDescent="0.75">
      <c r="A5">
        <f>A1*8.314*373/150</f>
        <v>148.85385600000001</v>
      </c>
      <c r="C5">
        <f>11.11*A5*A6</f>
        <v>738508.48996747087</v>
      </c>
    </row>
    <row r="6" spans="1:11" x14ac:dyDescent="0.75">
      <c r="A6">
        <f>A2*8.314*373/150</f>
        <v>446.56156799999997</v>
      </c>
    </row>
    <row r="7" spans="1:11" x14ac:dyDescent="0.75">
      <c r="J7">
        <f>4*PI()*J1^2</f>
        <v>12.566370614359172</v>
      </c>
      <c r="K7">
        <f>4*PI()*K1^2</f>
        <v>50.26548245743669</v>
      </c>
    </row>
    <row r="10" spans="1:11" x14ac:dyDescent="0.75">
      <c r="J10">
        <f>AVERAGE(J7:K7)</f>
        <v>31.415926535897931</v>
      </c>
    </row>
    <row r="11" spans="1:11" x14ac:dyDescent="0.75">
      <c r="J11">
        <f>4*PI()*2</f>
        <v>25.132741228718345</v>
      </c>
    </row>
    <row r="13" spans="1:11" x14ac:dyDescent="0.75">
      <c r="J13">
        <f>LN(2)-LN(1)</f>
        <v>0.69314718055994529</v>
      </c>
    </row>
    <row r="14" spans="1:11" x14ac:dyDescent="0.75">
      <c r="J14">
        <f>LN(2)</f>
        <v>0.69314718055994529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Joshua Whitehead</cp:lastModifiedBy>
  <dcterms:created xsi:type="dcterms:W3CDTF">2022-02-09T17:58:15Z</dcterms:created>
  <dcterms:modified xsi:type="dcterms:W3CDTF">2022-02-10T03:32:21Z</dcterms:modified>
</cp:coreProperties>
</file>