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l\school\Spring_2022\chemRxnEng\"/>
    </mc:Choice>
  </mc:AlternateContent>
  <xr:revisionPtr revIDLastSave="0" documentId="13_ncr:1_{79223550-B2E7-42DD-B3FE-1D91F0692F65}" xr6:coauthVersionLast="47" xr6:coauthVersionMax="47" xr10:uidLastSave="{00000000-0000-0000-0000-000000000000}"/>
  <bookViews>
    <workbookView xWindow="8990" yWindow="1665" windowWidth="12875" windowHeight="8170" activeTab="3" xr2:uid="{152240B4-B040-4747-B764-FFBA39F9C43F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solver_adj" localSheetId="0" hidden="1">Sheet1!$J$3</definedName>
    <definedName name="solver_adj" localSheetId="1" hidden="1">Sheet2!$I$8</definedName>
    <definedName name="solver_adj" localSheetId="2" hidden="1">Sheet3!$F$7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0</definedName>
    <definedName name="solver_num" localSheetId="1" hidden="1">0</definedName>
    <definedName name="solver_num" localSheetId="2" hidden="1">0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Sheet1!$C$20</definedName>
    <definedName name="solver_opt" localSheetId="1" hidden="1">Sheet2!$H$8</definedName>
    <definedName name="solver_opt" localSheetId="2" hidden="1">Sheet3!$E$11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3</definedName>
    <definedName name="solver_typ" localSheetId="1" hidden="1">3</definedName>
    <definedName name="solver_typ" localSheetId="2" hidden="1">3</definedName>
    <definedName name="solver_val" localSheetId="0" hidden="1">10.8</definedName>
    <definedName name="solver_val" localSheetId="1" hidden="1">80</definedName>
    <definedName name="solver_val" localSheetId="2" hidden="1">0.767041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4" l="1"/>
  <c r="C1" i="4"/>
  <c r="A2" i="4"/>
  <c r="A7" i="4"/>
  <c r="A5" i="4"/>
  <c r="A4" i="4"/>
  <c r="B11" i="4"/>
  <c r="A1" i="4"/>
  <c r="G7" i="3"/>
  <c r="A1" i="3"/>
  <c r="A2" i="3"/>
  <c r="A5" i="3"/>
  <c r="G10" i="3"/>
  <c r="E11" i="3"/>
  <c r="B14" i="3"/>
  <c r="B15" i="3"/>
  <c r="G2" i="2"/>
  <c r="J3" i="2"/>
  <c r="D2" i="2"/>
  <c r="E2" i="2" s="1"/>
  <c r="F2" i="2" s="1"/>
  <c r="H8" i="2" s="1"/>
  <c r="J5" i="2"/>
  <c r="J4" i="2"/>
  <c r="I4" i="1"/>
  <c r="G4" i="1"/>
  <c r="G3" i="1"/>
  <c r="O3" i="1"/>
  <c r="J4" i="1"/>
  <c r="L4" i="1"/>
  <c r="L3" i="1"/>
  <c r="A26" i="1"/>
  <c r="A24" i="1" s="1"/>
  <c r="A20" i="1"/>
  <c r="C20" i="1"/>
  <c r="C19" i="1"/>
  <c r="B23" i="1"/>
  <c r="C6" i="1"/>
  <c r="C7" i="1"/>
  <c r="C8" i="1"/>
  <c r="C9" i="1"/>
  <c r="C10" i="1"/>
  <c r="A21" i="1"/>
  <c r="A17" i="1"/>
  <c r="E2" i="1"/>
  <c r="G35" i="1"/>
  <c r="E3" i="1"/>
  <c r="E4" i="1"/>
  <c r="E5" i="1"/>
  <c r="E6" i="1"/>
  <c r="E7" i="1"/>
  <c r="E8" i="1"/>
  <c r="E9" i="1"/>
  <c r="E10" i="1"/>
  <c r="E1" i="1"/>
  <c r="A31" i="1"/>
  <c r="A38" i="1"/>
  <c r="C31" i="1"/>
  <c r="B31" i="1"/>
  <c r="B10" i="1"/>
  <c r="B9" i="1"/>
  <c r="B8" i="1"/>
  <c r="B7" i="1"/>
  <c r="B6" i="1"/>
  <c r="B5" i="1"/>
  <c r="B4" i="1"/>
  <c r="B3" i="1"/>
  <c r="B2" i="1"/>
  <c r="B1" i="1"/>
  <c r="O32" i="1"/>
  <c r="O31" i="1"/>
  <c r="J32" i="1"/>
  <c r="I32" i="1" s="1"/>
  <c r="A19" i="3" l="1"/>
  <c r="H2" i="2"/>
  <c r="D3" i="2"/>
  <c r="D4" i="2" s="1"/>
  <c r="D5" i="2" s="1"/>
  <c r="D7" i="2" s="1"/>
  <c r="D8" i="2" s="1"/>
  <c r="E3" i="2"/>
  <c r="E4" i="2" s="1"/>
  <c r="F3" i="2"/>
  <c r="F4" i="2" s="1"/>
  <c r="F5" i="2" s="1"/>
  <c r="F7" i="2" s="1"/>
  <c r="E5" i="2"/>
  <c r="E7" i="2" s="1"/>
  <c r="E8" i="2" s="1"/>
  <c r="G3" i="2"/>
  <c r="G4" i="2" s="1"/>
  <c r="G5" i="2" s="1"/>
  <c r="G7" i="2" s="1"/>
  <c r="G8" i="2" s="1"/>
  <c r="A36" i="1"/>
  <c r="H7" i="2" l="1"/>
  <c r="F8" i="2"/>
  <c r="H5" i="2"/>
  <c r="H3" i="2"/>
  <c r="H4" i="2"/>
</calcChain>
</file>

<file path=xl/sharedStrings.xml><?xml version="1.0" encoding="utf-8"?>
<sst xmlns="http://schemas.openxmlformats.org/spreadsheetml/2006/main" count="20" uniqueCount="20">
  <si>
    <t>mol/l/sec</t>
  </si>
  <si>
    <t>kmax</t>
  </si>
  <si>
    <t>km</t>
  </si>
  <si>
    <t>xai</t>
  </si>
  <si>
    <t>xai-1</t>
  </si>
  <si>
    <t>m. (g/hr)</t>
  </si>
  <si>
    <t>F (mol/hr)</t>
  </si>
  <si>
    <t>ca0 (mol/L)</t>
  </si>
  <si>
    <t>m. grass (g/hr)</t>
  </si>
  <si>
    <t>V (L)</t>
  </si>
  <si>
    <t>one CSTR</t>
  </si>
  <si>
    <t>one PFR</t>
  </si>
  <si>
    <t>stomach</t>
  </si>
  <si>
    <t>vb</t>
  </si>
  <si>
    <t>va</t>
  </si>
  <si>
    <t>FA0</t>
  </si>
  <si>
    <t>ca</t>
  </si>
  <si>
    <t>FA0/CA0^2</t>
  </si>
  <si>
    <t>vb*cb</t>
  </si>
  <si>
    <t>CA0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</si>
</sst>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322320386525794"/>
                  <c:y val="2.47482550485605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Sheet1!$A$1:$A$10</c:f>
              <c:numCache>
                <c:formatCode>General</c:formatCode>
                <c:ptCount val="1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</c:numCache>
            </c:numRef>
          </c:xVal>
          <c:yVal>
            <c:numRef>
              <c:f>Sheet1!$C$1:$C$10</c:f>
              <c:numCache>
                <c:formatCode>General</c:formatCode>
                <c:ptCount val="10"/>
                <c:pt idx="5">
                  <c:v>6</c:v>
                </c:pt>
                <c:pt idx="6">
                  <c:v>8.995502248875562</c:v>
                </c:pt>
                <c:pt idx="7">
                  <c:v>12</c:v>
                </c:pt>
                <c:pt idx="8">
                  <c:v>15</c:v>
                </c:pt>
                <c:pt idx="9">
                  <c:v>18.018018018018019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8EF-4351-AE26-D659E438C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222287"/>
        <c:axId val="196121105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Sheet1!$A$1:$A$10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0.2</c:v>
                      </c:pt>
                      <c:pt idx="2">
                        <c:v>0.4</c:v>
                      </c:pt>
                      <c:pt idx="3">
                        <c:v>0.6</c:v>
                      </c:pt>
                      <c:pt idx="4">
                        <c:v>0.65</c:v>
                      </c:pt>
                      <c:pt idx="5">
                        <c:v>0.7</c:v>
                      </c:pt>
                      <c:pt idx="6">
                        <c:v>0.75</c:v>
                      </c:pt>
                      <c:pt idx="7">
                        <c:v>0.8</c:v>
                      </c:pt>
                      <c:pt idx="8">
                        <c:v>0.85</c:v>
                      </c:pt>
                      <c:pt idx="9">
                        <c:v>0.9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Sheet1!$B$1:$B$10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3.3333333333333333E-2</c:v>
                      </c:pt>
                      <c:pt idx="1">
                        <c:v>4.5499999999999999E-2</c:v>
                      </c:pt>
                      <c:pt idx="2">
                        <c:v>7.1499999999999994E-2</c:v>
                      </c:pt>
                      <c:pt idx="3">
                        <c:v>0.16666666666666666</c:v>
                      </c:pt>
                      <c:pt idx="4">
                        <c:v>0.16666666666666666</c:v>
                      </c:pt>
                      <c:pt idx="5">
                        <c:v>0.16666666666666666</c:v>
                      </c:pt>
                      <c:pt idx="6">
                        <c:v>0.11116666666666666</c:v>
                      </c:pt>
                      <c:pt idx="7">
                        <c:v>8.3333333333333329E-2</c:v>
                      </c:pt>
                      <c:pt idx="8">
                        <c:v>6.6666666666666666E-2</c:v>
                      </c:pt>
                      <c:pt idx="9">
                        <c:v>5.5500000000000001E-2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8EF-4351-AE26-D659E438C847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Sheet1!$A$1:$A$4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0.2</c:v>
                      </c:pt>
                      <c:pt idx="2">
                        <c:v>0.4</c:v>
                      </c:pt>
                      <c:pt idx="3">
                        <c:v>0.6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Sheet1!$B$1:$B$4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3.3333333333333333E-2</c:v>
                      </c:pt>
                      <c:pt idx="1">
                        <c:v>4.5499999999999999E-2</c:v>
                      </c:pt>
                      <c:pt idx="2">
                        <c:v>7.1499999999999994E-2</c:v>
                      </c:pt>
                      <c:pt idx="3">
                        <c:v>0.16666666666666666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8EF-4351-AE26-D659E438C847}"/>
                  </c:ext>
                </c:extLst>
              </c15:ser>
            </c15:filteredScatterSeries>
          </c:ext>
        </c:extLst>
      </c:scatterChart>
      <c:valAx>
        <c:axId val="196122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211055"/>
        <c:crosses val="autoZero"/>
        <c:crossBetween val="midCat"/>
      </c:valAx>
      <c:valAx>
        <c:axId val="196121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22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269874</xdr:colOff>
      <xdr:row>4</xdr:row>
      <xdr:rowOff>104775</xdr:rowOff>
    </xdr:from>
    <xdr:to>
      <xdr:col>17</xdr:col>
      <xdr:colOff>260349</xdr:colOff>
      <xdr:row>26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3BA744-7602-4DD7-AC78-753183B1BB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1F37D-DFE0-4E34-8FB9-21A2767A4785}">
  <dimension ref="A1:O40"/>
  <sheetViews>
    <sheetView workbookViewId="0">
      <selection activeCell="D27" sqref="D27"/>
    </sheetView>
  </sheetViews>
  <sheetFormatPr defaultRowHeight="14.75" x14ac:dyDescent="0.75"/>
  <cols>
    <col min="8" max="8" width="11.6328125" bestFit="1" customWidth="1"/>
  </cols>
  <sheetData>
    <row r="1" spans="1:15" x14ac:dyDescent="0.75">
      <c r="A1">
        <v>0</v>
      </c>
      <c r="B1">
        <f>2/60</f>
        <v>3.3333333333333333E-2</v>
      </c>
      <c r="E1">
        <f>A1/B1</f>
        <v>0</v>
      </c>
    </row>
    <row r="2" spans="1:15" x14ac:dyDescent="0.75">
      <c r="A2">
        <v>0.2</v>
      </c>
      <c r="B2">
        <f>2.73/60</f>
        <v>4.5499999999999999E-2</v>
      </c>
      <c r="E2">
        <f>A2/B2</f>
        <v>4.395604395604396</v>
      </c>
    </row>
    <row r="3" spans="1:15" x14ac:dyDescent="0.75">
      <c r="A3">
        <v>0.4</v>
      </c>
      <c r="B3">
        <f>4.29/60</f>
        <v>7.1499999999999994E-2</v>
      </c>
      <c r="E3">
        <f t="shared" ref="E3:E10" si="0">A3/B3</f>
        <v>5.594405594405595</v>
      </c>
      <c r="G3">
        <f>-20*0.6^2+30*0.6</f>
        <v>10.8</v>
      </c>
      <c r="J3">
        <v>0.8</v>
      </c>
      <c r="L3">
        <f>60.1/2</f>
        <v>30.05</v>
      </c>
      <c r="O3">
        <f>30.05*0.84^2-36.1*0.84+10.842</f>
        <v>1.7212799999999948</v>
      </c>
    </row>
    <row r="4" spans="1:15" x14ac:dyDescent="0.75">
      <c r="A4">
        <v>0.6</v>
      </c>
      <c r="B4">
        <f>10/60</f>
        <v>0.16666666666666666</v>
      </c>
      <c r="E4">
        <f t="shared" si="0"/>
        <v>3.6</v>
      </c>
      <c r="G4">
        <f>-20*0.84^2+30*0.84-10.8</f>
        <v>0.28800000000000026</v>
      </c>
      <c r="I4">
        <f>0.167</f>
        <v>0.16700000000000001</v>
      </c>
      <c r="J4">
        <f>30.05*J3^2-36.1*J3+10.842</f>
        <v>1.1940000000000008</v>
      </c>
      <c r="L4">
        <f>30.05*0.6^2-36.1*0.6</f>
        <v>-10.842000000000001</v>
      </c>
    </row>
    <row r="5" spans="1:15" x14ac:dyDescent="0.75">
      <c r="A5">
        <v>0.65</v>
      </c>
      <c r="B5">
        <f>10/60</f>
        <v>0.16666666666666666</v>
      </c>
      <c r="E5">
        <f t="shared" si="0"/>
        <v>3.9000000000000004</v>
      </c>
    </row>
    <row r="6" spans="1:15" x14ac:dyDescent="0.75">
      <c r="A6">
        <v>0.7</v>
      </c>
      <c r="B6">
        <f>10/60</f>
        <v>0.16666666666666666</v>
      </c>
      <c r="C6">
        <f t="shared" ref="C6:C10" si="1">1/B6</f>
        <v>6</v>
      </c>
      <c r="E6">
        <f t="shared" si="0"/>
        <v>4.2</v>
      </c>
    </row>
    <row r="7" spans="1:15" x14ac:dyDescent="0.75">
      <c r="A7">
        <v>0.75</v>
      </c>
      <c r="B7">
        <f>6.67/60</f>
        <v>0.11116666666666666</v>
      </c>
      <c r="C7">
        <f t="shared" si="1"/>
        <v>8.995502248875562</v>
      </c>
      <c r="E7">
        <f t="shared" si="0"/>
        <v>6.746626686656672</v>
      </c>
    </row>
    <row r="8" spans="1:15" x14ac:dyDescent="0.75">
      <c r="A8">
        <v>0.8</v>
      </c>
      <c r="B8">
        <f>5/60</f>
        <v>8.3333333333333329E-2</v>
      </c>
      <c r="C8">
        <f t="shared" si="1"/>
        <v>12</v>
      </c>
      <c r="E8">
        <f t="shared" si="0"/>
        <v>9.6000000000000014</v>
      </c>
    </row>
    <row r="9" spans="1:15" x14ac:dyDescent="0.75">
      <c r="A9">
        <v>0.85</v>
      </c>
      <c r="B9">
        <f>4/60</f>
        <v>6.6666666666666666E-2</v>
      </c>
      <c r="C9">
        <f t="shared" si="1"/>
        <v>15</v>
      </c>
      <c r="E9">
        <f t="shared" si="0"/>
        <v>12.75</v>
      </c>
    </row>
    <row r="10" spans="1:15" x14ac:dyDescent="0.75">
      <c r="A10">
        <v>0.9</v>
      </c>
      <c r="B10">
        <f>3.33/60</f>
        <v>5.5500000000000001E-2</v>
      </c>
      <c r="C10">
        <f t="shared" si="1"/>
        <v>18.018018018018019</v>
      </c>
      <c r="E10">
        <f t="shared" si="0"/>
        <v>16.216216216216218</v>
      </c>
    </row>
    <row r="12" spans="1:15" x14ac:dyDescent="0.75">
      <c r="A12">
        <v>0.84494893143590577</v>
      </c>
      <c r="B12" t="s">
        <v>0</v>
      </c>
    </row>
    <row r="15" spans="1:15" x14ac:dyDescent="0.75">
      <c r="A15">
        <v>0.4</v>
      </c>
    </row>
    <row r="17" spans="1:15" x14ac:dyDescent="0.75">
      <c r="A17">
        <f>60.081*0.85-36.062</f>
        <v>15.006850000000007</v>
      </c>
    </row>
    <row r="19" spans="1:15" x14ac:dyDescent="0.75">
      <c r="C19">
        <f>(-40*A3+30)*(A3-0.6)</f>
        <v>-2.7999999999999994</v>
      </c>
    </row>
    <row r="20" spans="1:15" x14ac:dyDescent="0.75">
      <c r="A20">
        <f>3.6/(-40*0.4+30)</f>
        <v>0.25714285714285717</v>
      </c>
      <c r="C20">
        <f>(60*A12-36)*(A12-0.6)</f>
        <v>3.5999987406955252</v>
      </c>
    </row>
    <row r="21" spans="1:15" x14ac:dyDescent="0.75">
      <c r="A21">
        <f>A20+0.6</f>
        <v>0.85714285714285721</v>
      </c>
    </row>
    <row r="23" spans="1:15" x14ac:dyDescent="0.75">
      <c r="B23">
        <f>60*0.4-36+0.6</f>
        <v>-11.4</v>
      </c>
    </row>
    <row r="24" spans="1:15" x14ac:dyDescent="0.75">
      <c r="A24">
        <f>(A15-0.6)/A26</f>
        <v>-1.4285714285714282E-2</v>
      </c>
    </row>
    <row r="26" spans="1:15" x14ac:dyDescent="0.75">
      <c r="A26">
        <f>-40*A15+30</f>
        <v>14</v>
      </c>
    </row>
    <row r="31" spans="1:15" x14ac:dyDescent="0.75">
      <c r="A31">
        <f>0.2*B1+0.5*0.2*(B2-B1)</f>
        <v>7.8833333333333342E-3</v>
      </c>
      <c r="B31">
        <f>0.2*B2+0.5*0.2*(B3-B2)</f>
        <v>1.17E-2</v>
      </c>
      <c r="C31">
        <f>0.2*B4+0.5*0.2*(B4-B3)</f>
        <v>4.2849999999999999E-2</v>
      </c>
      <c r="O31">
        <f>0.6*0.1+0.6*0.5*0.4</f>
        <v>0.18</v>
      </c>
    </row>
    <row r="32" spans="1:15" x14ac:dyDescent="0.75">
      <c r="I32">
        <f>1/J32</f>
        <v>6</v>
      </c>
      <c r="J32">
        <f>10/60</f>
        <v>0.16666666666666666</v>
      </c>
      <c r="O32">
        <f>0.6*0.18</f>
        <v>0.108</v>
      </c>
    </row>
    <row r="35" spans="1:7" x14ac:dyDescent="0.75">
      <c r="G35">
        <f>6*0.6+0.5*0.6*(30-6)</f>
        <v>10.799999999999999</v>
      </c>
    </row>
    <row r="36" spans="1:7" x14ac:dyDescent="0.75">
      <c r="A36">
        <f>SUM(A31:C31)</f>
        <v>6.2433333333333334E-2</v>
      </c>
    </row>
    <row r="38" spans="1:7" x14ac:dyDescent="0.75">
      <c r="A38">
        <f>1/A36</f>
        <v>16.017084890549921</v>
      </c>
    </row>
    <row r="40" spans="1:7" x14ac:dyDescent="0.75">
      <c r="B4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4CE01-B5EC-4371-9CCF-463CB634CAB8}">
  <dimension ref="A1:J8"/>
  <sheetViews>
    <sheetView workbookViewId="0">
      <selection activeCell="D11" sqref="D11"/>
    </sheetView>
  </sheetViews>
  <sheetFormatPr defaultRowHeight="14.75" x14ac:dyDescent="0.75"/>
  <cols>
    <col min="4" max="4" width="12.453125" bestFit="1" customWidth="1"/>
    <col min="5" max="5" width="11.6328125" bestFit="1" customWidth="1"/>
    <col min="6" max="6" width="11.6796875" bestFit="1" customWidth="1"/>
    <col min="7" max="7" width="11.6328125" bestFit="1" customWidth="1"/>
  </cols>
  <sheetData>
    <row r="1" spans="1:10" x14ac:dyDescent="0.75">
      <c r="A1" t="s">
        <v>12</v>
      </c>
      <c r="B1" t="s">
        <v>1</v>
      </c>
      <c r="C1" t="s">
        <v>2</v>
      </c>
      <c r="D1" t="s">
        <v>8</v>
      </c>
      <c r="E1" t="s">
        <v>5</v>
      </c>
      <c r="F1" t="s">
        <v>6</v>
      </c>
      <c r="G1" t="s">
        <v>7</v>
      </c>
      <c r="H1" t="s">
        <v>9</v>
      </c>
      <c r="I1" t="s">
        <v>3</v>
      </c>
      <c r="J1" t="s">
        <v>4</v>
      </c>
    </row>
    <row r="2" spans="1:10" x14ac:dyDescent="0.75">
      <c r="A2">
        <v>1</v>
      </c>
      <c r="B2">
        <v>2.8</v>
      </c>
      <c r="C2">
        <v>14</v>
      </c>
      <c r="D2">
        <f>170*453.592/8</f>
        <v>9638.83</v>
      </c>
      <c r="E2">
        <f>D2*0.105</f>
        <v>1012.07715</v>
      </c>
      <c r="F2">
        <f>E2/162</f>
        <v>6.2473898148148148</v>
      </c>
      <c r="G2" s="3">
        <f>1.11*1000*0.105/162</f>
        <v>0.71944444444444444</v>
      </c>
      <c r="H2">
        <f>F2*(I2-J2)*(C2+G2*(1-I2))/B2/G2/(1-I2)</f>
        <v>19.999996375017439</v>
      </c>
      <c r="I2">
        <v>0.30787016782158827</v>
      </c>
      <c r="J2">
        <v>0</v>
      </c>
    </row>
    <row r="3" spans="1:10" x14ac:dyDescent="0.75">
      <c r="A3">
        <v>2</v>
      </c>
      <c r="B3">
        <v>2.8</v>
      </c>
      <c r="C3">
        <v>14</v>
      </c>
      <c r="D3">
        <f>D2</f>
        <v>9638.83</v>
      </c>
      <c r="E3">
        <f>E2</f>
        <v>1012.07715</v>
      </c>
      <c r="F3">
        <f>F2</f>
        <v>6.2473898148148148</v>
      </c>
      <c r="G3" s="3">
        <f>G2</f>
        <v>0.71944444444444444</v>
      </c>
      <c r="H3">
        <f>F3*(I3-J3)*(C3+G3*(1-I3))/B3/G3/(1-I3)</f>
        <v>19.999998008089577</v>
      </c>
      <c r="I3">
        <v>0.52253907280967804</v>
      </c>
      <c r="J3">
        <f>I2</f>
        <v>0.30787016782158827</v>
      </c>
    </row>
    <row r="4" spans="1:10" x14ac:dyDescent="0.75">
      <c r="A4">
        <v>3</v>
      </c>
      <c r="B4">
        <v>2.8</v>
      </c>
      <c r="C4">
        <v>14</v>
      </c>
      <c r="D4">
        <f t="shared" ref="D4:D5" si="0">D3</f>
        <v>9638.83</v>
      </c>
      <c r="E4">
        <f t="shared" ref="E4:E5" si="1">E3</f>
        <v>1012.07715</v>
      </c>
      <c r="F4">
        <f t="shared" ref="F4:F5" si="2">F3</f>
        <v>6.2473898148148148</v>
      </c>
      <c r="G4" s="3">
        <f t="shared" ref="G4:G5" si="3">G3</f>
        <v>0.71944444444444444</v>
      </c>
      <c r="H4">
        <f>F4*(I4-J4)*(C4+G4*(1-I4))/B4/G4/(1-I4)</f>
        <v>19.99998817471544</v>
      </c>
      <c r="I4">
        <v>0.67139354969475451</v>
      </c>
      <c r="J4">
        <f>I3</f>
        <v>0.52253907280967804</v>
      </c>
    </row>
    <row r="5" spans="1:10" x14ac:dyDescent="0.75">
      <c r="A5">
        <v>4</v>
      </c>
      <c r="B5">
        <v>2.8</v>
      </c>
      <c r="C5">
        <v>14</v>
      </c>
      <c r="D5">
        <f t="shared" si="0"/>
        <v>9638.83</v>
      </c>
      <c r="E5">
        <f t="shared" si="1"/>
        <v>1012.07715</v>
      </c>
      <c r="F5">
        <f t="shared" si="2"/>
        <v>6.2473898148148148</v>
      </c>
      <c r="G5" s="3">
        <f t="shared" si="3"/>
        <v>0.71944444444444444</v>
      </c>
      <c r="H5">
        <f>F5*(I5-J5)*(C5+G5*(1-I5))/B5/G5/(1-I5)</f>
        <v>19.999997922804589</v>
      </c>
      <c r="I5" s="2">
        <v>0.77420845749872758</v>
      </c>
      <c r="J5">
        <f>I4</f>
        <v>0.67139354969475451</v>
      </c>
    </row>
    <row r="6" spans="1:10" x14ac:dyDescent="0.75">
      <c r="G6" s="3"/>
      <c r="I6" s="3"/>
    </row>
    <row r="7" spans="1:10" x14ac:dyDescent="0.75">
      <c r="A7" t="s">
        <v>10</v>
      </c>
      <c r="B7">
        <v>2.8</v>
      </c>
      <c r="C7">
        <v>14</v>
      </c>
      <c r="D7">
        <f t="shared" ref="D7" si="4">D5</f>
        <v>9638.83</v>
      </c>
      <c r="E7">
        <f t="shared" ref="E7" si="5">E5</f>
        <v>1012.07715</v>
      </c>
      <c r="F7">
        <f t="shared" ref="F7" si="6">F5</f>
        <v>6.2473898148148148</v>
      </c>
      <c r="G7" s="3">
        <f t="shared" ref="G7" si="7">G5</f>
        <v>0.71944444444444444</v>
      </c>
      <c r="H7">
        <f>F7*(I7-J7)*(C7+G7*(1-I7))/B7/G7/(1-I7)</f>
        <v>79.999937899127232</v>
      </c>
      <c r="I7" s="2">
        <v>0.64405824444495741</v>
      </c>
      <c r="J7">
        <v>0</v>
      </c>
    </row>
    <row r="8" spans="1:10" x14ac:dyDescent="0.75">
      <c r="A8" t="s">
        <v>11</v>
      </c>
      <c r="B8">
        <v>2.8</v>
      </c>
      <c r="C8">
        <v>14</v>
      </c>
      <c r="D8">
        <f t="shared" ref="D8" si="8">D7</f>
        <v>9638.83</v>
      </c>
      <c r="E8">
        <f t="shared" ref="E8" si="9">E7</f>
        <v>1012.07715</v>
      </c>
      <c r="F8">
        <f t="shared" ref="F8" si="10">F7</f>
        <v>6.2473898148148148</v>
      </c>
      <c r="G8" s="3">
        <f t="shared" ref="G8" si="11">G7</f>
        <v>0.71944444444444444</v>
      </c>
      <c r="H8">
        <f>-F2/B2/G2*((C2*LN(1-I8)+G2*(1-I8))-G2)</f>
        <v>80.00003585005318</v>
      </c>
      <c r="I8" s="2">
        <v>0.83464434833565304</v>
      </c>
      <c r="J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67009-B2B2-4C41-9A8D-E481B40BB020}">
  <dimension ref="A1:G19"/>
  <sheetViews>
    <sheetView workbookViewId="0">
      <selection activeCell="E7" sqref="D6:G7"/>
    </sheetView>
  </sheetViews>
  <sheetFormatPr defaultRowHeight="14.75" x14ac:dyDescent="0.75"/>
  <sheetData>
    <row r="1" spans="1:7" x14ac:dyDescent="0.75">
      <c r="A1">
        <f>10*B1/0.07/((10/8)*(1-B1))^2</f>
        <v>399.99983478831308</v>
      </c>
      <c r="B1">
        <v>0.62272421065613492</v>
      </c>
    </row>
    <row r="2" spans="1:7" x14ac:dyDescent="0.75">
      <c r="A2">
        <f>10/0.07/(10/8)^2/(1-B2)</f>
        <v>599.99991650758454</v>
      </c>
      <c r="B2">
        <v>0.84761902641462172</v>
      </c>
    </row>
    <row r="5" spans="1:7" x14ac:dyDescent="0.75">
      <c r="A5">
        <f>A1*0.07*(1-B2)^2/B2</f>
        <v>0.76704111435379585</v>
      </c>
      <c r="B5" t="s">
        <v>17</v>
      </c>
    </row>
    <row r="6" spans="1:7" x14ac:dyDescent="0.75">
      <c r="D6" t="s">
        <v>14</v>
      </c>
      <c r="E6" t="s">
        <v>13</v>
      </c>
      <c r="F6" t="s">
        <v>16</v>
      </c>
      <c r="G6" t="s">
        <v>18</v>
      </c>
    </row>
    <row r="7" spans="1:7" x14ac:dyDescent="0.75">
      <c r="D7">
        <v>0.5</v>
      </c>
      <c r="E7">
        <v>0.7</v>
      </c>
      <c r="F7">
        <v>3.7546884709767308</v>
      </c>
      <c r="G7">
        <f>E7*2</f>
        <v>1.4</v>
      </c>
    </row>
    <row r="10" spans="1:7" x14ac:dyDescent="0.75">
      <c r="G10">
        <f>D7*F7/2</f>
        <v>0.93867211774418269</v>
      </c>
    </row>
    <row r="11" spans="1:7" x14ac:dyDescent="0.75">
      <c r="E11">
        <f>(D7+E7)^2/D7/F7</f>
        <v>0.76704100014209897</v>
      </c>
    </row>
    <row r="14" spans="1:7" x14ac:dyDescent="0.75">
      <c r="A14" t="s">
        <v>15</v>
      </c>
      <c r="B14">
        <f>D7*F7</f>
        <v>1.8773442354883654</v>
      </c>
    </row>
    <row r="15" spans="1:7" x14ac:dyDescent="0.75">
      <c r="A15" t="s">
        <v>19</v>
      </c>
      <c r="B15">
        <f>B14/(D7+E7)</f>
        <v>1.5644535295736379</v>
      </c>
    </row>
    <row r="19" spans="1:1" x14ac:dyDescent="0.75">
      <c r="A19">
        <f>B14*B2/0.07/B15^2/(1-B2)^2</f>
        <v>399.99977522871575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D02AD-3476-4A68-B6E2-B9B317FE7EAF}">
  <dimension ref="A1:C11"/>
  <sheetViews>
    <sheetView tabSelected="1" workbookViewId="0">
      <selection activeCell="G6" sqref="G6"/>
    </sheetView>
  </sheetViews>
  <sheetFormatPr defaultRowHeight="14.75" x14ac:dyDescent="0.75"/>
  <sheetData>
    <row r="1" spans="1:3" x14ac:dyDescent="0.75">
      <c r="A1">
        <f>7*0.95/0.9/(1-0.95)</f>
        <v>147.77777777777763</v>
      </c>
      <c r="C1">
        <f>750*(A1-A2)</f>
        <v>93358.228404268273</v>
      </c>
    </row>
    <row r="2" spans="1:3" x14ac:dyDescent="0.75">
      <c r="A2">
        <f>-7/0.9*LN(1-0.95)</f>
        <v>23.300139905419922</v>
      </c>
    </row>
    <row r="4" spans="1:3" x14ac:dyDescent="0.75">
      <c r="A4">
        <f>7*10^3*0.95*(1-0.95)^2/0.6</f>
        <v>27.708333333333382</v>
      </c>
      <c r="C4">
        <f>750*(A5-A4)</f>
        <v>2895520.8333333326</v>
      </c>
    </row>
    <row r="5" spans="1:3" x14ac:dyDescent="0.75">
      <c r="A5">
        <f>7*10^3/0.6*(0.95^3/3-0.95^2+0.95)</f>
        <v>3888.4027777777769</v>
      </c>
    </row>
    <row r="7" spans="1:3" x14ac:dyDescent="0.75">
      <c r="A7">
        <f>7*10*0.95/0.4</f>
        <v>166.25</v>
      </c>
    </row>
    <row r="11" spans="1:3" x14ac:dyDescent="0.75">
      <c r="B11">
        <f>1/3^-2</f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Whitehead</dc:creator>
  <cp:lastModifiedBy>Joshua Whitehead</cp:lastModifiedBy>
  <dcterms:created xsi:type="dcterms:W3CDTF">2022-01-26T01:16:25Z</dcterms:created>
  <dcterms:modified xsi:type="dcterms:W3CDTF">2022-01-27T04:52:49Z</dcterms:modified>
</cp:coreProperties>
</file>