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joshl\School\Fall 2021\Thermo2\"/>
    </mc:Choice>
  </mc:AlternateContent>
  <xr:revisionPtr revIDLastSave="0" documentId="13_ncr:1_{7B00BBC3-EE66-438F-9395-0D9BA6491694}" xr6:coauthVersionLast="47" xr6:coauthVersionMax="47" xr10:uidLastSave="{00000000-0000-0000-0000-000000000000}"/>
  <bookViews>
    <workbookView xWindow="-90" yWindow="-90" windowWidth="19380" windowHeight="10980" tabRatio="538" activeTab="3" xr2:uid="{00000000-000D-0000-FFFF-FFFF00000000}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PVT!$I$6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PVT!$H$8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PVT!$I$8</definedName>
    <definedName name="Cap_Omega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PVT!$H$7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PVT!$I$4</definedName>
    <definedName name="Rroot" localSheetId="1">PVT!$H$16</definedName>
    <definedName name="solver_adj" localSheetId="2" hidden="1">Props!$B$7</definedName>
    <definedName name="solver_adj" localSheetId="1" hidden="1">PVT!$B$7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1" hidden="1">PVT!$B$7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Props!$G$12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el1" localSheetId="1" hidden="1">1</definedName>
    <definedName name="solver_rhs1" localSheetId="1" hidden="1">PVT!$B$4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3290</definedName>
    <definedName name="solver_val" localSheetId="1" hidden="1">1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PVT!$H$5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J22" i="2" s="1"/>
  <c r="I10" i="2"/>
  <c r="I26" i="4"/>
  <c r="I8" i="2"/>
  <c r="J12" i="2" s="1"/>
  <c r="A18" i="2"/>
  <c r="H7" i="2"/>
  <c r="H6" i="2"/>
  <c r="D59" i="6"/>
  <c r="J4" i="3"/>
  <c r="K4" i="3" s="1"/>
  <c r="H26" i="3"/>
  <c r="H27" i="3" s="1"/>
  <c r="I25" i="3" s="1"/>
  <c r="J28" i="3" s="1"/>
  <c r="H24" i="3"/>
  <c r="I27" i="3"/>
  <c r="J29" i="3" s="1"/>
  <c r="A20" i="3" s="1"/>
  <c r="D34" i="3"/>
  <c r="D33" i="3"/>
  <c r="B35" i="3"/>
  <c r="B34" i="3"/>
  <c r="B33" i="3"/>
  <c r="H25" i="3"/>
  <c r="H27" i="4"/>
  <c r="H30" i="4" s="1"/>
  <c r="H28" i="4"/>
  <c r="H29" i="4"/>
  <c r="L4" i="3"/>
  <c r="C20" i="3" l="1"/>
  <c r="B20" i="3"/>
  <c r="D20" i="3" s="1"/>
  <c r="A30" i="3" s="1"/>
  <c r="I30" i="4"/>
  <c r="J32" i="4" s="1"/>
  <c r="A23" i="4" s="1"/>
  <c r="I28" i="4"/>
  <c r="J31" i="4" s="1"/>
  <c r="H8" i="2"/>
  <c r="I6" i="2"/>
  <c r="J11" i="2" s="1"/>
  <c r="B18" i="2" s="1"/>
  <c r="C23" i="4" l="1"/>
  <c r="B23" i="4"/>
  <c r="D23" i="4" s="1"/>
  <c r="A33" i="4" s="1"/>
  <c r="E20" i="3"/>
  <c r="C18" i="2"/>
  <c r="E18" i="2" s="1"/>
  <c r="D18" i="2"/>
  <c r="A26" i="2" s="1"/>
  <c r="H18" i="3" l="1"/>
  <c r="B26" i="3" s="1"/>
  <c r="A26" i="3"/>
  <c r="B30" i="3"/>
  <c r="C30" i="3" s="1"/>
  <c r="D30" i="3" s="1"/>
  <c r="E23" i="4"/>
  <c r="B26" i="2"/>
  <c r="C26" i="2" s="1"/>
  <c r="D26" i="2" s="1"/>
  <c r="F26" i="2" s="1"/>
  <c r="C10" i="2" s="1"/>
  <c r="D10" i="2" s="1"/>
  <c r="H16" i="2"/>
  <c r="B22" i="2" s="1"/>
  <c r="C26" i="3" l="1"/>
  <c r="C12" i="3" s="1"/>
  <c r="B33" i="4"/>
  <c r="C33" i="4" s="1"/>
  <c r="D33" i="4" s="1"/>
  <c r="H21" i="4"/>
  <c r="B29" i="4" s="1"/>
  <c r="E30" i="3"/>
  <c r="C9" i="3" s="1"/>
  <c r="G30" i="3"/>
  <c r="C11" i="3" s="1"/>
  <c r="F30" i="3"/>
  <c r="C10" i="3" s="1"/>
  <c r="A22" i="2"/>
  <c r="C22" i="2" s="1"/>
  <c r="C12" i="2" s="1"/>
  <c r="D12" i="2" s="1"/>
  <c r="G26" i="2"/>
  <c r="C11" i="2" s="1"/>
  <c r="E26" i="2"/>
  <c r="C9" i="2" s="1"/>
  <c r="A29" i="4" l="1"/>
  <c r="C29" i="4" s="1"/>
  <c r="E12" i="4" s="1"/>
  <c r="D11" i="3"/>
  <c r="I11" i="3"/>
  <c r="K11" i="3"/>
  <c r="E11" i="3"/>
  <c r="D10" i="3"/>
  <c r="K10" i="3"/>
  <c r="I10" i="3"/>
  <c r="D9" i="3"/>
  <c r="I9" i="3"/>
  <c r="E9" i="3"/>
  <c r="K9" i="3"/>
  <c r="F33" i="4"/>
  <c r="E10" i="4" s="1"/>
  <c r="F10" i="4" s="1"/>
  <c r="G33" i="4"/>
  <c r="E11" i="4" s="1"/>
  <c r="E33" i="4"/>
  <c r="E9" i="4" s="1"/>
  <c r="I12" i="3"/>
  <c r="E12" i="3"/>
  <c r="D12" i="3"/>
  <c r="K12" i="3"/>
  <c r="E12" i="2"/>
  <c r="E9" i="2"/>
  <c r="D9" i="2"/>
  <c r="E11" i="2"/>
  <c r="D11" i="2"/>
  <c r="E14" i="3" l="1"/>
  <c r="J10" i="3"/>
  <c r="F9" i="4"/>
  <c r="J9" i="4"/>
  <c r="F19" i="4" s="1"/>
  <c r="H10" i="3" s="1"/>
  <c r="C18" i="4"/>
  <c r="G9" i="4"/>
  <c r="H9" i="4"/>
  <c r="J11" i="4"/>
  <c r="G11" i="4"/>
  <c r="F11" i="4"/>
  <c r="H11" i="4"/>
  <c r="I11" i="4" s="1"/>
  <c r="J12" i="3"/>
  <c r="F12" i="4"/>
  <c r="J12" i="4"/>
  <c r="G12" i="4"/>
  <c r="H12" i="4"/>
  <c r="I12" i="4" s="1"/>
  <c r="H12" i="3"/>
  <c r="J11" i="3"/>
  <c r="J9" i="3"/>
  <c r="H12" i="2"/>
  <c r="I9" i="4" l="1"/>
  <c r="E19" i="4" s="1"/>
  <c r="D19" i="4"/>
  <c r="E18" i="4"/>
  <c r="D18" i="4"/>
  <c r="H11" i="3"/>
  <c r="H9" i="3"/>
  <c r="F10" i="3" l="1"/>
  <c r="G10" i="3" s="1"/>
  <c r="F12" i="3"/>
  <c r="G12" i="3" s="1"/>
  <c r="F11" i="3"/>
  <c r="G11" i="3" s="1"/>
  <c r="F9" i="3"/>
  <c r="G9" i="3" s="1"/>
</calcChain>
</file>

<file path=xl/sharedStrings.xml><?xml version="1.0" encoding="utf-8"?>
<sst xmlns="http://schemas.openxmlformats.org/spreadsheetml/2006/main" count="505" uniqueCount="313">
  <si>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</si>
  <si>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</si>
  <si>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</si>
  <si>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</si>
  <si>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</si>
  <si>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</si>
  <si>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</si>
  <si>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</si>
  <si>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</si>
  <si>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</si>
  <si>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</si>
  <si>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</si>
  <si>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</si>
  <si>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</si>
  <si>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</si>
  <si>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</si>
  <si>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</si>
  <si>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</si>
  <si>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</si>
  <si>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</si>
  <si>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</si>
  <si>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</si>
  <si>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</si>
  <si>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</si>
  <si>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</si>
  <si>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</si>
  <si>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</si>
  <si>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</si>
  <si>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</si>
  <si>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</si>
  <si>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</si>
  <si>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</si>
  <si>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</si>
  <si>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</si>
  <si>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</si>
  <si>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</si>
  <si>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</si>
  <si>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</si>
  <si>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</si>
  <si>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</si>
  <si>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</si>
  <si>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</si>
  <si>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</si>
  <si>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</si>
  <si>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</si>
  <si>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</si>
  <si>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</si>
  <si>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</si>
  <si>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</si>
  <si>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</si>
  <si>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</si>
  <si>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</si>
  <si>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</si>
  <si>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</si>
  <si>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</si>
  <si>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</si>
  <si>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</si>
  <si>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</si>
  <si>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</si>
  <si>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</si>
  <si>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</si>
  <si>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</si>
  <si>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</si>
  <si>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</si>
  <si>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</si>
  <si>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</si>
  <si>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</si>
  <si>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</si>
  <si>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</si>
  <si>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</si>
  <si>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</si>
  <si>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</si>
  <si>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</si>
  <si>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</si>
  <si>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</si>
  <si>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</si>
  <si>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</si>
  <si>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</si>
  <si>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</si>
  <si>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</si>
  <si>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</si>
  <si>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</si>
  <si>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</si>
  <si>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</si>
  <si>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</si>
  <si>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</si>
  <si>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</si>
  <si>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</si>
  <si>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</si>
  <si>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</si>
  <si>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</si>
  <si>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</si>
  <si>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</si>
  <si>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</si>
  <si>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</si>
  <si>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</si>
  <si>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</si>
  <si>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</si>
  <si>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</si>
  <si>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</si>
  <si>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</si>
  <si>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</si>
  <si>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</si>
  <si>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</si>
  <si>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</si>
  <si>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</si>
  <si>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</si>
  <si>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</si>
  <si>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</si>
  <si>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</si>
  <si>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</si>
  <si>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</si>
  <si>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</si>
  <si>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</si>
  <si>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</si>
  <si>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</si>
  <si>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</si>
  <si>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</si>
  <si>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</si>
  <si>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</si>
  <si>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</si>
  <si>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</si>
  <si>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</si>
  <si>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</si>
  <si>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</si>
  <si>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</si>
  <si>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</si>
  <si>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</si>
  <si>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</si>
  <si>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</si>
  <si>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</si>
  <si>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</si>
  <si>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</si>
  <si>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</si>
  <si>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</si>
  <si>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</si>
  <si>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</si>
  <si>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</si>
  <si>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</si>
  <si>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</si>
  <si>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</si>
  <si>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</si>
  <si>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</si>
  <si>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</si>
  <si>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</si>
  <si>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</si>
  <si>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</si>
  <si>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</si>
  <si>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</si>
  <si>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</si>
  <si>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</si>
  <si>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</si>
  <si>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</si>
  <si>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</si>
  <si>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</si>
  <si>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</si>
  <si>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</si>
  <si>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</si>
  <si>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</si>
  <si>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</si>
  <si>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</si>
  <si>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</si>
  <si>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</si>
  <si>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</si>
  <si>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</si>
  <si>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</si>
  <si>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</si>
  <si>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</si>
  <si>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</si>
  <si>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</si>
  <si>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</si>
  <si>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</si>
  <si>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</si>
  <si>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</si>
  <si>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</si>
  <si>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</si>
  <si>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</si>
  <si>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</si>
  <si>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</si>
  <si>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</si>
  <si>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</si>
  <si>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</si>
  <si>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</si>
  <si>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</si>
  <si>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</si>
  <si>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</si>
  <si>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</si>
  <si>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</si>
  <si>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</si>
  <si>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</si>
  <si>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</si>
  <si>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</si>
  <si>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</si>
  <si>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</si>
  <si>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</si>
  <si>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</si>
  <si>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</si>
  <si>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</si>
  <si>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</si>
  <si>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</si>
  <si>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</si>
  <si>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</si>
  <si>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</si>
  <si>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</si>
  <si>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</si>
  <si>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</si>
  <si>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</si>
  <si>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</si>
  <si>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</si>
  <si>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</si>
  <si>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</si>
  <si>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</si>
  <si>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</si>
  <si>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</si>
  <si>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</si>
  <si>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</si>
  <si>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</si>
  <si>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</si>
  <si>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</si>
  <si>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</si>
  <si>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</si>
  <si>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</si>
  <si>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</si>
  <si>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</si>
  <si>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</si>
  <si>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</si>
  <si>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</si>
  <si>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</si>
  <si>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</si>
  <si>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</si>
  <si>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</si>
  <si>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</si>
  <si>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</si>
  <si>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</si>
  <si>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</si>
  <si>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</si>
  <si>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</si>
  <si>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</si>
  <si>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</si>
  <si>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</si>
  <si>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</si>
  <si>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</si>
  <si>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</si>
  <si>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</si>
  <si>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</si>
  <si>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</si>
  <si>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</si>
  <si>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</si>
  <si>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</si>
  <si>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</si>
  <si>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</si>
  <si>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</si>
  <si>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</si>
  <si>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</si>
  <si>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</si>
  <si>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</si>
  <si>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</si>
  <si>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</si>
  <si>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</si>
  <si>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</si>
  <si>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</si>
  <si>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</si>
  <si>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</si>
  <si>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</si>
  <si>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</si>
  <si>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</si>
  <si>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</si>
  <si>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</si>
  <si>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</si>
  <si>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</si>
  <si>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</si>
  <si>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</si>
  <si>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</si>
  <si>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</si>
  <si>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</si>
  <si>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</si>
  <si>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</si>
  <si>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</si>
  <si>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</si>
  <si>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</si>
  <si>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</si>
  <si>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</si>
  <si>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</si>
  <si>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</si>
  <si>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</si>
  <si>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</si>
  <si>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</si>
  <si>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</si>
  <si>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</si>
  <si>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</si>
  <si>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</si>
  <si>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</si>
  <si>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</si>
  <si>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</si>
  <si>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</si>
  <si>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</si>
  <si>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</si>
  <si>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</si>
  <si>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</si>
  <si>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</si>
  <si>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</si>
  <si>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</si>
  <si>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</si>
  <si>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</si>
  <si>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</si>
  <si>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</si>
  <si>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</si>
  <si>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</si>
  <si>
    <t>Soave-Redlich-Kwong Equation of State (Pure Fluid)</t>
  </si>
  <si>
    <t>Cap_Omega</t>
  </si>
  <si>
    <t>Initial Guess for Psat</t>
  </si>
  <si>
    <t>(Shortcut Vapor Pressure Eqn)</t>
  </si>
  <si>
    <t>Psat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</si>
</sst>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5" fillId="0" borderId="20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11" fontId="5" fillId="0" borderId="20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  <xf numFmtId="0" fontId="10" fillId="0" borderId="2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7"/>
  <sheetViews>
    <sheetView showGridLines="0" zoomScale="115" zoomScaleNormal="115" zoomScalePageLayoutView="115" workbookViewId="0">
      <selection activeCell="C12" sqref="C12"/>
    </sheetView>
  </sheetViews>
  <sheetFormatPr defaultColWidth="8.81640625" defaultRowHeight="13" x14ac:dyDescent="0.6"/>
  <cols>
    <col min="2" max="2" width="11" customWidth="1"/>
  </cols>
  <sheetData>
    <row r="2" spans="2:3" s="75" customFormat="1" ht="22.75" x14ac:dyDescent="0.95">
      <c r="B2" s="75" t="s">
        <v>0</v>
      </c>
      <c r="C2"/>
    </row>
    <row r="4" spans="2:3" x14ac:dyDescent="0.6">
      <c r="B4" t="s">
        <v>1</v>
      </c>
    </row>
    <row r="6" spans="2:3" x14ac:dyDescent="0.6">
      <c r="B6" t="s">
        <v>2</v>
      </c>
      <c r="C6" t="s">
        <v>3</v>
      </c>
    </row>
    <row r="7" spans="2:3" x14ac:dyDescent="0.6">
      <c r="C7" t="s">
        <v>4</v>
      </c>
    </row>
    <row r="9" spans="2:3" x14ac:dyDescent="0.6">
      <c r="B9" t="s">
        <v>5</v>
      </c>
      <c r="C9" t="s">
        <v>6</v>
      </c>
    </row>
    <row r="10" spans="2:3" x14ac:dyDescent="0.6">
      <c r="C10" t="s">
        <v>7</v>
      </c>
    </row>
    <row r="11" spans="2:3" x14ac:dyDescent="0.6">
      <c r="C11" t="s">
        <v>8</v>
      </c>
    </row>
    <row r="12" spans="2:3" x14ac:dyDescent="0.6">
      <c r="C12" t="s">
        <v>9</v>
      </c>
    </row>
    <row r="14" spans="2:3" x14ac:dyDescent="0.6">
      <c r="B14" t="s">
        <v>10</v>
      </c>
      <c r="C14" t="s">
        <v>11</v>
      </c>
    </row>
    <row r="15" spans="2:3" x14ac:dyDescent="0.6">
      <c r="C15" t="s">
        <v>12</v>
      </c>
    </row>
    <row r="16" spans="2:3" x14ac:dyDescent="0.6">
      <c r="C16" t="s">
        <v>13</v>
      </c>
    </row>
    <row r="18" spans="2:3" x14ac:dyDescent="0.6">
      <c r="B18" t="s">
        <v>14</v>
      </c>
      <c r="C18" t="s">
        <v>15</v>
      </c>
    </row>
    <row r="20" spans="2:3" x14ac:dyDescent="0.6">
      <c r="B20" t="s">
        <v>16</v>
      </c>
      <c r="C20" t="s">
        <v>17</v>
      </c>
    </row>
    <row r="22" spans="2:3" x14ac:dyDescent="0.6">
      <c r="B22" t="s">
        <v>18</v>
      </c>
    </row>
    <row r="23" spans="2:3" x14ac:dyDescent="0.6">
      <c r="B23" t="s">
        <v>19</v>
      </c>
    </row>
    <row r="25" spans="2:3" x14ac:dyDescent="0.6">
      <c r="B25" s="93" t="s">
        <v>304</v>
      </c>
    </row>
    <row r="26" spans="2:3" x14ac:dyDescent="0.6">
      <c r="B26" s="93" t="s">
        <v>307</v>
      </c>
    </row>
    <row r="27" spans="2:3" x14ac:dyDescent="0.6">
      <c r="B27" s="93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showGridLines="0" zoomScaleNormal="100" zoomScalePageLayoutView="145" workbookViewId="0">
      <selection activeCell="E14" sqref="E14"/>
    </sheetView>
  </sheetViews>
  <sheetFormatPr defaultColWidth="8.81640625" defaultRowHeight="13" x14ac:dyDescent="0.6"/>
  <cols>
    <col min="3" max="3" width="13.6796875" bestFit="1" customWidth="1"/>
    <col min="9" max="9" width="11" customWidth="1"/>
  </cols>
  <sheetData>
    <row r="1" spans="1:14" x14ac:dyDescent="0.6">
      <c r="A1" t="s">
        <v>308</v>
      </c>
      <c r="F1" t="s">
        <v>21</v>
      </c>
    </row>
    <row r="2" spans="1:14" ht="13.75" thickBot="1" x14ac:dyDescent="0.75">
      <c r="A2" s="13" t="s">
        <v>22</v>
      </c>
      <c r="B2" s="14"/>
    </row>
    <row r="3" spans="1:14" ht="16.25" thickTop="1" x14ac:dyDescent="0.85">
      <c r="A3" s="23" t="s">
        <v>23</v>
      </c>
      <c r="B3" s="23" t="s">
        <v>24</v>
      </c>
      <c r="C3" s="23" t="s">
        <v>25</v>
      </c>
      <c r="D3" s="33" t="s">
        <v>26</v>
      </c>
      <c r="G3" s="11" t="s">
        <v>28</v>
      </c>
      <c r="H3" s="22"/>
      <c r="I3" s="22"/>
      <c r="J3" s="12"/>
    </row>
    <row r="4" spans="1:14" ht="15.5" x14ac:dyDescent="0.6">
      <c r="A4" s="73" t="s">
        <v>135</v>
      </c>
      <c r="B4" s="73">
        <v>369.8</v>
      </c>
      <c r="C4" s="73">
        <v>4.2489999999999997</v>
      </c>
      <c r="D4" s="73">
        <v>0.152</v>
      </c>
      <c r="F4" s="17"/>
      <c r="G4" s="23" t="s">
        <v>31</v>
      </c>
      <c r="H4" s="23"/>
      <c r="I4" s="34">
        <v>8.3144720000000003</v>
      </c>
      <c r="J4" s="12"/>
    </row>
    <row r="5" spans="1:14" ht="17.5" thickBot="1" x14ac:dyDescent="1">
      <c r="G5" s="1" t="s">
        <v>36</v>
      </c>
      <c r="H5" s="16">
        <f>TK/Tc</f>
        <v>1.0816657652785289</v>
      </c>
      <c r="I5" s="23" t="s">
        <v>37</v>
      </c>
      <c r="J5" s="23"/>
    </row>
    <row r="6" spans="1:14" ht="16.25" thickBot="1" x14ac:dyDescent="1">
      <c r="A6" s="9" t="s">
        <v>29</v>
      </c>
      <c r="B6" s="10"/>
      <c r="C6" s="31" t="s">
        <v>30</v>
      </c>
      <c r="D6" s="32"/>
      <c r="G6" s="2" t="s">
        <v>41</v>
      </c>
      <c r="H6" s="18">
        <f>P/Pc</f>
        <v>0.23534949399858793</v>
      </c>
      <c r="I6" s="11">
        <f>0.42748*(Tc*_R)^2/Pc*(1+Cap_Omega*(1-Tr^0.5))^2</f>
        <v>897432.33581107878</v>
      </c>
      <c r="J6" s="12"/>
    </row>
    <row r="7" spans="1:14" ht="16.25" thickTop="1" x14ac:dyDescent="0.6">
      <c r="A7" s="5" t="s">
        <v>32</v>
      </c>
      <c r="B7" s="48">
        <v>400</v>
      </c>
      <c r="C7" s="24" t="s">
        <v>33</v>
      </c>
      <c r="D7" s="25" t="s">
        <v>34</v>
      </c>
      <c r="E7" s="76" t="s">
        <v>35</v>
      </c>
      <c r="G7" s="3" t="s">
        <v>43</v>
      </c>
      <c r="H7" s="18">
        <f>0.37464+1.54226*omega-0.26992*omega^2</f>
        <v>0.60282728831999999</v>
      </c>
      <c r="I7" s="23" t="s">
        <v>44</v>
      </c>
      <c r="J7" s="23"/>
    </row>
    <row r="8" spans="1:14" ht="16.25" thickBot="1" x14ac:dyDescent="0.75">
      <c r="A8" s="7" t="s">
        <v>38</v>
      </c>
      <c r="B8" s="49">
        <v>1</v>
      </c>
      <c r="C8" s="26"/>
      <c r="D8" s="27" t="s">
        <v>39</v>
      </c>
      <c r="E8" s="77" t="s">
        <v>40</v>
      </c>
      <c r="G8" s="19" t="s">
        <v>46</v>
      </c>
      <c r="H8" s="21">
        <f>(1+kappa*(1-SQRT(Tr)))^2</f>
        <v>0.9523180579517222</v>
      </c>
      <c r="I8" s="11">
        <f>0.08664*R_*Tc/Pc</f>
        <v>62.695055975237473</v>
      </c>
      <c r="J8" s="12"/>
    </row>
    <row r="9" spans="1:14" x14ac:dyDescent="0.6">
      <c r="A9" s="36" t="s">
        <v>42</v>
      </c>
      <c r="B9" s="37"/>
      <c r="C9" s="29" t="e">
        <f>E26-a2_/3</f>
        <v>#NUM!</v>
      </c>
      <c r="D9" s="6" t="e">
        <f>Z*R_*TK/P</f>
        <v>#NUM!</v>
      </c>
      <c r="E9" s="78" t="e">
        <f>P*EXP(Z-1-LN(Z-B)-a_/(b_*R_*TK)*LN((Z+B)/(Z)))</f>
        <v>#NUM!</v>
      </c>
      <c r="I9" s="23" t="s">
        <v>309</v>
      </c>
      <c r="J9" s="23"/>
    </row>
    <row r="10" spans="1:14" x14ac:dyDescent="0.6">
      <c r="A10" s="38" t="s">
        <v>45</v>
      </c>
      <c r="B10" s="39"/>
      <c r="C10" s="17" t="e">
        <f>F26-a2_/3</f>
        <v>#NUM!</v>
      </c>
      <c r="D10" s="28" t="e">
        <f>Z*R_*TK/P</f>
        <v>#NUM!</v>
      </c>
      <c r="E10" s="78"/>
      <c r="I10" s="11">
        <f>0.48+1.574*omega-0.176*omega^2</f>
        <v>0.71518169600000003</v>
      </c>
      <c r="J10" s="12"/>
    </row>
    <row r="11" spans="1:14" ht="13.75" thickBot="1" x14ac:dyDescent="0.75">
      <c r="A11" s="7"/>
      <c r="B11" s="30"/>
      <c r="C11" s="30" t="e">
        <f>G26-a2_/3</f>
        <v>#NUM!</v>
      </c>
      <c r="D11" s="8" t="e">
        <f>Z*R_*TK/P</f>
        <v>#NUM!</v>
      </c>
      <c r="E11" s="78" t="e">
        <f>P*EXP(Z-1-LN(Z-B)-a_/(b_*R_*TK)*LN((Z+B)/(Z)))</f>
        <v>#NUM!</v>
      </c>
      <c r="G11" s="1" t="s">
        <v>47</v>
      </c>
      <c r="H11" s="16"/>
      <c r="I11" s="1" t="s">
        <v>48</v>
      </c>
      <c r="J11" s="16">
        <f>a_*P/(R_*TK)^2</f>
        <v>8.1135773509439749E-2</v>
      </c>
      <c r="L11" s="17"/>
      <c r="M11" s="17"/>
      <c r="N11" s="17"/>
    </row>
    <row r="12" spans="1:14" ht="13.75" thickBot="1" x14ac:dyDescent="0.75">
      <c r="A12" s="40" t="s">
        <v>49</v>
      </c>
      <c r="B12" s="41"/>
      <c r="C12" s="35">
        <f>C22-a2_/3</f>
        <v>0.93555211705466323</v>
      </c>
      <c r="D12" s="32">
        <f>Z*R_*TK/P</f>
        <v>3111.448752716688</v>
      </c>
      <c r="E12" s="79">
        <f>P*EXP(Z-1-LN(Z-B)-A/B*LN((Z+B)/Z))</f>
        <v>0.93862736473452302</v>
      </c>
      <c r="G12" s="4"/>
      <c r="H12" s="21" t="e">
        <f>E9/E11</f>
        <v>#NUM!</v>
      </c>
      <c r="I12" s="4" t="s">
        <v>50</v>
      </c>
      <c r="J12" s="21">
        <f>b_*P/R_/TK</f>
        <v>1.8851183807954815E-2</v>
      </c>
      <c r="L12" s="17"/>
      <c r="M12" s="17"/>
      <c r="N12" s="17"/>
    </row>
    <row r="13" spans="1:14" x14ac:dyDescent="0.6">
      <c r="C13" t="s">
        <v>51</v>
      </c>
      <c r="G13" t="s">
        <v>52</v>
      </c>
      <c r="L13" s="17"/>
      <c r="M13" s="17"/>
      <c r="N13" s="17"/>
    </row>
    <row r="14" spans="1:14" x14ac:dyDescent="0.6">
      <c r="A14" s="17"/>
      <c r="B14" s="17"/>
      <c r="F14" s="17"/>
      <c r="G14" t="s">
        <v>53</v>
      </c>
      <c r="H14" s="17"/>
      <c r="I14" s="17"/>
      <c r="L14" s="17"/>
      <c r="M14" s="17"/>
      <c r="N14" s="17"/>
    </row>
    <row r="15" spans="1:14" x14ac:dyDescent="0.6">
      <c r="F15" s="17"/>
      <c r="G15" s="17"/>
      <c r="H15" s="17"/>
      <c r="I15" s="17"/>
      <c r="L15" s="17"/>
      <c r="M15" s="17"/>
      <c r="N15" s="17"/>
    </row>
    <row r="16" spans="1:14" ht="16.75" x14ac:dyDescent="0.85">
      <c r="A16" t="s">
        <v>54</v>
      </c>
      <c r="C16" t="s">
        <v>55</v>
      </c>
      <c r="F16" s="1" t="s">
        <v>56</v>
      </c>
      <c r="G16" s="15"/>
      <c r="H16" s="15">
        <f>E18^2/4+D18^3/27</f>
        <v>1.473173919374932E-5</v>
      </c>
      <c r="I16" s="16"/>
    </row>
    <row r="17" spans="1:12" ht="15.5" x14ac:dyDescent="0.85">
      <c r="A17" s="34" t="s">
        <v>57</v>
      </c>
      <c r="B17" s="34" t="s">
        <v>58</v>
      </c>
      <c r="C17" s="34" t="s">
        <v>59</v>
      </c>
      <c r="D17" s="34" t="s">
        <v>60</v>
      </c>
      <c r="E17" s="34" t="s">
        <v>61</v>
      </c>
      <c r="F17" s="2" t="s">
        <v>62</v>
      </c>
      <c r="G17" s="17"/>
      <c r="H17" s="17"/>
      <c r="I17" s="18"/>
      <c r="K17" s="86"/>
      <c r="L17" s="86"/>
    </row>
    <row r="18" spans="1:12" x14ac:dyDescent="0.6">
      <c r="A18" s="23">
        <f>-(1)</f>
        <v>-1</v>
      </c>
      <c r="B18" s="23">
        <f>A-B-B^2</f>
        <v>6.1929222570523634E-2</v>
      </c>
      <c r="C18" s="23">
        <f>-(A*B)</f>
        <v>-1.5295053798270398E-3</v>
      </c>
      <c r="D18" s="23">
        <f>(3*B18-A18^2)/3</f>
        <v>-0.27140411076280974</v>
      </c>
      <c r="E18" s="23">
        <f>(2*A18^3-9*A18*B18+27*C18)/27</f>
        <v>-5.4960505263726568E-2</v>
      </c>
      <c r="F18" s="4" t="s">
        <v>63</v>
      </c>
      <c r="G18" s="20"/>
      <c r="H18" s="20"/>
      <c r="I18" s="21"/>
      <c r="K18" s="86"/>
      <c r="L18" s="86"/>
    </row>
    <row r="19" spans="1:12" x14ac:dyDescent="0.6">
      <c r="K19" s="86"/>
      <c r="L19" s="86"/>
    </row>
    <row r="20" spans="1:12" x14ac:dyDescent="0.6">
      <c r="A20" t="s">
        <v>64</v>
      </c>
      <c r="I20" t="s">
        <v>310</v>
      </c>
      <c r="K20" s="86"/>
      <c r="L20" s="86"/>
    </row>
    <row r="21" spans="1:12" x14ac:dyDescent="0.6">
      <c r="A21" s="23" t="s">
        <v>65</v>
      </c>
      <c r="B21" s="23" t="s">
        <v>66</v>
      </c>
      <c r="C21" s="23" t="s">
        <v>67</v>
      </c>
      <c r="D21" s="23"/>
      <c r="E21" t="s">
        <v>68</v>
      </c>
      <c r="I21" t="s">
        <v>311</v>
      </c>
      <c r="K21" s="86"/>
      <c r="L21" s="86"/>
    </row>
    <row r="22" spans="1:12" x14ac:dyDescent="0.6">
      <c r="A22" s="23">
        <f>(-$E$18/2+SQRT($H$16))^(1/3)</f>
        <v>0.31521006368022464</v>
      </c>
      <c r="B22" s="23">
        <f>(-$E$18/2-SQRT($H$16))^(1/3)</f>
        <v>0.28700872004110539</v>
      </c>
      <c r="C22" s="23">
        <f>A22+B22</f>
        <v>0.60221878372132998</v>
      </c>
      <c r="D22" s="17"/>
      <c r="E22" t="s">
        <v>69</v>
      </c>
      <c r="I22" s="23" t="s">
        <v>312</v>
      </c>
      <c r="J22" s="95">
        <f>Pc*10^(7/3*(1+omega)*(1-1/Tr))</f>
        <v>6.7800161926455598</v>
      </c>
      <c r="K22" s="86"/>
      <c r="L22" s="86"/>
    </row>
    <row r="23" spans="1:12" x14ac:dyDescent="0.6">
      <c r="I23" s="86"/>
      <c r="J23" s="86"/>
    </row>
    <row r="24" spans="1:12" x14ac:dyDescent="0.6">
      <c r="A24" t="s">
        <v>70</v>
      </c>
      <c r="I24" s="86"/>
      <c r="J24" s="86"/>
    </row>
    <row r="25" spans="1:12" ht="15.5" x14ac:dyDescent="0.85">
      <c r="A25" s="23" t="s">
        <v>71</v>
      </c>
      <c r="B25" s="23" t="s">
        <v>72</v>
      </c>
      <c r="C25" s="23" t="s">
        <v>73</v>
      </c>
      <c r="D25" s="42" t="s">
        <v>74</v>
      </c>
      <c r="E25" s="23" t="s">
        <v>75</v>
      </c>
      <c r="F25" s="23"/>
      <c r="G25" s="23"/>
      <c r="K25" s="86"/>
      <c r="L25" s="86"/>
    </row>
    <row r="26" spans="1:12" x14ac:dyDescent="0.6">
      <c r="A26" s="23">
        <f>2*SQRT(-D18/3)</f>
        <v>0.60155810000676269</v>
      </c>
      <c r="B26" s="23">
        <f>3*E18/D18/A26</f>
        <v>1.0098990672163211</v>
      </c>
      <c r="C26" s="23" t="e">
        <f>ACOS(B26)</f>
        <v>#NUM!</v>
      </c>
      <c r="D26" s="23" t="e">
        <f>C26/3</f>
        <v>#NUM!</v>
      </c>
      <c r="E26" s="23" t="e">
        <f>$A$26*COS($D$26)</f>
        <v>#NUM!</v>
      </c>
      <c r="F26" s="23" t="e">
        <f>$A$26*COS($D$26+4*PI()/3)</f>
        <v>#NUM!</v>
      </c>
      <c r="G26" s="23" t="e">
        <f>$A$26*COS($D$26+2*PI()/3)</f>
        <v>#NUM!</v>
      </c>
      <c r="K26" s="86"/>
      <c r="L26" s="86"/>
    </row>
    <row r="27" spans="1:12" x14ac:dyDescent="0.6">
      <c r="K27" s="86"/>
      <c r="L27" s="86"/>
    </row>
    <row r="28" spans="1:12" x14ac:dyDescent="0.6">
      <c r="A28" t="s">
        <v>76</v>
      </c>
      <c r="K28" s="86"/>
      <c r="L28" s="86"/>
    </row>
    <row r="29" spans="1:12" ht="15.5" x14ac:dyDescent="0.85">
      <c r="A29" s="17" t="s">
        <v>77</v>
      </c>
      <c r="K29" s="86"/>
      <c r="L29" s="86"/>
    </row>
    <row r="30" spans="1:12" x14ac:dyDescent="0.6">
      <c r="A30" t="s">
        <v>78</v>
      </c>
      <c r="K30" s="86"/>
      <c r="L30" s="86"/>
    </row>
    <row r="31" spans="1:12" x14ac:dyDescent="0.6">
      <c r="A31" t="s">
        <v>79</v>
      </c>
      <c r="K31" s="86"/>
      <c r="L31" s="86"/>
    </row>
    <row r="32" spans="1:12" x14ac:dyDescent="0.6">
      <c r="K32" s="86"/>
      <c r="L32" s="86"/>
    </row>
    <row r="33" spans="11:12" x14ac:dyDescent="0.6">
      <c r="K33" s="86"/>
      <c r="L33" s="86"/>
    </row>
    <row r="34" spans="11:12" x14ac:dyDescent="0.6">
      <c r="K34" s="86"/>
      <c r="L34" s="86"/>
    </row>
    <row r="35" spans="11:12" x14ac:dyDescent="0.6">
      <c r="K35" s="86"/>
      <c r="L35" s="86"/>
    </row>
    <row r="36" spans="11:12" x14ac:dyDescent="0.6">
      <c r="K36" s="86"/>
      <c r="L36" s="86"/>
    </row>
    <row r="37" spans="11:12" x14ac:dyDescent="0.6">
      <c r="K37" s="86"/>
      <c r="L37" s="86"/>
    </row>
    <row r="38" spans="11:12" x14ac:dyDescent="0.6">
      <c r="K38" s="86"/>
      <c r="L38" s="86"/>
    </row>
    <row r="39" spans="11:12" x14ac:dyDescent="0.6">
      <c r="K39" s="86"/>
      <c r="L39" s="86"/>
    </row>
    <row r="40" spans="11:12" x14ac:dyDescent="0.6">
      <c r="K40" s="86"/>
      <c r="L40" s="86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1"/>
  <sheetViews>
    <sheetView showGridLines="0" zoomScale="130" zoomScaleNormal="130" zoomScalePageLayoutView="130" workbookViewId="0">
      <selection activeCell="B9" sqref="B9"/>
    </sheetView>
  </sheetViews>
  <sheetFormatPr defaultColWidth="8.81640625" defaultRowHeight="13" x14ac:dyDescent="0.6"/>
  <cols>
    <col min="1" max="1" width="11.31640625" customWidth="1"/>
    <col min="2" max="2" width="11.5" customWidth="1"/>
    <col min="3" max="3" width="10" customWidth="1"/>
    <col min="4" max="4" width="10.31640625" customWidth="1"/>
  </cols>
  <sheetData>
    <row r="1" spans="1:12" x14ac:dyDescent="0.6">
      <c r="A1" t="s">
        <v>20</v>
      </c>
      <c r="F1" t="s">
        <v>21</v>
      </c>
    </row>
    <row r="2" spans="1:12" ht="17.5" thickBot="1" x14ac:dyDescent="1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25" thickTop="1" x14ac:dyDescent="0.85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85" t="s">
        <v>88</v>
      </c>
      <c r="K3" s="64" t="s">
        <v>88</v>
      </c>
      <c r="L3" s="83" t="s">
        <v>89</v>
      </c>
    </row>
    <row r="4" spans="1:12" x14ac:dyDescent="0.6">
      <c r="A4" s="73" t="s">
        <v>135</v>
      </c>
      <c r="B4" s="73">
        <v>369.8</v>
      </c>
      <c r="C4" s="73">
        <v>4.2489999999999997</v>
      </c>
      <c r="D4" s="73">
        <v>0.152</v>
      </c>
      <c r="E4" s="73">
        <v>-4.2240000000000002</v>
      </c>
      <c r="F4" s="84">
        <v>0.30630000000000002</v>
      </c>
      <c r="G4" s="84">
        <v>-1.5860000000000001E-4</v>
      </c>
      <c r="H4" s="84">
        <v>3.215E-8</v>
      </c>
      <c r="I4" s="20"/>
      <c r="J4" s="4">
        <f>CPA*(TK-TREF)+CPB/2*(TK^2-TREF^2)+CPC/3*(TK^3-TREF^3)+CPD/4*(TK^4-TREF^4)</f>
        <v>8482.6895833333328</v>
      </c>
      <c r="K4" s="20">
        <f>J4-_R*(TK-TREF)</f>
        <v>7651.2423833333323</v>
      </c>
      <c r="L4" s="21">
        <f>CPA*LN(TK/TREF)+CPB*(TK-TREF)+CPC/2*(TK^2-TREF^2)+CPD/3*(TK^3-TREF^3)-_R*LN(P/PREF)</f>
        <v>5.1155683093139572</v>
      </c>
    </row>
    <row r="5" spans="1:12" ht="13.75" thickBot="1" x14ac:dyDescent="0.75"/>
    <row r="6" spans="1:12" ht="13.75" thickBot="1" x14ac:dyDescent="0.75">
      <c r="A6" s="9" t="s">
        <v>29</v>
      </c>
      <c r="B6" s="10"/>
      <c r="C6" s="31" t="s">
        <v>30</v>
      </c>
      <c r="D6" s="32"/>
      <c r="E6" t="s">
        <v>51</v>
      </c>
    </row>
    <row r="7" spans="1:12" ht="16.25" thickTop="1" x14ac:dyDescent="0.6">
      <c r="A7" s="5" t="s">
        <v>32</v>
      </c>
      <c r="B7" s="48">
        <v>400</v>
      </c>
      <c r="C7" s="24" t="s">
        <v>33</v>
      </c>
      <c r="D7" s="25" t="s">
        <v>34</v>
      </c>
      <c r="E7" s="24" t="s">
        <v>35</v>
      </c>
      <c r="F7" s="50" t="s">
        <v>90</v>
      </c>
      <c r="G7" s="50" t="s">
        <v>91</v>
      </c>
      <c r="H7" s="50" t="s">
        <v>92</v>
      </c>
      <c r="I7" s="50" t="s">
        <v>93</v>
      </c>
      <c r="J7" s="50" t="s">
        <v>94</v>
      </c>
      <c r="K7" s="25" t="s">
        <v>95</v>
      </c>
    </row>
    <row r="8" spans="1:12" ht="16.25" thickBot="1" x14ac:dyDescent="0.75">
      <c r="A8" s="7" t="s">
        <v>38</v>
      </c>
      <c r="B8" s="49">
        <v>1</v>
      </c>
      <c r="C8" s="26"/>
      <c r="D8" s="27" t="s">
        <v>39</v>
      </c>
      <c r="E8" s="51" t="s">
        <v>40</v>
      </c>
      <c r="F8" s="52" t="s">
        <v>88</v>
      </c>
      <c r="G8" s="52" t="s">
        <v>88</v>
      </c>
      <c r="H8" s="52" t="s">
        <v>89</v>
      </c>
      <c r="I8" s="52" t="s">
        <v>88</v>
      </c>
      <c r="J8" s="52" t="s">
        <v>88</v>
      </c>
      <c r="K8" s="53" t="s">
        <v>89</v>
      </c>
    </row>
    <row r="9" spans="1:12" x14ac:dyDescent="0.6">
      <c r="A9" s="36" t="s">
        <v>42</v>
      </c>
      <c r="B9" s="44"/>
      <c r="C9" s="29" t="e">
        <f>E30-$A$20/3</f>
        <v>#NUM!</v>
      </c>
      <c r="D9" s="6" t="e">
        <f>C9*$I$23*$B$7/$B$8</f>
        <v>#NUM!</v>
      </c>
      <c r="E9" s="5" t="e">
        <f>P*EXP(Z-1-LN(Z-B)-A/B/2.8284*LN((Z+2.4142*B)/(Z-0.4142*B)))</f>
        <v>#NUM!</v>
      </c>
      <c r="F9" s="29" t="e">
        <f>I9+$J$4-'Ref State'!$D$19+'Ref State'!$D$18</f>
        <v>#NUM!</v>
      </c>
      <c r="G9" s="29" t="e">
        <f>F9-Z*_R*TK</f>
        <v>#NUM!</v>
      </c>
      <c r="H9" s="29" t="e">
        <f>K9+$L$4-'Ref State'!$F$19+'Ref State'!$F$18</f>
        <v>#NUM!</v>
      </c>
      <c r="I9" s="29" t="e">
        <f>_R*TK*(Z-1-A/B/2.8284*(1+kappa*SQRT(Tr/alpha))*LN((Z+2.4142*B)/(Z-0.4142*B)))</f>
        <v>#NUM!</v>
      </c>
      <c r="J9" s="29" t="e">
        <f>I9-(Z-1)*_R*TK</f>
        <v>#NUM!</v>
      </c>
      <c r="K9" s="6" t="e">
        <f>_R*LN(Z-B)-A*_R/B/2.8284*kappa*SQRT(Tr/alpha)*LN((Z+2.4142*B)/(Z-0.4142*B))</f>
        <v>#NUM!</v>
      </c>
    </row>
    <row r="10" spans="1:12" x14ac:dyDescent="0.6">
      <c r="A10" s="38" t="s">
        <v>45</v>
      </c>
      <c r="B10" s="45"/>
      <c r="C10" s="17" t="e">
        <f>F30-$A$20/3</f>
        <v>#NUM!</v>
      </c>
      <c r="D10" s="28" t="e">
        <f>C10*$I$23*$B$7/$B$8</f>
        <v>#NUM!</v>
      </c>
      <c r="E10" s="54"/>
      <c r="F10" s="17" t="e">
        <f>I10+$J$4-'Ref State'!$D$19+'Ref State'!$D$18</f>
        <v>#NUM!</v>
      </c>
      <c r="G10" s="17" t="e">
        <f>F10-Z*_R*TK</f>
        <v>#NUM!</v>
      </c>
      <c r="H10" s="17" t="e">
        <f>K10+$L$4-'Ref State'!$F$19+'Ref State'!$F$18</f>
        <v>#NUM!</v>
      </c>
      <c r="I10" s="17" t="e">
        <f>_R*TK*(Z-1-A/B/2.8284*(1+kappa*SQRT(Tr/alpha))*LN((Z+2.4142*B)/(Z-0.4142*B)))</f>
        <v>#NUM!</v>
      </c>
      <c r="J10" s="17" t="e">
        <f>I10-(Z-1)*_R*TK</f>
        <v>#NUM!</v>
      </c>
      <c r="K10" s="28" t="e">
        <f>_R*LN(Z-B)-A*_R/B/2.8284*kappa*SQRT(Tr/alpha)*LN((Z+2.4142*B)/(Z-0.4142*B))</f>
        <v>#NUM!</v>
      </c>
    </row>
    <row r="11" spans="1:12" ht="13.75" thickBot="1" x14ac:dyDescent="0.75">
      <c r="A11" s="7"/>
      <c r="B11" s="8"/>
      <c r="C11" s="30" t="e">
        <f>G30-$A$20/3</f>
        <v>#NUM!</v>
      </c>
      <c r="D11" s="8" t="e">
        <f>C11*$I$23*$B$7/$B$8</f>
        <v>#NUM!</v>
      </c>
      <c r="E11" s="7" t="e">
        <f>P*EXP(Z-1-LN(Z-B)-A/B/2.8284*LN((Z+2.4142*B)/(Z-0.4142*B)))</f>
        <v>#NUM!</v>
      </c>
      <c r="F11" s="30" t="e">
        <f>I11+$J$4-'Ref State'!$D$19+'Ref State'!$D$18</f>
        <v>#NUM!</v>
      </c>
      <c r="G11" s="30" t="e">
        <f>F11-Z*_R*TK</f>
        <v>#NUM!</v>
      </c>
      <c r="H11" s="30" t="e">
        <f>K11+$L$4-'Ref State'!$F$19+'Ref State'!$F$18</f>
        <v>#NUM!</v>
      </c>
      <c r="I11" s="30" t="e">
        <f>_R*TK*(Z-1-A/B/2.8284*(1+kappa*SQRT(Tr/alpha))*LN((Z+2.4142*B)/(Z-0.4142*B)))</f>
        <v>#NUM!</v>
      </c>
      <c r="J11" s="30" t="e">
        <f>I11-(Z-1)*_R*TK</f>
        <v>#NUM!</v>
      </c>
      <c r="K11" s="8" t="e">
        <f>_R*LN(Z-B)-A*_R/B/2.8284*kappa*SQRT(Tr/alpha)*LN((Z+2.4142*B)/(Z-0.4142*B))</f>
        <v>#NUM!</v>
      </c>
    </row>
    <row r="12" spans="1:12" ht="13.75" thickBot="1" x14ac:dyDescent="0.75">
      <c r="A12" s="40" t="s">
        <v>49</v>
      </c>
      <c r="B12" s="55"/>
      <c r="C12" s="35">
        <f>C26-A20/3</f>
        <v>0.92744604357866911</v>
      </c>
      <c r="D12" s="32">
        <f>C12*$I$23*$B$7/$B$8</f>
        <v>3084.4896643382499</v>
      </c>
      <c r="E12" s="31">
        <f>P*EXP(Z-1-LN(Z-B)-A/B/2.8284*LN((Z+2.4142*B)/(Z-0.4142*B)))</f>
        <v>0.93092024915629346</v>
      </c>
      <c r="F12" s="35">
        <f>I12+$J$4-'Ref State'!$D$19+'Ref State'!$D$18</f>
        <v>7845.5413293149486</v>
      </c>
      <c r="G12" s="35">
        <f>F12-Z*_R*TK</f>
        <v>4761.0516649766987</v>
      </c>
      <c r="H12" s="35">
        <f>K12+$L$4-'Ref State'!$F$19+'Ref State'!$F$18</f>
        <v>4.0755988121044648</v>
      </c>
      <c r="I12" s="35">
        <f>_R*TK*(Z-1-A/B/2.8284*(1+kappa*SQRT(Tr/alpha))*LN((Z+2.4142*B)/(Z-0.4142*B)))</f>
        <v>-748.04355005388527</v>
      </c>
      <c r="J12" s="35">
        <f>I12-(Z-1)*_R*TK</f>
        <v>-506.7444143921349</v>
      </c>
      <c r="K12" s="32">
        <f>_R*LN(Z-B)-A*_R/B/2.8284*kappa*SQRT(Tr/alpha)*LN((Z+2.4142*B)/(Z-0.4142*B))</f>
        <v>-1.2749451103098997</v>
      </c>
    </row>
    <row r="13" spans="1:12" x14ac:dyDescent="0.6">
      <c r="A13" s="17"/>
      <c r="B13" s="17"/>
      <c r="E13" s="88" t="s">
        <v>96</v>
      </c>
      <c r="F13" s="17"/>
      <c r="G13" s="17"/>
      <c r="H13" s="17"/>
      <c r="I13" s="17"/>
    </row>
    <row r="14" spans="1:12" x14ac:dyDescent="0.6">
      <c r="C14" s="17"/>
      <c r="D14" s="17"/>
      <c r="E14" s="89" t="e">
        <f>E9/E11</f>
        <v>#NUM!</v>
      </c>
      <c r="F14" s="17"/>
      <c r="G14" s="17"/>
    </row>
    <row r="15" spans="1:12" x14ac:dyDescent="0.6">
      <c r="A15" s="81" t="s">
        <v>97</v>
      </c>
      <c r="B15" s="15"/>
      <c r="C15" s="15"/>
      <c r="D15" s="15"/>
      <c r="E15" s="15"/>
      <c r="F15" s="15"/>
      <c r="G15" s="15"/>
      <c r="H15" s="16"/>
    </row>
    <row r="16" spans="1:12" x14ac:dyDescent="0.6">
      <c r="A16" s="82" t="s">
        <v>98</v>
      </c>
      <c r="B16" s="20"/>
      <c r="C16" s="20"/>
      <c r="D16" s="20"/>
      <c r="E16" s="20"/>
      <c r="F16" s="20"/>
      <c r="G16" s="20"/>
      <c r="H16" s="21"/>
    </row>
    <row r="17" spans="1:13" x14ac:dyDescent="0.6">
      <c r="A17" s="60"/>
      <c r="B17" s="60"/>
      <c r="C17" s="87"/>
      <c r="D17" s="17"/>
      <c r="E17" s="17"/>
      <c r="F17" s="17"/>
      <c r="G17" s="17"/>
      <c r="H17" s="17"/>
    </row>
    <row r="18" spans="1:13" ht="16.75" x14ac:dyDescent="0.85">
      <c r="A18" t="s">
        <v>54</v>
      </c>
      <c r="C18" t="s">
        <v>55</v>
      </c>
      <c r="F18" s="1" t="s">
        <v>56</v>
      </c>
      <c r="G18" s="15"/>
      <c r="H18" s="15">
        <f>E20^2/4+D20^3/27</f>
        <v>1.2408758251590416E-5</v>
      </c>
      <c r="I18" s="16"/>
      <c r="L18" s="86"/>
      <c r="M18" s="86"/>
    </row>
    <row r="19" spans="1:13" ht="15.5" x14ac:dyDescent="0.85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6"/>
      <c r="M19" s="86"/>
    </row>
    <row r="20" spans="1:13" x14ac:dyDescent="0.6">
      <c r="A20" s="23">
        <f>-(1-J29)</f>
        <v>-0.98307308300293006</v>
      </c>
      <c r="B20" s="23">
        <f>J28-3*J29^2-2*J29</f>
        <v>5.2875507788386095E-2</v>
      </c>
      <c r="C20" s="23">
        <f>-(J28*J29-J29^2-J29^3)</f>
        <v>-1.1912396686246389E-3</v>
      </c>
      <c r="D20" s="23">
        <f>(3*B20-A20^2)/3</f>
        <v>-0.26926872105324251</v>
      </c>
      <c r="E20" s="23">
        <f>(2*A20^3-9*A20*B20+27*C20)/27</f>
        <v>-5.4240259120542415E-2</v>
      </c>
      <c r="F20" s="4" t="s">
        <v>63</v>
      </c>
      <c r="G20" s="20"/>
      <c r="H20" s="20"/>
      <c r="I20" s="21"/>
      <c r="L20" s="86"/>
      <c r="M20" s="86"/>
    </row>
    <row r="21" spans="1:13" x14ac:dyDescent="0.6">
      <c r="L21" s="86"/>
      <c r="M21" s="86"/>
    </row>
    <row r="22" spans="1:13" x14ac:dyDescent="0.6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6"/>
      <c r="M22" s="86"/>
    </row>
    <row r="23" spans="1:13" ht="15.5" x14ac:dyDescent="0.6">
      <c r="G23" s="23" t="s">
        <v>31</v>
      </c>
      <c r="H23" s="11"/>
      <c r="I23" s="90">
        <v>8.3144720000000003</v>
      </c>
      <c r="J23" s="23"/>
      <c r="M23" s="86"/>
    </row>
    <row r="24" spans="1:13" ht="16.75" x14ac:dyDescent="0.85">
      <c r="A24" t="s">
        <v>64</v>
      </c>
      <c r="G24" s="1" t="s">
        <v>36</v>
      </c>
      <c r="H24" s="16">
        <f>TK/B4</f>
        <v>1.0816657652785289</v>
      </c>
      <c r="I24" s="23" t="s">
        <v>37</v>
      </c>
      <c r="J24" s="23"/>
      <c r="L24" s="17"/>
      <c r="M24" s="86"/>
    </row>
    <row r="25" spans="1:13" ht="15.5" x14ac:dyDescent="0.85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0.23534949399858793</v>
      </c>
      <c r="I25" s="11">
        <f>0.4572355289*(B4*I23)^2*H27/C4</f>
        <v>968809.57332643645</v>
      </c>
      <c r="J25" s="12"/>
      <c r="L25" s="86"/>
      <c r="M25" s="86"/>
    </row>
    <row r="26" spans="1:13" ht="15.5" x14ac:dyDescent="0.6">
      <c r="A26" s="23">
        <f>(-$E$20/2+SQRT($H$18))^(1/3)</f>
        <v>0.31292662388448805</v>
      </c>
      <c r="B26" s="23">
        <f>(-$E$20/2-SQRT($H$18))^(1/3)</f>
        <v>0.2868283920265377</v>
      </c>
      <c r="C26" s="23">
        <f>A26+B26</f>
        <v>0.59975501591102576</v>
      </c>
      <c r="D26" s="17"/>
      <c r="G26" s="3" t="s">
        <v>43</v>
      </c>
      <c r="H26" s="18">
        <f>0.37464+1.54226*D4-0.26992*D4^2</f>
        <v>0.60282728831999999</v>
      </c>
      <c r="I26" s="23" t="s">
        <v>44</v>
      </c>
      <c r="J26" s="23"/>
      <c r="L26" s="86"/>
      <c r="M26" s="86"/>
    </row>
    <row r="27" spans="1:13" x14ac:dyDescent="0.6">
      <c r="G27" s="19" t="s">
        <v>46</v>
      </c>
      <c r="H27" s="21">
        <f>(1+kappa*(1-SQRT(Tr)))^2</f>
        <v>0.9523180579517222</v>
      </c>
      <c r="I27" s="11">
        <f>0.0777960739*I23*B4/C4</f>
        <v>56.295350967384707</v>
      </c>
      <c r="J27" s="12"/>
      <c r="L27" s="86"/>
      <c r="M27" s="86"/>
    </row>
    <row r="28" spans="1:13" x14ac:dyDescent="0.6">
      <c r="A28" t="s">
        <v>70</v>
      </c>
      <c r="I28" s="1" t="s">
        <v>48</v>
      </c>
      <c r="J28" s="16">
        <f>I25*B8/(I23*B7)^2</f>
        <v>8.758890333960298E-2</v>
      </c>
      <c r="L28" s="86"/>
      <c r="M28" s="86"/>
    </row>
    <row r="29" spans="1:13" ht="15.5" x14ac:dyDescent="0.85">
      <c r="A29" s="23" t="s">
        <v>71</v>
      </c>
      <c r="B29" s="23" t="s">
        <v>72</v>
      </c>
      <c r="C29" s="23" t="s">
        <v>73</v>
      </c>
      <c r="D29" s="42" t="s">
        <v>74</v>
      </c>
      <c r="E29" s="23" t="s">
        <v>75</v>
      </c>
      <c r="F29" s="23"/>
      <c r="G29" s="23"/>
      <c r="I29" s="4" t="s">
        <v>50</v>
      </c>
      <c r="J29" s="21">
        <f>I27*B8/I23/B7</f>
        <v>1.6926916997069899E-2</v>
      </c>
      <c r="L29" s="86"/>
      <c r="M29" s="86"/>
    </row>
    <row r="30" spans="1:13" x14ac:dyDescent="0.6">
      <c r="A30" s="23">
        <f>2*SQRT(-D20/3)</f>
        <v>0.59918691691685266</v>
      </c>
      <c r="B30" s="23">
        <f>3*E20/D20/A30</f>
        <v>1.0085438388823262</v>
      </c>
      <c r="C30" s="23" t="e">
        <f>ACOS(B30)</f>
        <v>#NUM!</v>
      </c>
      <c r="D30" s="23" t="e">
        <f>C30/3</f>
        <v>#NUM!</v>
      </c>
      <c r="E30" s="23" t="e">
        <f>$A$30*COS($D$30)</f>
        <v>#NUM!</v>
      </c>
      <c r="F30" s="23" t="e">
        <f>$A$30*COS($D$30+4*PI()/3)</f>
        <v>#NUM!</v>
      </c>
      <c r="G30" s="23" t="e">
        <f>$A$30*COS($D$30+2*PI()/3)</f>
        <v>#NUM!</v>
      </c>
      <c r="L30" s="86"/>
      <c r="M30" s="86"/>
    </row>
    <row r="31" spans="1:13" x14ac:dyDescent="0.6">
      <c r="L31" s="86"/>
      <c r="M31" s="86"/>
    </row>
    <row r="32" spans="1:13" x14ac:dyDescent="0.6">
      <c r="A32" s="11" t="s">
        <v>99</v>
      </c>
      <c r="B32" s="22"/>
      <c r="C32" s="22"/>
      <c r="D32" s="22"/>
      <c r="E32" s="22"/>
      <c r="F32" s="22"/>
      <c r="G32" s="12"/>
      <c r="L32" s="86"/>
      <c r="M32" s="86"/>
    </row>
    <row r="33" spans="1:13" x14ac:dyDescent="0.6">
      <c r="A33" s="23" t="s">
        <v>100</v>
      </c>
      <c r="B33" s="23">
        <f>'Ref State'!B7</f>
        <v>300</v>
      </c>
      <c r="C33" s="23" t="s">
        <v>101</v>
      </c>
      <c r="D33" s="23">
        <f>'Ref State'!A12</f>
        <v>1</v>
      </c>
      <c r="L33" s="86"/>
      <c r="M33" s="86"/>
    </row>
    <row r="34" spans="1:13" x14ac:dyDescent="0.6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6"/>
      <c r="M34" s="86"/>
    </row>
    <row r="35" spans="1:13" x14ac:dyDescent="0.6">
      <c r="A35" s="23" t="s">
        <v>104</v>
      </c>
      <c r="B35" s="23">
        <f>'Ref State'!A15</f>
        <v>1</v>
      </c>
      <c r="C35" s="23"/>
      <c r="D35" s="23"/>
      <c r="L35" s="86"/>
      <c r="M35" s="86"/>
    </row>
    <row r="36" spans="1:13" x14ac:dyDescent="0.6">
      <c r="L36" s="86"/>
      <c r="M36" s="86"/>
    </row>
    <row r="37" spans="1:13" x14ac:dyDescent="0.6">
      <c r="L37" s="86"/>
      <c r="M37" s="86"/>
    </row>
    <row r="38" spans="1:13" x14ac:dyDescent="0.6">
      <c r="L38" s="86"/>
      <c r="M38" s="86"/>
    </row>
    <row r="39" spans="1:13" x14ac:dyDescent="0.6">
      <c r="L39" s="86"/>
      <c r="M39" s="86"/>
    </row>
    <row r="40" spans="1:13" x14ac:dyDescent="0.6">
      <c r="L40" s="86"/>
      <c r="M40" s="86"/>
    </row>
    <row r="41" spans="1:13" x14ac:dyDescent="0.6">
      <c r="L41" s="86"/>
      <c r="M41" s="86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3"/>
  <sheetViews>
    <sheetView showGridLines="0" tabSelected="1" zoomScale="115" zoomScaleNormal="115" zoomScalePageLayoutView="115" workbookViewId="0">
      <selection activeCell="H10" sqref="H10"/>
    </sheetView>
  </sheetViews>
  <sheetFormatPr defaultColWidth="8.81640625" defaultRowHeight="13" x14ac:dyDescent="0.6"/>
  <cols>
    <col min="1" max="1" width="11.31640625" customWidth="1"/>
    <col min="2" max="2" width="11.5" customWidth="1"/>
  </cols>
  <sheetData>
    <row r="1" spans="1:12" x14ac:dyDescent="0.6">
      <c r="A1" t="s">
        <v>20</v>
      </c>
      <c r="F1" t="s">
        <v>21</v>
      </c>
    </row>
    <row r="2" spans="1:12" ht="13.75" thickBot="1" x14ac:dyDescent="0.75">
      <c r="A2" s="13" t="s">
        <v>22</v>
      </c>
      <c r="B2" s="14"/>
    </row>
    <row r="3" spans="1:12" ht="16.25" thickTop="1" x14ac:dyDescent="0.85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6">
      <c r="A4" t="s">
        <v>135</v>
      </c>
      <c r="B4">
        <v>369.8</v>
      </c>
      <c r="C4">
        <v>4.2489999999999997</v>
      </c>
      <c r="D4">
        <v>0.152</v>
      </c>
      <c r="G4" t="s">
        <v>106</v>
      </c>
    </row>
    <row r="5" spans="1:12" ht="13.75" thickBot="1" x14ac:dyDescent="0.75">
      <c r="G5" t="s">
        <v>107</v>
      </c>
    </row>
    <row r="6" spans="1:12" ht="13.75" thickBot="1" x14ac:dyDescent="0.75">
      <c r="A6" s="9" t="s">
        <v>108</v>
      </c>
      <c r="B6" s="10"/>
      <c r="C6" s="36" t="s">
        <v>109</v>
      </c>
      <c r="D6" s="44"/>
      <c r="E6" s="31" t="s">
        <v>30</v>
      </c>
      <c r="F6" s="32"/>
    </row>
    <row r="7" spans="1:12" ht="16.25" thickTop="1" x14ac:dyDescent="0.6">
      <c r="A7" s="5" t="s">
        <v>32</v>
      </c>
      <c r="B7" s="48">
        <v>300</v>
      </c>
      <c r="C7" s="38" t="s">
        <v>110</v>
      </c>
      <c r="D7" s="45"/>
      <c r="E7" s="24" t="s">
        <v>33</v>
      </c>
      <c r="F7" s="25" t="s">
        <v>34</v>
      </c>
      <c r="G7" s="24" t="s">
        <v>35</v>
      </c>
      <c r="H7" s="50" t="s">
        <v>93</v>
      </c>
      <c r="I7" s="50" t="s">
        <v>94</v>
      </c>
      <c r="J7" s="25" t="s">
        <v>95</v>
      </c>
    </row>
    <row r="8" spans="1:12" ht="16.25" thickBot="1" x14ac:dyDescent="0.75">
      <c r="A8" s="7" t="s">
        <v>38</v>
      </c>
      <c r="B8" s="49">
        <v>0.1</v>
      </c>
      <c r="C8" s="46" t="s">
        <v>111</v>
      </c>
      <c r="D8" s="47"/>
      <c r="E8" s="26"/>
      <c r="F8" s="27" t="s">
        <v>39</v>
      </c>
      <c r="G8" s="51" t="s">
        <v>40</v>
      </c>
      <c r="H8" s="52" t="s">
        <v>88</v>
      </c>
      <c r="I8" s="52" t="s">
        <v>88</v>
      </c>
      <c r="J8" s="53" t="s">
        <v>89</v>
      </c>
    </row>
    <row r="9" spans="1:12" ht="15.5" x14ac:dyDescent="0.85">
      <c r="A9" s="5" t="s">
        <v>112</v>
      </c>
      <c r="B9" s="6"/>
      <c r="C9" s="56">
        <v>1</v>
      </c>
      <c r="D9" s="45"/>
      <c r="E9" s="29">
        <f>E33-$A$23/3</f>
        <v>0.98371336066782167</v>
      </c>
      <c r="F9" s="6">
        <f>E9*$I$26*$B$7/$B$8</f>
        <v>24537.171579895512</v>
      </c>
      <c r="G9" s="5">
        <f>P*EXP(Z-1-LN(Z-B)-A/B/2.8284*LN((Z+2.414*B)/(Z-0.414*B)))</f>
        <v>9.8393536354635769E-2</v>
      </c>
      <c r="H9" s="29">
        <f>_R*TK*(Z-1-A/B/2.8284*(1+kappa*SQRT(Tr/alpha))*LN((Z+2.4142*B)/(Z-0.4142*B)))</f>
        <v>-110.89529603550127</v>
      </c>
      <c r="I9" s="29">
        <f>H9-(Z-1)*_R*TK</f>
        <v>-70.270854025052643</v>
      </c>
      <c r="J9" s="6">
        <f>_R*LN(Z-B)-A*_R/B/2.8284*kappa*SQRT(Tr/alpha)*LN((Z+2.4142*B)/(Z-0.4142*B))</f>
        <v>-0.2349756131004071</v>
      </c>
      <c r="K9" s="36" t="s">
        <v>42</v>
      </c>
      <c r="L9" s="44"/>
    </row>
    <row r="10" spans="1:12" ht="13.75" thickBot="1" x14ac:dyDescent="0.75">
      <c r="A10" s="74">
        <v>0</v>
      </c>
      <c r="B10" s="43"/>
      <c r="C10" s="58"/>
      <c r="D10" s="59"/>
      <c r="E10" s="17">
        <f>F33-$A$23/3</f>
        <v>1.0516012830293131E-2</v>
      </c>
      <c r="F10" s="28">
        <f>E10*$I$26*$B$7/$B$8</f>
        <v>262.30528268733894</v>
      </c>
      <c r="G10" s="54"/>
      <c r="H10" s="17"/>
      <c r="I10" s="17"/>
      <c r="J10" s="28"/>
      <c r="K10" s="38" t="s">
        <v>45</v>
      </c>
      <c r="L10" s="45"/>
    </row>
    <row r="11" spans="1:12" ht="13.75" thickBot="1" x14ac:dyDescent="0.75">
      <c r="A11" s="5" t="s">
        <v>113</v>
      </c>
      <c r="B11" s="6"/>
      <c r="C11" s="56">
        <v>2</v>
      </c>
      <c r="D11" s="45"/>
      <c r="E11" s="30">
        <f>G33-$A$23/3</f>
        <v>3.5137042356091497E-3</v>
      </c>
      <c r="F11" s="8">
        <f>E11*$I$26*$B$7/$B$8</f>
        <v>87.643786449761024</v>
      </c>
      <c r="G11" s="7">
        <f>P*EXP(Z-1-LN(Z-B)-A/B/2.8284*LN((Z+2.414*B)/(Z-0.414*B)))</f>
        <v>0.81592860208739593</v>
      </c>
      <c r="H11" s="30">
        <f>_R*TK*(Z-1-A/B/2.8284*(1+kappa*SQRT(Tr/alpha))*LN((Z+2.4142*B)/(Z-0.4142*B)))</f>
        <v>-16005.845894808139</v>
      </c>
      <c r="I11" s="30">
        <f>H11-(Z-1)*_R*TK</f>
        <v>-13520.268673453114</v>
      </c>
      <c r="J11" s="8">
        <f>_R*LN(Z-B)-A*_R/B/2.8284*kappa*SQRT(Tr/alpha)*LN((Z+2.4142*B)/(Z-0.4142*B))</f>
        <v>-70.800807109746174</v>
      </c>
      <c r="K11" s="7"/>
      <c r="L11" s="8"/>
    </row>
    <row r="12" spans="1:12" ht="13.75" thickBot="1" x14ac:dyDescent="0.75">
      <c r="A12" s="74">
        <v>1</v>
      </c>
      <c r="B12" s="43"/>
      <c r="C12" s="57">
        <v>3</v>
      </c>
      <c r="D12" s="43"/>
      <c r="E12" s="35" t="e">
        <f>C29-A23/3</f>
        <v>#NUM!</v>
      </c>
      <c r="F12" s="32" t="e">
        <f>E12*$I$26*$B$7/$B$8</f>
        <v>#NUM!</v>
      </c>
      <c r="G12" s="31" t="e">
        <f>P*EXP(Z-1-LN(Z-B)-A/B/2.8284*LN((Z+2.414*B)/(Z-0.414*B)))</f>
        <v>#NUM!</v>
      </c>
      <c r="H12" s="35" t="e">
        <f>_R*TK*(Z-1-A/B/2.8284*(1+kappa*SQRT(Tr/alpha))*LN((Z+2.4142*B)/(Z-0.4142*B)))</f>
        <v>#NUM!</v>
      </c>
      <c r="I12" s="35" t="e">
        <f>H12-(Z-1)*_R*TK</f>
        <v>#NUM!</v>
      </c>
      <c r="J12" s="32" t="e">
        <f>_R*LN(Z-B)-A*_R/B/2.8284*kappa*SQRT(Tr/alpha)*LN((Z+2.4142*B)/(Z-0.4142*B))</f>
        <v>#NUM!</v>
      </c>
      <c r="K12" s="40" t="s">
        <v>49</v>
      </c>
      <c r="L12" s="55"/>
    </row>
    <row r="13" spans="1:12" x14ac:dyDescent="0.6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75" thickBot="1" x14ac:dyDescent="0.75">
      <c r="A14" s="80" t="s">
        <v>115</v>
      </c>
      <c r="B14" s="30"/>
      <c r="C14" s="30"/>
      <c r="D14" s="30"/>
      <c r="E14" s="30"/>
      <c r="F14" s="30"/>
      <c r="G14" s="30"/>
      <c r="H14" s="8"/>
    </row>
    <row r="15" spans="1:12" ht="13.75" thickBot="1" x14ac:dyDescent="0.75">
      <c r="A15" s="74">
        <v>1</v>
      </c>
      <c r="B15" s="43"/>
    </row>
    <row r="16" spans="1:12" ht="13.75" thickBot="1" x14ac:dyDescent="0.75"/>
    <row r="17" spans="1:10" x14ac:dyDescent="0.6">
      <c r="A17" s="5"/>
      <c r="B17" s="29"/>
      <c r="C17" s="70" t="s">
        <v>33</v>
      </c>
      <c r="D17" s="66" t="s">
        <v>116</v>
      </c>
      <c r="E17" s="67" t="s">
        <v>117</v>
      </c>
      <c r="F17" s="68" t="s">
        <v>118</v>
      </c>
    </row>
    <row r="18" spans="1:10" x14ac:dyDescent="0.6">
      <c r="A18" s="54" t="s">
        <v>119</v>
      </c>
      <c r="B18" s="17"/>
      <c r="C18" s="71">
        <f>IF(igrflag=0,1,CHOOSE(index,E9,E11,E12))</f>
        <v>0.98371336066782167</v>
      </c>
      <c r="D18" s="69">
        <f>uhflag*$C$18*_R*TK</f>
        <v>0</v>
      </c>
      <c r="E18" s="69">
        <f>(uhflag-1)*$C$18*_R*TK</f>
        <v>-2453.7171579895512</v>
      </c>
      <c r="F18" s="61">
        <v>0</v>
      </c>
    </row>
    <row r="19" spans="1:10" ht="13.75" thickBot="1" x14ac:dyDescent="0.75">
      <c r="A19" s="7" t="s">
        <v>120</v>
      </c>
      <c r="B19" s="30"/>
      <c r="C19" s="72"/>
      <c r="D19" s="65">
        <f>igrflag*CHOOSE(index,H9,H11,H12)</f>
        <v>-110.89529603550127</v>
      </c>
      <c r="E19" s="62">
        <f>igrflag*CHOOSE(index,I9,I11,I12)</f>
        <v>-70.270854025052643</v>
      </c>
      <c r="F19" s="63">
        <f>igrflag*CHOOSE(index,J9,J11,J12)</f>
        <v>-0.2349756131004071</v>
      </c>
      <c r="G19" s="17"/>
      <c r="H19" s="17"/>
      <c r="I19" s="17"/>
    </row>
    <row r="20" spans="1:10" x14ac:dyDescent="0.6">
      <c r="A20" s="17"/>
      <c r="B20" s="17"/>
      <c r="F20" s="17"/>
      <c r="G20" s="17"/>
      <c r="H20" s="17"/>
      <c r="I20" s="17"/>
    </row>
    <row r="21" spans="1:10" ht="16.75" x14ac:dyDescent="0.85">
      <c r="A21" t="s">
        <v>54</v>
      </c>
      <c r="C21" t="s">
        <v>55</v>
      </c>
      <c r="F21" s="1" t="s">
        <v>56</v>
      </c>
      <c r="G21" s="15"/>
      <c r="H21" s="15">
        <f>E23^2/4+D23^3/27</f>
        <v>-4.1313278686906305E-7</v>
      </c>
      <c r="I21" s="16"/>
    </row>
    <row r="22" spans="1:10" ht="15.5" x14ac:dyDescent="0.85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6">
      <c r="A23" s="23">
        <f>-(1-J32)</f>
        <v>-0.99774307773372406</v>
      </c>
      <c r="B23" s="23">
        <f>J31-3*J32^2-2*J32</f>
        <v>1.3838170282941101E-2</v>
      </c>
      <c r="C23" s="23">
        <f>-(J31*J32-J32^2-J32^3)</f>
        <v>-3.6348364913492217E-5</v>
      </c>
      <c r="D23" s="23">
        <f>(3*B23-A23^2)/3</f>
        <v>-0.31799224610558025</v>
      </c>
      <c r="E23" s="23">
        <f>(2*A23^3-9*A23*B23+27*C23)/27</f>
        <v>-6.9007702369511037E-2</v>
      </c>
      <c r="F23" s="4" t="s">
        <v>63</v>
      </c>
      <c r="G23" s="20"/>
      <c r="H23" s="20"/>
      <c r="I23" s="21"/>
    </row>
    <row r="25" spans="1:10" x14ac:dyDescent="0.6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5.5" x14ac:dyDescent="0.6">
      <c r="G26" s="23" t="s">
        <v>31</v>
      </c>
      <c r="H26" s="23"/>
      <c r="I26" s="34">
        <f>PVT!I4</f>
        <v>8.3144720000000003</v>
      </c>
      <c r="J26" s="23"/>
    </row>
    <row r="27" spans="1:10" ht="16.75" x14ac:dyDescent="0.85">
      <c r="A27" t="s">
        <v>64</v>
      </c>
      <c r="G27" s="1" t="s">
        <v>36</v>
      </c>
      <c r="H27" s="16">
        <f>TK/B4</f>
        <v>0.81124932395889671</v>
      </c>
      <c r="I27" s="23" t="s">
        <v>37</v>
      </c>
      <c r="J27" s="23"/>
    </row>
    <row r="28" spans="1:10" ht="15.5" x14ac:dyDescent="0.85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2.3534949399858795E-2</v>
      </c>
      <c r="I28" s="11">
        <f>0.4572355289*(B4*I26)^2*H30/C4</f>
        <v>1142765.3997534916</v>
      </c>
      <c r="J28" s="12"/>
    </row>
    <row r="29" spans="1:10" ht="15.5" x14ac:dyDescent="0.6">
      <c r="A29" s="23" t="e">
        <f>(-$E$23/2+SQRT($H$21))^(1/3)</f>
        <v>#NUM!</v>
      </c>
      <c r="B29" s="23" t="e">
        <f>(-$E$23/2-SQRT($H$21))^(1/3)</f>
        <v>#NUM!</v>
      </c>
      <c r="C29" s="23" t="e">
        <f>A29+B29</f>
        <v>#NUM!</v>
      </c>
      <c r="D29" s="17"/>
      <c r="G29" s="3" t="s">
        <v>43</v>
      </c>
      <c r="H29" s="18">
        <f>0.37464+1.54226*D4-0.26992*D4^2</f>
        <v>0.60282728831999999</v>
      </c>
      <c r="I29" s="23" t="s">
        <v>44</v>
      </c>
      <c r="J29" s="23"/>
    </row>
    <row r="30" spans="1:10" x14ac:dyDescent="0.6">
      <c r="G30" s="19" t="s">
        <v>46</v>
      </c>
      <c r="H30" s="21">
        <f>(1+kappa*(1-SQRT(Tr)))^2</f>
        <v>1.1233127295088963</v>
      </c>
      <c r="I30" s="11">
        <f>0.0777960739*I26*B4/C4</f>
        <v>56.295350967384707</v>
      </c>
      <c r="J30" s="12"/>
    </row>
    <row r="31" spans="1:10" x14ac:dyDescent="0.6">
      <c r="A31" t="s">
        <v>70</v>
      </c>
      <c r="I31" s="1" t="s">
        <v>48</v>
      </c>
      <c r="J31" s="16">
        <f>I28*B8/(I26*B7)^2</f>
        <v>1.8367295909841114E-2</v>
      </c>
    </row>
    <row r="32" spans="1:10" ht="15.5" x14ac:dyDescent="0.85">
      <c r="A32" s="23" t="s">
        <v>71</v>
      </c>
      <c r="B32" s="23" t="s">
        <v>72</v>
      </c>
      <c r="C32" s="23" t="s">
        <v>73</v>
      </c>
      <c r="D32" s="42" t="s">
        <v>74</v>
      </c>
      <c r="E32" s="23" t="s">
        <v>75</v>
      </c>
      <c r="F32" s="23"/>
      <c r="G32" s="23"/>
      <c r="I32" s="4" t="s">
        <v>50</v>
      </c>
      <c r="J32" s="21">
        <f>I30*B8/I26/B7</f>
        <v>2.2569222662759871E-3</v>
      </c>
    </row>
    <row r="33" spans="1:7" x14ac:dyDescent="0.6">
      <c r="A33" s="23">
        <f>2*SQRT(-D23/3)</f>
        <v>0.65114488516313096</v>
      </c>
      <c r="B33" s="23">
        <f>3*E23/D23/A33</f>
        <v>0.99982653514028164</v>
      </c>
      <c r="C33" s="23">
        <f>ACOS(B33)</f>
        <v>1.8626318743109049E-2</v>
      </c>
      <c r="D33" s="23">
        <f>C33/3</f>
        <v>6.2087729143696828E-3</v>
      </c>
      <c r="E33" s="23">
        <f>$A$33*COS($D$33)</f>
        <v>0.65113233475658028</v>
      </c>
      <c r="F33" s="23">
        <f>$A$33*COS($D$33+4*PI()/3)</f>
        <v>-0.3220650130809482</v>
      </c>
      <c r="G33" s="23">
        <f>$A$33*COS($D$33+2*PI()/3)</f>
        <v>-0.32906732167563219</v>
      </c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6"/>
  <sheetViews>
    <sheetView workbookViewId="0">
      <selection activeCell="C14" sqref="C14:F14"/>
    </sheetView>
  </sheetViews>
  <sheetFormatPr defaultColWidth="8.81640625" defaultRowHeight="13" x14ac:dyDescent="0.6"/>
  <cols>
    <col min="2" max="2" width="12.1796875" customWidth="1"/>
    <col min="3" max="3" width="20.6796875" customWidth="1"/>
  </cols>
  <sheetData>
    <row r="1" spans="2:8" x14ac:dyDescent="0.6">
      <c r="B1" t="s">
        <v>121</v>
      </c>
    </row>
    <row r="2" spans="2:8" x14ac:dyDescent="0.6">
      <c r="B2" t="s">
        <v>122</v>
      </c>
    </row>
    <row r="3" spans="2:8" x14ac:dyDescent="0.6">
      <c r="B3" t="s">
        <v>123</v>
      </c>
    </row>
    <row r="4" spans="2:8" x14ac:dyDescent="0.6">
      <c r="B4" t="s">
        <v>124</v>
      </c>
    </row>
    <row r="5" spans="2:8" x14ac:dyDescent="0.6">
      <c r="B5" t="s">
        <v>125</v>
      </c>
    </row>
    <row r="7" spans="2:8" x14ac:dyDescent="0.6">
      <c r="B7" s="92" t="s">
        <v>126</v>
      </c>
    </row>
    <row r="8" spans="2:8" x14ac:dyDescent="0.6">
      <c r="B8" s="92" t="s">
        <v>127</v>
      </c>
    </row>
    <row r="10" spans="2:8" x14ac:dyDescent="0.6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6">
      <c r="B11" t="s">
        <v>133</v>
      </c>
    </row>
    <row r="12" spans="2:8" x14ac:dyDescent="0.6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6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6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6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6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6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6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6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6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6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6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6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6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6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6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6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6">
      <c r="B28" t="s">
        <v>149</v>
      </c>
    </row>
    <row r="29" spans="2:8" x14ac:dyDescent="0.6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6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6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6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6">
      <c r="B33" t="s">
        <v>154</v>
      </c>
    </row>
    <row r="34" spans="2:8" x14ac:dyDescent="0.6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6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6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6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6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6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6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6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6">
      <c r="B42" t="s">
        <v>163</v>
      </c>
    </row>
    <row r="43" spans="2:8" x14ac:dyDescent="0.6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6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6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6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6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6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6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6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6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6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6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6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6">
      <c r="B55" t="s">
        <v>176</v>
      </c>
      <c r="C55" t="s">
        <v>177</v>
      </c>
    </row>
    <row r="56" spans="2:8" x14ac:dyDescent="0.6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6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6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6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6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6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6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6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6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6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6">
      <c r="B66" t="s">
        <v>190</v>
      </c>
    </row>
    <row r="67" spans="2:8" x14ac:dyDescent="0.6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6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6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6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6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6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6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6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6">
      <c r="B75" t="s">
        <v>199</v>
      </c>
    </row>
    <row r="76" spans="2:8" x14ac:dyDescent="0.6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6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6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6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6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6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6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6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6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6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6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6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6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6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6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6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6">
      <c r="B92" t="s">
        <v>216</v>
      </c>
    </row>
    <row r="93" spans="2:8" x14ac:dyDescent="0.6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6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6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6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6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6">
      <c r="B98" t="s">
        <v>222</v>
      </c>
    </row>
    <row r="99" spans="2:8" x14ac:dyDescent="0.6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6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6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6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6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6">
      <c r="B106" t="s">
        <v>228</v>
      </c>
    </row>
  </sheetData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3"/>
  <sheetViews>
    <sheetView workbookViewId="0">
      <selection activeCell="D17" sqref="D17:G17"/>
    </sheetView>
  </sheetViews>
  <sheetFormatPr defaultColWidth="8.81640625" defaultRowHeight="13" x14ac:dyDescent="0.6"/>
  <cols>
    <col min="3" max="3" width="34.6796875" customWidth="1"/>
    <col min="4" max="4" width="11.31640625" customWidth="1"/>
  </cols>
  <sheetData>
    <row r="1" spans="2:7" x14ac:dyDescent="0.6">
      <c r="B1" t="s">
        <v>229</v>
      </c>
    </row>
    <row r="2" spans="2:7" x14ac:dyDescent="0.6">
      <c r="B2" t="s">
        <v>230</v>
      </c>
    </row>
    <row r="3" spans="2:7" x14ac:dyDescent="0.6">
      <c r="B3" t="s">
        <v>231</v>
      </c>
    </row>
    <row r="4" spans="2:7" x14ac:dyDescent="0.6">
      <c r="B4" t="s">
        <v>232</v>
      </c>
    </row>
    <row r="5" spans="2:7" x14ac:dyDescent="0.6">
      <c r="B5" t="s">
        <v>233</v>
      </c>
    </row>
    <row r="7" spans="2:7" x14ac:dyDescent="0.6">
      <c r="B7" s="92" t="s">
        <v>126</v>
      </c>
    </row>
    <row r="8" spans="2:7" x14ac:dyDescent="0.6">
      <c r="B8" s="92" t="s">
        <v>127</v>
      </c>
    </row>
    <row r="10" spans="2:7" x14ac:dyDescent="0.6">
      <c r="B10" t="s">
        <v>234</v>
      </c>
    </row>
    <row r="11" spans="2:7" x14ac:dyDescent="0.6">
      <c r="B11" t="s">
        <v>235</v>
      </c>
    </row>
    <row r="13" spans="2:7" x14ac:dyDescent="0.6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6">
      <c r="B14" t="s">
        <v>133</v>
      </c>
    </row>
    <row r="15" spans="2:7" x14ac:dyDescent="0.6">
      <c r="B15">
        <v>1</v>
      </c>
      <c r="C15" t="s">
        <v>27</v>
      </c>
      <c r="D15">
        <v>19.25</v>
      </c>
      <c r="E15" s="91">
        <v>5.2130000000000003E-2</v>
      </c>
      <c r="F15" s="91">
        <v>1.1970000000000001E-5</v>
      </c>
      <c r="G15" s="91">
        <v>-1.132E-8</v>
      </c>
    </row>
    <row r="16" spans="2:7" x14ac:dyDescent="0.6">
      <c r="B16">
        <v>2</v>
      </c>
      <c r="C16" t="s">
        <v>134</v>
      </c>
      <c r="D16">
        <v>5.4089999999999998</v>
      </c>
      <c r="E16" s="91">
        <v>0.17810000000000001</v>
      </c>
      <c r="F16" s="91">
        <v>-6.9380000000000003E-5</v>
      </c>
      <c r="G16" s="91">
        <v>8.713E-9</v>
      </c>
    </row>
    <row r="17" spans="2:7" x14ac:dyDescent="0.6">
      <c r="B17">
        <v>3</v>
      </c>
      <c r="C17" t="s">
        <v>135</v>
      </c>
      <c r="D17">
        <v>-4.2240000000000002</v>
      </c>
      <c r="E17" s="91">
        <v>0.30630000000000002</v>
      </c>
      <c r="F17" s="91">
        <v>-1.5860000000000001E-4</v>
      </c>
      <c r="G17" s="91">
        <v>3.215E-8</v>
      </c>
    </row>
    <row r="18" spans="2:7" x14ac:dyDescent="0.6">
      <c r="B18">
        <v>4</v>
      </c>
      <c r="C18" t="s">
        <v>136</v>
      </c>
      <c r="D18">
        <v>9.4870000000000001</v>
      </c>
      <c r="E18" s="91">
        <v>0.33129999999999998</v>
      </c>
      <c r="F18" s="91">
        <v>-1.108E-4</v>
      </c>
      <c r="G18" s="91">
        <v>-2.822E-9</v>
      </c>
    </row>
    <row r="19" spans="2:7" x14ac:dyDescent="0.6">
      <c r="B19">
        <v>5</v>
      </c>
      <c r="C19" t="s">
        <v>137</v>
      </c>
      <c r="D19">
        <v>-1.39</v>
      </c>
      <c r="E19" s="91">
        <v>0.38469999999999999</v>
      </c>
      <c r="F19" s="91">
        <v>-1.8459999999999999E-4</v>
      </c>
      <c r="G19" s="91">
        <v>2.8950000000000001E-8</v>
      </c>
    </row>
    <row r="20" spans="2:7" x14ac:dyDescent="0.6">
      <c r="B20">
        <v>7</v>
      </c>
      <c r="C20" t="s">
        <v>138</v>
      </c>
      <c r="D20">
        <v>-3.6259999999999999</v>
      </c>
      <c r="E20" s="91">
        <v>0.48730000000000001</v>
      </c>
      <c r="F20" s="91">
        <v>-2.5799999999999998E-4</v>
      </c>
      <c r="G20" s="91">
        <v>5.3050000000000002E-8</v>
      </c>
    </row>
    <row r="21" spans="2:7" x14ac:dyDescent="0.6">
      <c r="B21">
        <v>8</v>
      </c>
      <c r="C21" t="s">
        <v>139</v>
      </c>
      <c r="D21">
        <v>-9.5250000000000004</v>
      </c>
      <c r="E21" s="91">
        <v>0.50660000000000005</v>
      </c>
      <c r="F21" s="91">
        <v>-2.7290000000000002E-4</v>
      </c>
      <c r="G21" s="91">
        <v>5.7229999999999997E-8</v>
      </c>
    </row>
    <row r="22" spans="2:7" x14ac:dyDescent="0.6">
      <c r="B22">
        <v>9</v>
      </c>
      <c r="C22" t="s">
        <v>237</v>
      </c>
      <c r="D22">
        <v>-16.59</v>
      </c>
      <c r="E22" s="91">
        <v>0.55520000000000003</v>
      </c>
      <c r="F22" s="91">
        <v>-3.3060000000000001E-4</v>
      </c>
      <c r="G22" s="91">
        <v>7.6329999999999996E-8</v>
      </c>
    </row>
    <row r="23" spans="2:7" x14ac:dyDescent="0.6">
      <c r="B23">
        <v>11</v>
      </c>
      <c r="C23" t="s">
        <v>141</v>
      </c>
      <c r="D23">
        <v>-4.4130000000000003</v>
      </c>
      <c r="E23" s="91">
        <v>0.52800000000000002</v>
      </c>
      <c r="F23" s="91">
        <v>-3.1189999999999999E-4</v>
      </c>
      <c r="G23" s="91">
        <v>6.4939999999999998E-8</v>
      </c>
    </row>
    <row r="24" spans="2:7" x14ac:dyDescent="0.6">
      <c r="B24">
        <v>17</v>
      </c>
      <c r="C24" t="s">
        <v>142</v>
      </c>
      <c r="D24">
        <v>-5.1459999999999999</v>
      </c>
      <c r="E24" s="91">
        <v>0.67620000000000002</v>
      </c>
      <c r="F24" s="91">
        <v>-3.6509999999999998E-4</v>
      </c>
      <c r="G24" s="91">
        <v>7.6580000000000001E-8</v>
      </c>
    </row>
    <row r="25" spans="2:7" x14ac:dyDescent="0.6">
      <c r="B25">
        <v>27</v>
      </c>
      <c r="C25" t="s">
        <v>143</v>
      </c>
      <c r="D25">
        <v>-6.0960000000000001</v>
      </c>
      <c r="E25" s="91">
        <v>0.7712</v>
      </c>
      <c r="F25" s="91">
        <v>-4.1950000000000001E-4</v>
      </c>
      <c r="G25" s="91">
        <v>8.8549999999999996E-8</v>
      </c>
    </row>
    <row r="26" spans="2:7" x14ac:dyDescent="0.6">
      <c r="B26">
        <v>41</v>
      </c>
      <c r="C26" t="s">
        <v>238</v>
      </c>
      <c r="E26" s="91"/>
      <c r="F26" s="91"/>
      <c r="G26" s="91"/>
    </row>
    <row r="27" spans="2:7" x14ac:dyDescent="0.6">
      <c r="B27">
        <v>46</v>
      </c>
      <c r="C27" t="s">
        <v>144</v>
      </c>
      <c r="D27">
        <v>-8.3740000000000006</v>
      </c>
      <c r="E27" s="91">
        <v>0.87290000000000001</v>
      </c>
      <c r="F27" s="91">
        <v>-4.8230000000000001E-4</v>
      </c>
      <c r="G27" s="91">
        <v>1.031E-7</v>
      </c>
    </row>
    <row r="28" spans="2:7" x14ac:dyDescent="0.6">
      <c r="B28">
        <v>56</v>
      </c>
      <c r="C28" t="s">
        <v>145</v>
      </c>
      <c r="D28">
        <v>-7.9130000000000003</v>
      </c>
      <c r="E28" s="91">
        <v>0.96089999999999998</v>
      </c>
      <c r="F28" s="91">
        <v>-5.2879999999999995E-4</v>
      </c>
      <c r="G28" s="91">
        <v>1.131E-7</v>
      </c>
    </row>
    <row r="29" spans="2:7" x14ac:dyDescent="0.6">
      <c r="B29">
        <v>64</v>
      </c>
      <c r="C29" t="s">
        <v>146</v>
      </c>
      <c r="D29">
        <v>-9.3279999999999994</v>
      </c>
      <c r="E29">
        <v>1.149</v>
      </c>
      <c r="F29" s="91">
        <v>-6.3469999999999998E-4</v>
      </c>
      <c r="G29" s="91">
        <v>1.3589999999999999E-7</v>
      </c>
    </row>
    <row r="30" spans="2:7" x14ac:dyDescent="0.6">
      <c r="B30">
        <v>66</v>
      </c>
      <c r="C30" t="s">
        <v>147</v>
      </c>
      <c r="D30" s="91">
        <v>-10.98</v>
      </c>
      <c r="E30">
        <v>1.3380000000000001</v>
      </c>
      <c r="F30" s="91">
        <v>-7.4229999999999999E-4</v>
      </c>
      <c r="G30" s="91">
        <v>1.5979999999999999E-7</v>
      </c>
    </row>
    <row r="31" spans="2:7" x14ac:dyDescent="0.6">
      <c r="B31">
        <v>68</v>
      </c>
      <c r="C31" t="s">
        <v>148</v>
      </c>
      <c r="D31" s="91">
        <v>-13.02</v>
      </c>
      <c r="E31">
        <v>1.5289999999999999</v>
      </c>
      <c r="F31" s="91">
        <v>-8.5369999999999999E-4</v>
      </c>
      <c r="G31" s="91">
        <v>1.85E-7</v>
      </c>
    </row>
    <row r="32" spans="2:7" x14ac:dyDescent="0.6">
      <c r="B32" t="s">
        <v>149</v>
      </c>
    </row>
    <row r="33" spans="2:7" x14ac:dyDescent="0.6">
      <c r="B33">
        <v>104</v>
      </c>
      <c r="C33" t="s">
        <v>150</v>
      </c>
      <c r="D33" s="91">
        <v>-53.62</v>
      </c>
      <c r="E33" s="91">
        <v>0.54259999999999997</v>
      </c>
      <c r="F33" s="91">
        <v>-3.0309999999999999E-4</v>
      </c>
      <c r="G33" s="91">
        <v>6.4850000000000002E-8</v>
      </c>
    </row>
    <row r="34" spans="2:7" x14ac:dyDescent="0.6">
      <c r="B34">
        <v>105</v>
      </c>
      <c r="C34" t="s">
        <v>151</v>
      </c>
      <c r="D34" s="91">
        <v>-50.11</v>
      </c>
      <c r="E34" s="91">
        <v>0.6381</v>
      </c>
      <c r="F34" s="91">
        <v>-3.6420000000000002E-4</v>
      </c>
      <c r="G34" s="91">
        <v>8.0140000000000002E-8</v>
      </c>
    </row>
    <row r="35" spans="2:7" x14ac:dyDescent="0.6">
      <c r="B35">
        <v>137</v>
      </c>
      <c r="C35" t="s">
        <v>152</v>
      </c>
      <c r="D35" s="91">
        <v>-54.54</v>
      </c>
      <c r="E35" s="91">
        <v>0.61129999999999995</v>
      </c>
      <c r="F35" s="91">
        <v>-2.5230000000000001E-4</v>
      </c>
      <c r="G35" s="91">
        <v>1.321E-8</v>
      </c>
    </row>
    <row r="36" spans="2:7" x14ac:dyDescent="0.6">
      <c r="B36">
        <v>138</v>
      </c>
      <c r="C36" t="s">
        <v>153</v>
      </c>
      <c r="D36" s="91">
        <v>-61.92</v>
      </c>
      <c r="E36" s="91">
        <v>0.78420000000000001</v>
      </c>
      <c r="F36" s="91">
        <v>-4.438E-4</v>
      </c>
      <c r="G36" s="91">
        <v>9.3660000000000006E-8</v>
      </c>
    </row>
    <row r="37" spans="2:7" x14ac:dyDescent="0.6">
      <c r="B37">
        <v>153</v>
      </c>
      <c r="C37" t="s">
        <v>239</v>
      </c>
      <c r="D37" s="91"/>
      <c r="E37" s="91"/>
      <c r="F37" s="91"/>
      <c r="G37" s="91"/>
    </row>
    <row r="38" spans="2:7" x14ac:dyDescent="0.6">
      <c r="B38">
        <v>154</v>
      </c>
      <c r="C38" t="s">
        <v>240</v>
      </c>
      <c r="D38" s="91"/>
      <c r="E38" s="91"/>
      <c r="F38" s="91"/>
      <c r="G38" s="91"/>
    </row>
    <row r="39" spans="2:7" x14ac:dyDescent="0.6">
      <c r="B39" t="s">
        <v>241</v>
      </c>
    </row>
    <row r="40" spans="2:7" x14ac:dyDescent="0.6">
      <c r="B40">
        <v>201</v>
      </c>
      <c r="C40" t="s">
        <v>155</v>
      </c>
      <c r="D40">
        <v>3.806</v>
      </c>
      <c r="E40" s="91">
        <v>0.15659999999999999</v>
      </c>
      <c r="F40" s="91">
        <v>-8.3479999999999994E-5</v>
      </c>
      <c r="G40" s="91">
        <v>1.7550000000000002E-8</v>
      </c>
    </row>
    <row r="41" spans="2:7" x14ac:dyDescent="0.6">
      <c r="B41">
        <v>202</v>
      </c>
      <c r="C41" t="s">
        <v>156</v>
      </c>
      <c r="D41">
        <v>3.71</v>
      </c>
      <c r="E41" s="91">
        <v>0.23449999999999999</v>
      </c>
      <c r="F41" s="91">
        <v>-1.16E-4</v>
      </c>
      <c r="G41" s="91">
        <v>2.2049999999999999E-8</v>
      </c>
    </row>
    <row r="42" spans="2:7" x14ac:dyDescent="0.6">
      <c r="B42">
        <v>204</v>
      </c>
      <c r="C42" t="s">
        <v>157</v>
      </c>
      <c r="D42">
        <v>-2.9940000000000002</v>
      </c>
      <c r="E42" s="91">
        <v>0.35320000000000001</v>
      </c>
      <c r="F42" s="91">
        <v>-1.9900000000000001E-4</v>
      </c>
      <c r="G42" s="91">
        <v>4.4630000000000003E-8</v>
      </c>
    </row>
    <row r="43" spans="2:7" x14ac:dyDescent="0.6">
      <c r="B43">
        <v>205</v>
      </c>
      <c r="C43" t="s">
        <v>242</v>
      </c>
      <c r="E43" s="91"/>
      <c r="F43" s="91"/>
      <c r="G43" s="91"/>
    </row>
    <row r="44" spans="2:7" x14ac:dyDescent="0.6">
      <c r="B44">
        <v>206</v>
      </c>
      <c r="C44" t="s">
        <v>243</v>
      </c>
      <c r="E44" s="91"/>
      <c r="F44" s="91"/>
      <c r="G44" s="91"/>
    </row>
    <row r="45" spans="2:7" x14ac:dyDescent="0.6">
      <c r="B45">
        <v>207</v>
      </c>
      <c r="C45" t="s">
        <v>244</v>
      </c>
      <c r="D45" s="91">
        <v>16.05</v>
      </c>
      <c r="E45" s="91">
        <v>0.28039999999999998</v>
      </c>
      <c r="F45" s="91">
        <v>-1.091E-4</v>
      </c>
      <c r="G45" s="91">
        <v>9.0979999999999998E-9</v>
      </c>
    </row>
    <row r="46" spans="2:7" x14ac:dyDescent="0.6">
      <c r="B46">
        <v>209</v>
      </c>
      <c r="C46" t="s">
        <v>159</v>
      </c>
      <c r="D46" s="91">
        <v>-0.13400000000000001</v>
      </c>
      <c r="E46" s="91">
        <v>0.43290000000000001</v>
      </c>
      <c r="F46" s="91">
        <v>-2.3169999999999999E-4</v>
      </c>
      <c r="G46" s="91">
        <v>4.681E-8</v>
      </c>
    </row>
    <row r="47" spans="2:7" x14ac:dyDescent="0.6">
      <c r="B47">
        <v>216</v>
      </c>
      <c r="C47" t="s">
        <v>245</v>
      </c>
    </row>
    <row r="48" spans="2:7" x14ac:dyDescent="0.6">
      <c r="B48">
        <v>260</v>
      </c>
      <c r="C48" t="s">
        <v>246</v>
      </c>
    </row>
    <row r="49" spans="2:7" x14ac:dyDescent="0.6">
      <c r="B49">
        <v>270</v>
      </c>
      <c r="C49" t="s">
        <v>247</v>
      </c>
    </row>
    <row r="50" spans="2:7" x14ac:dyDescent="0.6">
      <c r="B50">
        <v>303</v>
      </c>
      <c r="C50" t="s">
        <v>161</v>
      </c>
      <c r="D50">
        <v>-1.6870000000000001</v>
      </c>
      <c r="E50" s="91">
        <v>0.34189999999999998</v>
      </c>
      <c r="F50" s="91">
        <v>-2.34E-4</v>
      </c>
      <c r="G50" s="91">
        <v>6.3349999999999995E-8</v>
      </c>
    </row>
    <row r="51" spans="2:7" x14ac:dyDescent="0.6">
      <c r="B51">
        <v>309</v>
      </c>
      <c r="C51" t="s">
        <v>248</v>
      </c>
      <c r="D51">
        <v>-3.4119999999999999</v>
      </c>
      <c r="E51" s="91">
        <v>0.45850000000000002</v>
      </c>
      <c r="F51" s="91">
        <v>-3.3369999999999998E-4</v>
      </c>
      <c r="G51" s="91">
        <v>9.9999999999999995E-8</v>
      </c>
    </row>
    <row r="52" spans="2:7" x14ac:dyDescent="0.6">
      <c r="B52">
        <v>401</v>
      </c>
      <c r="C52" t="s">
        <v>160</v>
      </c>
      <c r="D52" s="91">
        <v>26.82</v>
      </c>
      <c r="E52" s="91">
        <v>7.578E-2</v>
      </c>
      <c r="F52" s="91">
        <v>-5.007E-5</v>
      </c>
      <c r="G52" s="91">
        <v>1.412E-8</v>
      </c>
    </row>
    <row r="53" spans="2:7" x14ac:dyDescent="0.6">
      <c r="B53" t="s">
        <v>249</v>
      </c>
    </row>
    <row r="54" spans="2:7" x14ac:dyDescent="0.6">
      <c r="B54">
        <v>501</v>
      </c>
      <c r="C54" t="s">
        <v>164</v>
      </c>
      <c r="D54" s="91">
        <v>-33.92</v>
      </c>
      <c r="E54" s="91">
        <v>0.47389999999999999</v>
      </c>
      <c r="F54" s="91">
        <v>-3.0170000000000002E-4</v>
      </c>
      <c r="G54" s="91">
        <v>7.1299999999999997E-8</v>
      </c>
    </row>
    <row r="55" spans="2:7" x14ac:dyDescent="0.6">
      <c r="B55">
        <v>502</v>
      </c>
      <c r="C55" t="s">
        <v>165</v>
      </c>
      <c r="D55" s="91">
        <v>-24.35</v>
      </c>
      <c r="E55" s="91">
        <v>0.51249999999999996</v>
      </c>
      <c r="F55" s="91">
        <v>-2.765E-4</v>
      </c>
      <c r="G55" s="91">
        <v>4.9110000000000001E-8</v>
      </c>
    </row>
    <row r="56" spans="2:7" x14ac:dyDescent="0.6">
      <c r="B56">
        <v>504</v>
      </c>
      <c r="C56" t="s">
        <v>166</v>
      </c>
      <c r="D56" s="91">
        <v>-43.1</v>
      </c>
      <c r="E56" s="91">
        <v>0.70720000000000005</v>
      </c>
      <c r="F56" s="91">
        <v>-4.8109999999999998E-4</v>
      </c>
      <c r="G56" s="91">
        <v>1.3010000000000001E-7</v>
      </c>
    </row>
    <row r="57" spans="2:7" x14ac:dyDescent="0.6">
      <c r="B57">
        <v>505</v>
      </c>
      <c r="C57" t="s">
        <v>250</v>
      </c>
      <c r="D57" s="91">
        <v>-15.85</v>
      </c>
      <c r="E57" s="91">
        <v>0.59619999999999995</v>
      </c>
      <c r="F57" s="91">
        <v>-3.4430000000000002E-4</v>
      </c>
      <c r="G57" s="91">
        <v>7.5279999999999996E-8</v>
      </c>
    </row>
    <row r="58" spans="2:7" x14ac:dyDescent="0.6">
      <c r="B58">
        <v>506</v>
      </c>
      <c r="C58" t="s">
        <v>251</v>
      </c>
      <c r="D58" s="91">
        <v>-29.17</v>
      </c>
      <c r="E58" s="91">
        <v>0.62970000000000004</v>
      </c>
      <c r="F58" s="91">
        <v>-3.747E-4</v>
      </c>
      <c r="G58" s="91">
        <v>8.4779999999999996E-8</v>
      </c>
    </row>
    <row r="59" spans="2:7" x14ac:dyDescent="0.6">
      <c r="B59">
        <v>507</v>
      </c>
      <c r="C59" t="s">
        <v>252</v>
      </c>
      <c r="D59">
        <f>-2.509+1</f>
        <v>-1.5089999999999999</v>
      </c>
      <c r="E59" s="91">
        <v>0.60419999999999996</v>
      </c>
      <c r="F59" s="91">
        <v>-3.3740000000000002E-4</v>
      </c>
      <c r="G59" s="91">
        <v>6.8200000000000002E-8</v>
      </c>
    </row>
    <row r="60" spans="2:7" x14ac:dyDescent="0.6">
      <c r="B60">
        <v>510</v>
      </c>
      <c r="C60" t="s">
        <v>253</v>
      </c>
      <c r="D60" s="91">
        <v>-33.936</v>
      </c>
      <c r="E60" s="91">
        <v>0.78420000000000001</v>
      </c>
      <c r="F60" s="91">
        <v>-5.0869999999999995E-4</v>
      </c>
      <c r="G60" s="91">
        <v>1.2910000000000001E-7</v>
      </c>
    </row>
    <row r="61" spans="2:7" x14ac:dyDescent="0.6">
      <c r="B61">
        <v>558</v>
      </c>
      <c r="C61" t="s">
        <v>254</v>
      </c>
      <c r="D61" s="91">
        <v>-97.07</v>
      </c>
      <c r="E61">
        <v>1.1060000000000001</v>
      </c>
      <c r="F61" s="91">
        <v>-8.855E-4</v>
      </c>
      <c r="G61" s="91">
        <v>2.79E-7</v>
      </c>
    </row>
    <row r="62" spans="2:7" x14ac:dyDescent="0.6">
      <c r="B62">
        <v>601</v>
      </c>
      <c r="C62" t="s">
        <v>255</v>
      </c>
    </row>
    <row r="63" spans="2:7" x14ac:dyDescent="0.6">
      <c r="B63">
        <v>701</v>
      </c>
      <c r="C63" t="s">
        <v>173</v>
      </c>
      <c r="D63" s="91">
        <v>-68.8</v>
      </c>
      <c r="E63" s="91">
        <v>0.84989999999999999</v>
      </c>
      <c r="F63" s="91">
        <v>-6.5059999999999998E-4</v>
      </c>
      <c r="G63" s="91">
        <v>1.9810000000000001E-7</v>
      </c>
    </row>
    <row r="64" spans="2:7" x14ac:dyDescent="0.6">
      <c r="B64">
        <v>702</v>
      </c>
      <c r="C64" t="s">
        <v>174</v>
      </c>
      <c r="D64" s="91">
        <v>-64.819999999999993</v>
      </c>
      <c r="E64" s="91">
        <v>0.93869999999999998</v>
      </c>
      <c r="F64" s="91">
        <v>-6.9419999999999996E-4</v>
      </c>
      <c r="G64" s="91">
        <v>2.0160000000000001E-7</v>
      </c>
    </row>
    <row r="65" spans="2:7" x14ac:dyDescent="0.6">
      <c r="B65">
        <v>706</v>
      </c>
      <c r="C65" t="s">
        <v>256</v>
      </c>
    </row>
    <row r="66" spans="2:7" x14ac:dyDescent="0.6">
      <c r="B66">
        <v>803</v>
      </c>
      <c r="C66" t="s">
        <v>257</v>
      </c>
    </row>
    <row r="67" spans="2:7" x14ac:dyDescent="0.6">
      <c r="B67">
        <v>805</v>
      </c>
      <c r="C67" t="s">
        <v>258</v>
      </c>
    </row>
    <row r="68" spans="2:7" x14ac:dyDescent="0.6">
      <c r="B68" t="s">
        <v>259</v>
      </c>
    </row>
    <row r="69" spans="2:7" x14ac:dyDescent="0.6">
      <c r="B69">
        <v>1001</v>
      </c>
      <c r="C69" t="s">
        <v>260</v>
      </c>
    </row>
    <row r="70" spans="2:7" x14ac:dyDescent="0.6">
      <c r="B70">
        <v>1002</v>
      </c>
      <c r="C70" t="s">
        <v>261</v>
      </c>
    </row>
    <row r="71" spans="2:7" x14ac:dyDescent="0.6">
      <c r="B71">
        <v>1052</v>
      </c>
      <c r="C71" t="s">
        <v>262</v>
      </c>
      <c r="D71" s="91">
        <v>10.94</v>
      </c>
      <c r="E71" s="91">
        <v>0.35589999999999999</v>
      </c>
      <c r="F71" s="91">
        <v>-1.9000000000000001E-4</v>
      </c>
      <c r="G71" s="91">
        <v>3.92E-8</v>
      </c>
    </row>
    <row r="72" spans="2:7" x14ac:dyDescent="0.6">
      <c r="B72">
        <v>1051</v>
      </c>
      <c r="C72" t="s">
        <v>223</v>
      </c>
      <c r="D72">
        <v>6.3010000000000002</v>
      </c>
      <c r="E72" s="91">
        <v>0.2606</v>
      </c>
      <c r="F72" s="91">
        <v>-1.2530000000000001E-4</v>
      </c>
      <c r="G72" s="91">
        <v>2.0380000000000001E-8</v>
      </c>
    </row>
    <row r="73" spans="2:7" x14ac:dyDescent="0.6">
      <c r="B73">
        <v>1101</v>
      </c>
      <c r="C73" t="s">
        <v>178</v>
      </c>
      <c r="D73">
        <v>21.15</v>
      </c>
      <c r="E73" s="91">
        <v>7.0919999999999997E-2</v>
      </c>
      <c r="F73" s="91">
        <v>2.5870000000000001E-5</v>
      </c>
      <c r="G73" s="91">
        <v>-2.852E-8</v>
      </c>
    </row>
    <row r="74" spans="2:7" x14ac:dyDescent="0.6">
      <c r="B74">
        <v>1102</v>
      </c>
      <c r="C74" t="s">
        <v>179</v>
      </c>
      <c r="D74">
        <v>9.0139999999999993</v>
      </c>
      <c r="E74" s="91">
        <v>0.21410000000000001</v>
      </c>
      <c r="F74" s="91">
        <v>-8.3900000000000006E-5</v>
      </c>
      <c r="G74" s="91">
        <v>1.3729999999999999E-9</v>
      </c>
    </row>
    <row r="75" spans="2:7" x14ac:dyDescent="0.6">
      <c r="B75">
        <v>1103</v>
      </c>
      <c r="C75" t="s">
        <v>180</v>
      </c>
      <c r="D75">
        <v>2.4700000000000002</v>
      </c>
      <c r="E75" s="91">
        <v>0.33250000000000002</v>
      </c>
      <c r="F75" s="91">
        <v>-1.8550000000000001E-4</v>
      </c>
      <c r="G75" s="91">
        <v>4.2960000000000002E-8</v>
      </c>
    </row>
    <row r="76" spans="2:7" x14ac:dyDescent="0.6">
      <c r="B76">
        <v>1104</v>
      </c>
      <c r="C76" t="s">
        <v>263</v>
      </c>
      <c r="D76" s="91">
        <v>32.43</v>
      </c>
      <c r="E76" s="91">
        <v>0.1885</v>
      </c>
      <c r="F76" s="91">
        <v>6.4060000000000007E-5</v>
      </c>
      <c r="G76" s="91">
        <v>-9.2609999999999993E-8</v>
      </c>
    </row>
    <row r="77" spans="2:7" x14ac:dyDescent="0.6">
      <c r="B77">
        <v>1105</v>
      </c>
      <c r="C77" t="s">
        <v>182</v>
      </c>
      <c r="D77">
        <v>3.266</v>
      </c>
      <c r="E77" s="91">
        <v>0.41799999999999998</v>
      </c>
      <c r="F77" s="91">
        <v>-2.242E-4</v>
      </c>
      <c r="G77" s="91">
        <v>4.6849999999999999E-8</v>
      </c>
    </row>
    <row r="78" spans="2:7" x14ac:dyDescent="0.6">
      <c r="B78">
        <v>1107</v>
      </c>
      <c r="C78" t="s">
        <v>183</v>
      </c>
      <c r="D78">
        <v>-7.7080000000000002</v>
      </c>
      <c r="E78" s="91">
        <v>0.46889999999999998</v>
      </c>
      <c r="F78" s="91">
        <v>-2.8840000000000002E-4</v>
      </c>
      <c r="G78" s="91">
        <v>7.2310000000000004E-8</v>
      </c>
    </row>
    <row r="79" spans="2:7" x14ac:dyDescent="0.6">
      <c r="B79">
        <v>1114</v>
      </c>
      <c r="C79" t="s">
        <v>264</v>
      </c>
      <c r="E79" s="91"/>
      <c r="F79" s="91"/>
      <c r="G79" s="91"/>
    </row>
    <row r="80" spans="2:7" x14ac:dyDescent="0.6">
      <c r="B80">
        <v>1181</v>
      </c>
      <c r="C80" t="s">
        <v>265</v>
      </c>
      <c r="E80" s="91"/>
      <c r="F80" s="91"/>
      <c r="G80" s="91"/>
    </row>
    <row r="81" spans="2:7" x14ac:dyDescent="0.6">
      <c r="B81">
        <v>1201</v>
      </c>
      <c r="C81" t="s">
        <v>266</v>
      </c>
      <c r="E81" s="91"/>
      <c r="F81" s="91"/>
      <c r="G81" s="91"/>
    </row>
    <row r="82" spans="2:7" x14ac:dyDescent="0.6">
      <c r="B82">
        <v>1211</v>
      </c>
      <c r="C82" t="s">
        <v>267</v>
      </c>
      <c r="E82" s="91"/>
      <c r="F82" s="91"/>
      <c r="G82" s="91"/>
    </row>
    <row r="83" spans="2:7" x14ac:dyDescent="0.6">
      <c r="B83">
        <v>1251</v>
      </c>
      <c r="C83" t="s">
        <v>225</v>
      </c>
      <c r="D83">
        <v>4.84</v>
      </c>
      <c r="E83" s="91">
        <v>0.25490000000000002</v>
      </c>
      <c r="F83" s="91">
        <v>-1.7530000000000001E-4</v>
      </c>
      <c r="G83" s="91">
        <v>4.9490000000000002E-8</v>
      </c>
    </row>
    <row r="84" spans="2:7" x14ac:dyDescent="0.6">
      <c r="B84">
        <v>1256</v>
      </c>
      <c r="C84" t="s">
        <v>268</v>
      </c>
      <c r="E84" s="91"/>
      <c r="F84" s="91"/>
      <c r="G84" s="91"/>
    </row>
    <row r="85" spans="2:7" x14ac:dyDescent="0.6">
      <c r="B85">
        <v>1281</v>
      </c>
      <c r="C85" t="s">
        <v>269</v>
      </c>
      <c r="E85" s="91"/>
      <c r="F85" s="91"/>
      <c r="G85" s="91"/>
    </row>
    <row r="86" spans="2:7" x14ac:dyDescent="0.6">
      <c r="B86">
        <v>1289</v>
      </c>
      <c r="C86" t="s">
        <v>270</v>
      </c>
      <c r="E86" s="91"/>
      <c r="F86" s="91"/>
      <c r="G86" s="91"/>
    </row>
    <row r="87" spans="2:7" x14ac:dyDescent="0.6">
      <c r="B87">
        <v>1312</v>
      </c>
      <c r="C87" t="s">
        <v>271</v>
      </c>
      <c r="E87" s="91"/>
      <c r="F87" s="91"/>
      <c r="G87" s="91"/>
    </row>
    <row r="88" spans="2:7" x14ac:dyDescent="0.6">
      <c r="B88">
        <v>1313</v>
      </c>
      <c r="C88" t="s">
        <v>272</v>
      </c>
      <c r="E88" s="91"/>
      <c r="F88" s="91"/>
      <c r="G88" s="91"/>
    </row>
    <row r="89" spans="2:7" x14ac:dyDescent="0.6">
      <c r="B89">
        <v>1381</v>
      </c>
      <c r="C89" t="s">
        <v>273</v>
      </c>
      <c r="E89" s="91"/>
      <c r="F89" s="91"/>
      <c r="G89" s="91"/>
    </row>
    <row r="90" spans="2:7" x14ac:dyDescent="0.6">
      <c r="B90">
        <v>1479</v>
      </c>
      <c r="C90" t="s">
        <v>274</v>
      </c>
      <c r="D90" s="91">
        <v>19.100000000000001</v>
      </c>
      <c r="E90" s="91">
        <v>0.51619999999999999</v>
      </c>
      <c r="F90" s="91">
        <v>-4.1320000000000001E-4</v>
      </c>
      <c r="G90" s="91">
        <v>1.4539999999999999E-7</v>
      </c>
    </row>
    <row r="91" spans="2:7" x14ac:dyDescent="0.6">
      <c r="B91">
        <v>1402</v>
      </c>
      <c r="C91" t="s">
        <v>186</v>
      </c>
      <c r="D91" s="91">
        <v>21.42</v>
      </c>
      <c r="E91" s="91">
        <v>0.33589999999999998</v>
      </c>
      <c r="F91" s="91">
        <v>-1.0349999999999999E-4</v>
      </c>
      <c r="G91" s="91">
        <v>-9.3570000000000007E-9</v>
      </c>
    </row>
    <row r="92" spans="2:7" x14ac:dyDescent="0.6">
      <c r="B92">
        <v>1403</v>
      </c>
      <c r="C92" t="s">
        <v>275</v>
      </c>
      <c r="D92" s="91"/>
      <c r="E92" s="91"/>
      <c r="F92" s="91"/>
      <c r="G92" s="91"/>
    </row>
    <row r="93" spans="2:7" x14ac:dyDescent="0.6">
      <c r="C93" t="s">
        <v>276</v>
      </c>
      <c r="D93">
        <v>-7.5190000000000001</v>
      </c>
      <c r="E93" s="91">
        <v>0.22220000000000001</v>
      </c>
      <c r="F93" s="91">
        <v>-1.2559999999999999E-4</v>
      </c>
      <c r="G93" s="91">
        <v>2.592E-8</v>
      </c>
    </row>
    <row r="94" spans="2:7" x14ac:dyDescent="0.6">
      <c r="B94" t="s">
        <v>190</v>
      </c>
    </row>
    <row r="95" spans="2:7" x14ac:dyDescent="0.6">
      <c r="B95">
        <v>1501</v>
      </c>
      <c r="C95" t="s">
        <v>197</v>
      </c>
      <c r="D95" s="91">
        <v>40.72</v>
      </c>
      <c r="E95" s="91">
        <v>0.2049</v>
      </c>
      <c r="F95" s="91">
        <v>-2.2699999999999999E-4</v>
      </c>
      <c r="G95" s="91">
        <v>8.8430000000000005E-8</v>
      </c>
    </row>
    <row r="96" spans="2:7" x14ac:dyDescent="0.6">
      <c r="B96">
        <v>1502</v>
      </c>
      <c r="C96" t="s">
        <v>277</v>
      </c>
      <c r="D96" s="91">
        <v>13.88</v>
      </c>
      <c r="E96" s="91">
        <v>0.1014</v>
      </c>
      <c r="F96" s="91">
        <v>-3.8890000000000002E-5</v>
      </c>
      <c r="G96" s="91">
        <v>2.5669999999999999E-9</v>
      </c>
    </row>
    <row r="97" spans="2:7" x14ac:dyDescent="0.6">
      <c r="B97">
        <v>1503</v>
      </c>
      <c r="C97" t="s">
        <v>278</v>
      </c>
      <c r="D97" s="91"/>
      <c r="E97" s="91"/>
      <c r="F97" s="91"/>
      <c r="G97" s="91"/>
    </row>
    <row r="98" spans="2:7" x14ac:dyDescent="0.6">
      <c r="B98">
        <v>1511</v>
      </c>
      <c r="C98" t="s">
        <v>279</v>
      </c>
      <c r="D98" s="91"/>
      <c r="E98" s="91"/>
      <c r="F98" s="91"/>
      <c r="G98" s="91"/>
    </row>
    <row r="99" spans="2:7" x14ac:dyDescent="0.6">
      <c r="B99">
        <v>1521</v>
      </c>
      <c r="C99" t="s">
        <v>280</v>
      </c>
      <c r="D99" s="91">
        <v>24</v>
      </c>
      <c r="E99" s="91">
        <v>0.1893</v>
      </c>
      <c r="F99" s="91">
        <v>-1.841E-4</v>
      </c>
      <c r="G99" s="91">
        <v>6.6570000000000006E-8</v>
      </c>
    </row>
    <row r="100" spans="2:7" x14ac:dyDescent="0.6">
      <c r="C100" t="s">
        <v>281</v>
      </c>
      <c r="D100" s="91">
        <v>-33.89</v>
      </c>
      <c r="E100" s="91">
        <v>0.56310000000000004</v>
      </c>
      <c r="F100" s="91">
        <v>-4.5219999999999999E-4</v>
      </c>
      <c r="G100" s="91">
        <v>1.4259999999999999E-7</v>
      </c>
    </row>
    <row r="101" spans="2:7" x14ac:dyDescent="0.6">
      <c r="B101">
        <v>1591</v>
      </c>
      <c r="C101" t="s">
        <v>282</v>
      </c>
      <c r="D101" s="91"/>
      <c r="E101" s="91"/>
      <c r="F101" s="91"/>
      <c r="G101" s="91"/>
    </row>
    <row r="102" spans="2:7" x14ac:dyDescent="0.6">
      <c r="B102">
        <v>1601</v>
      </c>
      <c r="C102" t="s">
        <v>283</v>
      </c>
      <c r="D102" s="91">
        <v>31.6</v>
      </c>
      <c r="E102" s="91">
        <v>0.1782</v>
      </c>
      <c r="F102" s="91">
        <v>-1.5090000000000001E-4</v>
      </c>
      <c r="G102" s="91">
        <v>4.3420000000000001E-8</v>
      </c>
    </row>
    <row r="103" spans="2:7" x14ac:dyDescent="0.6">
      <c r="C103" t="s">
        <v>284</v>
      </c>
      <c r="D103" s="91">
        <v>17.3</v>
      </c>
      <c r="E103" s="91">
        <v>0.1618</v>
      </c>
      <c r="F103" s="91">
        <v>-1.17E-4</v>
      </c>
      <c r="G103" s="91">
        <v>3.058E-8</v>
      </c>
    </row>
    <row r="104" spans="2:7" x14ac:dyDescent="0.6">
      <c r="B104" t="s">
        <v>285</v>
      </c>
      <c r="C104" t="s">
        <v>286</v>
      </c>
      <c r="D104" s="91">
        <v>40.98</v>
      </c>
      <c r="E104" s="91">
        <v>0.1668</v>
      </c>
      <c r="F104" s="91">
        <v>-1.416E-4</v>
      </c>
      <c r="G104" s="91">
        <v>4.1460000000000002E-8</v>
      </c>
    </row>
    <row r="105" spans="2:7" x14ac:dyDescent="0.6">
      <c r="C105" t="s">
        <v>287</v>
      </c>
      <c r="D105" s="91">
        <v>61.14</v>
      </c>
      <c r="E105" s="91">
        <v>0.28739999999999999</v>
      </c>
      <c r="F105" s="91">
        <v>-2.42E-4</v>
      </c>
      <c r="G105" s="91">
        <v>6.9040000000000001E-8</v>
      </c>
    </row>
    <row r="106" spans="2:7" x14ac:dyDescent="0.6">
      <c r="B106" t="s">
        <v>199</v>
      </c>
    </row>
    <row r="107" spans="2:7" x14ac:dyDescent="0.6">
      <c r="B107">
        <v>899</v>
      </c>
      <c r="C107" t="s">
        <v>208</v>
      </c>
      <c r="D107" s="91">
        <v>21.62</v>
      </c>
      <c r="E107" s="91">
        <v>7.281E-2</v>
      </c>
      <c r="F107" s="91">
        <v>-5.7779999999999999E-5</v>
      </c>
      <c r="G107" s="91">
        <v>1.8299999999999998E-8</v>
      </c>
    </row>
    <row r="108" spans="2:7" x14ac:dyDescent="0.6">
      <c r="B108">
        <v>901</v>
      </c>
      <c r="C108" t="s">
        <v>211</v>
      </c>
      <c r="D108" s="91">
        <v>28.11</v>
      </c>
      <c r="E108" s="91">
        <v>-3.6799999999999999E-6</v>
      </c>
      <c r="F108" s="91">
        <v>1.7459999999999999E-5</v>
      </c>
      <c r="G108" s="91">
        <v>-1.0649999999999999E-8</v>
      </c>
    </row>
    <row r="109" spans="2:7" x14ac:dyDescent="0.6">
      <c r="B109">
        <v>902</v>
      </c>
      <c r="C109" t="s">
        <v>288</v>
      </c>
      <c r="D109" s="91">
        <v>27.14</v>
      </c>
      <c r="E109" s="91">
        <v>9.2739999999999993E-3</v>
      </c>
      <c r="F109" s="91">
        <v>-1.381E-5</v>
      </c>
      <c r="G109" s="91">
        <v>7.645E-9</v>
      </c>
    </row>
    <row r="110" spans="2:7" x14ac:dyDescent="0.6">
      <c r="B110">
        <v>905</v>
      </c>
      <c r="C110" t="s">
        <v>213</v>
      </c>
      <c r="D110" s="91">
        <v>31.15</v>
      </c>
      <c r="E110" s="91">
        <v>-1.357E-2</v>
      </c>
      <c r="F110" s="91">
        <v>2.6800000000000001E-5</v>
      </c>
      <c r="G110" s="91">
        <v>-1.1679999999999999E-8</v>
      </c>
    </row>
    <row r="111" spans="2:7" x14ac:dyDescent="0.6">
      <c r="B111">
        <v>908</v>
      </c>
      <c r="C111" t="s">
        <v>214</v>
      </c>
      <c r="D111" s="91">
        <v>30.87</v>
      </c>
      <c r="E111" s="91">
        <v>-1.285E-2</v>
      </c>
      <c r="F111" s="91">
        <v>2.7889999999999999E-5</v>
      </c>
      <c r="G111" s="91">
        <v>-1.2720000000000001E-8</v>
      </c>
    </row>
    <row r="112" spans="2:7" x14ac:dyDescent="0.6">
      <c r="B112">
        <v>909</v>
      </c>
      <c r="C112" t="s">
        <v>215</v>
      </c>
      <c r="D112" s="91">
        <v>19.8</v>
      </c>
      <c r="E112" s="91">
        <v>7.3440000000000005E-2</v>
      </c>
      <c r="F112" s="91">
        <v>-5.6020000000000002E-5</v>
      </c>
      <c r="G112" s="91">
        <v>1.7150000000000001E-8</v>
      </c>
    </row>
    <row r="113" spans="2:7" x14ac:dyDescent="0.6">
      <c r="B113">
        <v>910</v>
      </c>
      <c r="C113" t="s">
        <v>209</v>
      </c>
      <c r="D113" s="91">
        <v>23.85</v>
      </c>
      <c r="E113" s="91">
        <v>6.6989999999999994E-2</v>
      </c>
      <c r="F113" s="91">
        <v>-4.9610000000000001E-5</v>
      </c>
      <c r="G113" s="91">
        <v>1.328E-8</v>
      </c>
    </row>
    <row r="114" spans="2:7" x14ac:dyDescent="0.6">
      <c r="B114">
        <v>911</v>
      </c>
      <c r="C114" t="s">
        <v>210</v>
      </c>
      <c r="D114" s="91">
        <v>19.21</v>
      </c>
      <c r="E114" s="91">
        <v>0.13739999999999999</v>
      </c>
      <c r="F114" s="91">
        <v>-1.176E-4</v>
      </c>
      <c r="G114" s="91">
        <v>3.7E-8</v>
      </c>
    </row>
    <row r="115" spans="2:7" x14ac:dyDescent="0.6">
      <c r="B115">
        <v>912</v>
      </c>
      <c r="C115" t="s">
        <v>207</v>
      </c>
      <c r="D115" s="91">
        <v>29.35</v>
      </c>
      <c r="E115" s="91">
        <v>-9.3780000000000003E-4</v>
      </c>
      <c r="F115" s="91">
        <v>9.747E-6</v>
      </c>
      <c r="G115" s="91">
        <v>-4.1869999999999997E-9</v>
      </c>
    </row>
    <row r="116" spans="2:7" x14ac:dyDescent="0.6">
      <c r="B116">
        <v>913</v>
      </c>
      <c r="C116" t="s">
        <v>203</v>
      </c>
      <c r="D116" s="91">
        <v>20.8</v>
      </c>
    </row>
    <row r="117" spans="2:7" x14ac:dyDescent="0.6">
      <c r="B117">
        <v>914</v>
      </c>
      <c r="C117" t="s">
        <v>200</v>
      </c>
      <c r="D117" s="91">
        <v>20.8</v>
      </c>
    </row>
    <row r="118" spans="2:7" x14ac:dyDescent="0.6">
      <c r="B118">
        <v>917</v>
      </c>
      <c r="C118" t="s">
        <v>289</v>
      </c>
      <c r="D118" s="91"/>
      <c r="E118" s="91"/>
      <c r="F118" s="91"/>
      <c r="G118" s="91"/>
    </row>
    <row r="119" spans="2:7" x14ac:dyDescent="0.6">
      <c r="B119">
        <v>918</v>
      </c>
      <c r="C119" t="s">
        <v>202</v>
      </c>
      <c r="D119" s="91">
        <v>26.93</v>
      </c>
      <c r="E119" s="91">
        <v>3.3840000000000002E-2</v>
      </c>
      <c r="F119" s="91">
        <v>-3.8689999999999997E-5</v>
      </c>
      <c r="G119" s="91">
        <v>1.5469999999999999E-8</v>
      </c>
    </row>
    <row r="120" spans="2:7" x14ac:dyDescent="0.6">
      <c r="B120">
        <v>919</v>
      </c>
      <c r="C120" t="s">
        <v>205</v>
      </c>
      <c r="D120" s="91">
        <v>20.8</v>
      </c>
    </row>
    <row r="121" spans="2:7" x14ac:dyDescent="0.6">
      <c r="B121">
        <v>920</v>
      </c>
      <c r="C121" t="s">
        <v>204</v>
      </c>
      <c r="D121" s="91">
        <v>20.8</v>
      </c>
    </row>
    <row r="122" spans="2:7" x14ac:dyDescent="0.6">
      <c r="B122">
        <v>922</v>
      </c>
      <c r="C122" t="s">
        <v>201</v>
      </c>
      <c r="D122" s="91">
        <v>33.86</v>
      </c>
      <c r="E122" s="91">
        <v>1.125E-2</v>
      </c>
      <c r="F122" s="91">
        <v>-1.1919999999999999E-5</v>
      </c>
      <c r="G122" s="91">
        <v>4.5340000000000003E-9</v>
      </c>
    </row>
    <row r="123" spans="2:7" x14ac:dyDescent="0.6">
      <c r="B123">
        <v>959</v>
      </c>
      <c r="C123" t="s">
        <v>206</v>
      </c>
      <c r="D123" s="91">
        <v>20.8</v>
      </c>
    </row>
    <row r="124" spans="2:7" x14ac:dyDescent="0.6">
      <c r="B124" t="s">
        <v>290</v>
      </c>
    </row>
    <row r="125" spans="2:7" x14ac:dyDescent="0.6">
      <c r="B125">
        <v>1904</v>
      </c>
      <c r="C125" t="s">
        <v>220</v>
      </c>
      <c r="D125" s="91">
        <v>30.67</v>
      </c>
      <c r="E125" s="91">
        <v>-7.2009999999999999E-3</v>
      </c>
      <c r="F125" s="91">
        <v>1.2459999999999999E-5</v>
      </c>
      <c r="G125" s="91">
        <v>-3.8980000000000004E-9</v>
      </c>
    </row>
    <row r="126" spans="2:7" x14ac:dyDescent="0.6">
      <c r="B126">
        <v>1922</v>
      </c>
      <c r="C126" t="s">
        <v>217</v>
      </c>
      <c r="D126" s="91">
        <v>31.94</v>
      </c>
      <c r="E126" s="91">
        <v>1.436E-3</v>
      </c>
      <c r="F126" s="91">
        <v>2.4320000000000001E-5</v>
      </c>
      <c r="G126" s="91">
        <v>-1.1760000000000001E-8</v>
      </c>
    </row>
    <row r="127" spans="2:7" x14ac:dyDescent="0.6">
      <c r="B127">
        <v>1938</v>
      </c>
      <c r="C127" t="s">
        <v>218</v>
      </c>
      <c r="D127" s="91">
        <v>27.44</v>
      </c>
      <c r="E127" s="91">
        <v>8.1269999999999995E-2</v>
      </c>
      <c r="F127" s="91">
        <v>-7.6660000000000001E-5</v>
      </c>
      <c r="G127" s="91">
        <v>2.6729999999999998E-8</v>
      </c>
    </row>
    <row r="128" spans="2:7" x14ac:dyDescent="0.6">
      <c r="C128" t="s">
        <v>219</v>
      </c>
      <c r="D128">
        <v>9.7680000000000007</v>
      </c>
      <c r="E128" s="91">
        <v>0.1895</v>
      </c>
      <c r="F128" s="91">
        <v>-1.6569999999999999E-4</v>
      </c>
      <c r="G128" s="91">
        <v>6.025E-8</v>
      </c>
    </row>
    <row r="129" spans="2:7" x14ac:dyDescent="0.6">
      <c r="C129" t="s">
        <v>221</v>
      </c>
      <c r="D129" s="91">
        <v>21.86</v>
      </c>
      <c r="E129" s="91">
        <v>6.062E-2</v>
      </c>
      <c r="F129" s="91">
        <v>-4.9610000000000001E-5</v>
      </c>
      <c r="G129" s="91">
        <v>1.815E-8</v>
      </c>
    </row>
    <row r="130" spans="2:7" x14ac:dyDescent="0.6">
      <c r="B130" t="s">
        <v>222</v>
      </c>
    </row>
    <row r="131" spans="2:7" x14ac:dyDescent="0.6">
      <c r="B131">
        <v>1701</v>
      </c>
      <c r="C131" t="s">
        <v>291</v>
      </c>
    </row>
    <row r="132" spans="2:7" x14ac:dyDescent="0.6">
      <c r="B132">
        <v>1704</v>
      </c>
      <c r="C132" t="s">
        <v>292</v>
      </c>
    </row>
    <row r="133" spans="2:7" x14ac:dyDescent="0.6">
      <c r="B133">
        <v>1772</v>
      </c>
      <c r="C133" t="s">
        <v>293</v>
      </c>
      <c r="D133" s="91">
        <v>20.48</v>
      </c>
      <c r="E133" s="91">
        <v>0.1196</v>
      </c>
      <c r="F133" s="91">
        <v>-4.4919999999999997E-5</v>
      </c>
      <c r="G133" s="91">
        <v>3.2029999999999998E-9</v>
      </c>
    </row>
    <row r="134" spans="2:7" x14ac:dyDescent="0.6">
      <c r="B134">
        <v>1801</v>
      </c>
      <c r="C134" t="s">
        <v>294</v>
      </c>
      <c r="D134" s="91"/>
      <c r="E134" s="91"/>
      <c r="F134" s="91"/>
      <c r="G134" s="91"/>
    </row>
    <row r="135" spans="2:7" x14ac:dyDescent="0.6">
      <c r="B135">
        <v>1802</v>
      </c>
      <c r="C135" t="s">
        <v>295</v>
      </c>
      <c r="D135" s="91"/>
      <c r="E135" s="91"/>
      <c r="F135" s="91"/>
      <c r="G135" s="91"/>
    </row>
    <row r="136" spans="2:7" x14ac:dyDescent="0.6">
      <c r="B136">
        <v>1820</v>
      </c>
      <c r="C136" t="s">
        <v>296</v>
      </c>
      <c r="D136" s="91"/>
      <c r="E136" s="91"/>
      <c r="F136" s="91"/>
      <c r="G136" s="91"/>
    </row>
    <row r="137" spans="2:7" x14ac:dyDescent="0.6">
      <c r="B137">
        <v>1877</v>
      </c>
      <c r="C137" t="s">
        <v>297</v>
      </c>
      <c r="D137" s="91"/>
      <c r="E137" s="91"/>
      <c r="F137" s="91"/>
      <c r="G137" s="91"/>
    </row>
    <row r="138" spans="2:7" x14ac:dyDescent="0.6">
      <c r="B138">
        <v>1901</v>
      </c>
      <c r="C138" t="s">
        <v>298</v>
      </c>
      <c r="D138" s="91"/>
      <c r="E138" s="91"/>
      <c r="F138" s="91"/>
      <c r="G138" s="91"/>
    </row>
    <row r="139" spans="2:7" x14ac:dyDescent="0.6">
      <c r="B139">
        <v>1902</v>
      </c>
      <c r="C139" t="s">
        <v>299</v>
      </c>
      <c r="D139" s="91"/>
      <c r="E139" s="91"/>
      <c r="F139" s="91"/>
      <c r="G139" s="91"/>
    </row>
    <row r="140" spans="2:7" x14ac:dyDescent="0.6">
      <c r="B140">
        <v>1903</v>
      </c>
      <c r="C140" t="s">
        <v>300</v>
      </c>
      <c r="D140" s="91"/>
      <c r="E140" s="91"/>
      <c r="F140" s="91"/>
      <c r="G140" s="91"/>
    </row>
    <row r="141" spans="2:7" x14ac:dyDescent="0.6">
      <c r="B141">
        <v>1911</v>
      </c>
      <c r="C141" t="s">
        <v>301</v>
      </c>
      <c r="D141" s="91">
        <v>27.31</v>
      </c>
      <c r="E141" s="91">
        <v>2.383E-2</v>
      </c>
      <c r="F141" s="91">
        <v>1.7070000000000001E-5</v>
      </c>
      <c r="G141" s="91">
        <v>-1.185E-8</v>
      </c>
    </row>
    <row r="142" spans="2:7" x14ac:dyDescent="0.6">
      <c r="B142">
        <v>1912</v>
      </c>
      <c r="C142" t="s">
        <v>302</v>
      </c>
    </row>
    <row r="143" spans="2:7" x14ac:dyDescent="0.6">
      <c r="B143">
        <v>1921</v>
      </c>
      <c r="C143" t="s">
        <v>303</v>
      </c>
      <c r="D143">
        <v>32.24</v>
      </c>
      <c r="E143" s="91">
        <v>1.9239999999999999E-3</v>
      </c>
      <c r="F143" s="91">
        <v>1.0550000000000001E-5</v>
      </c>
      <c r="G143" s="91">
        <v>-3.596E-9</v>
      </c>
    </row>
  </sheetData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C6"/>
  <sheetViews>
    <sheetView workbookViewId="0">
      <selection activeCell="C6" sqref="C6"/>
    </sheetView>
  </sheetViews>
  <sheetFormatPr defaultColWidth="8.81640625" defaultRowHeight="13" x14ac:dyDescent="0.6"/>
  <sheetData>
    <row r="6" spans="2:3" x14ac:dyDescent="0.6">
      <c r="B6" s="94">
        <v>41322</v>
      </c>
      <c r="C6" s="93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55</vt:i4>
      </vt:variant>
    </vt:vector>
  </HeadingPairs>
  <TitlesOfParts>
    <vt:vector size="62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Cap_Omega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Joshua Whitehead</cp:lastModifiedBy>
  <dcterms:created xsi:type="dcterms:W3CDTF">2011-01-25T03:35:55Z</dcterms:created>
  <dcterms:modified xsi:type="dcterms:W3CDTF">2021-12-15T17:02:26Z</dcterms:modified>
</cp:coreProperties>
</file>