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chemRxnEng\HW6\"/>
    </mc:Choice>
  </mc:AlternateContent>
  <xr:revisionPtr revIDLastSave="0" documentId="13_ncr:1_{77BDA376-7033-4B72-BA7C-4543E02D8B8F}" xr6:coauthVersionLast="47" xr6:coauthVersionMax="47" xr10:uidLastSave="{00000000-0000-0000-0000-000000000000}"/>
  <bookViews>
    <workbookView xWindow="-90" yWindow="-90" windowWidth="19380" windowHeight="10980" activeTab="1" xr2:uid="{12C8C89A-6569-4E35-93ED-5830B07385B2}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Sheet2!$G$2</definedName>
    <definedName name="solver_adj" localSheetId="2" hidden="1">Sheet3!$F$7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Sheet2!$F$9</definedName>
    <definedName name="solver_opt" localSheetId="2" hidden="1">Sheet3!$A$16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3</definedName>
    <definedName name="solver_typ" localSheetId="2" hidden="1">3</definedName>
    <definedName name="solver_val" localSheetId="1" hidden="1">0.4</definedName>
    <definedName name="solver_val" localSheetId="2" hidden="1">353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F6" i="2"/>
  <c r="A16" i="3"/>
  <c r="C9" i="3"/>
  <c r="C8" i="3"/>
  <c r="C7" i="3"/>
  <c r="C16" i="3"/>
  <c r="D7" i="3"/>
  <c r="I2" i="3"/>
  <c r="D2" i="3"/>
  <c r="A2" i="3"/>
  <c r="A7" i="3"/>
  <c r="L22" i="1"/>
  <c r="L23" i="1"/>
  <c r="I18" i="1"/>
  <c r="K17" i="1"/>
  <c r="I17" i="1"/>
  <c r="D3" i="1"/>
  <c r="D4" i="1"/>
  <c r="D2" i="1"/>
  <c r="H2" i="1"/>
  <c r="A21" i="1"/>
  <c r="C21" i="1"/>
  <c r="H4" i="1"/>
  <c r="H3" i="1"/>
  <c r="D10" i="1"/>
  <c r="E10" i="1" s="1"/>
  <c r="D11" i="1"/>
  <c r="D12" i="1"/>
  <c r="I10" i="1"/>
  <c r="I11" i="1" s="1"/>
  <c r="H10" i="1"/>
  <c r="E11" i="1" s="1"/>
  <c r="H9" i="1"/>
  <c r="D6" i="1"/>
  <c r="E6" i="1"/>
  <c r="K2" i="1"/>
  <c r="C2" i="1"/>
  <c r="F2" i="2" l="1"/>
  <c r="E2" i="2" s="1"/>
  <c r="F2" i="3"/>
  <c r="L12" i="1"/>
  <c r="M11" i="1" s="1"/>
  <c r="F10" i="1"/>
  <c r="D14" i="1"/>
  <c r="D17" i="1"/>
  <c r="F12" i="1"/>
  <c r="E12" i="1"/>
  <c r="E14" i="1" s="1"/>
  <c r="F11" i="1"/>
  <c r="F14" i="1" l="1"/>
</calcChain>
</file>

<file path=xl/sharedStrings.xml><?xml version="1.0" encoding="utf-8"?>
<sst xmlns="http://schemas.openxmlformats.org/spreadsheetml/2006/main" count="41" uniqueCount="30">
  <si>
    <t>xa</t>
  </si>
  <si>
    <t>cp</t>
  </si>
  <si>
    <t>dhr</t>
  </si>
  <si>
    <t>c</t>
  </si>
  <si>
    <t>n</t>
  </si>
  <si>
    <t>dcp</t>
  </si>
  <si>
    <t>vo</t>
  </si>
  <si>
    <t>V</t>
  </si>
  <si>
    <t>cA0</t>
  </si>
  <si>
    <t>thet</t>
  </si>
  <si>
    <t>conc</t>
  </si>
  <si>
    <t>vj</t>
  </si>
  <si>
    <t>eps</t>
  </si>
  <si>
    <t>t0</t>
  </si>
  <si>
    <t>t</t>
  </si>
  <si>
    <t>FA0</t>
  </si>
  <si>
    <t>dhr need</t>
  </si>
  <si>
    <t>F</t>
  </si>
  <si>
    <t>cpdt</t>
  </si>
  <si>
    <t>x</t>
  </si>
  <si>
    <t>UA</t>
  </si>
  <si>
    <t>T</t>
  </si>
  <si>
    <t>Ta</t>
  </si>
  <si>
    <t>dHR</t>
  </si>
  <si>
    <t>Q</t>
  </si>
  <si>
    <t>fa0</t>
  </si>
  <si>
    <t>tr</t>
  </si>
  <si>
    <t>k</t>
  </si>
  <si>
    <t>ra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</si>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</sst>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8FBB-8F7B-469A-AC08-2042BD127B91}">
  <dimension ref="A1:M23"/>
  <sheetViews>
    <sheetView topLeftCell="A2" workbookViewId="0">
      <selection activeCell="L22" sqref="L22"/>
    </sheetView>
  </sheetViews>
  <sheetFormatPr defaultRowHeight="14.75" x14ac:dyDescent="0.75"/>
  <sheetData>
    <row r="1" spans="1:13" x14ac:dyDescent="0.75">
      <c r="A1" t="s">
        <v>6</v>
      </c>
      <c r="B1" t="s">
        <v>7</v>
      </c>
      <c r="C1" t="s">
        <v>15</v>
      </c>
      <c r="D1" t="s">
        <v>17</v>
      </c>
      <c r="E1" t="s">
        <v>0</v>
      </c>
      <c r="F1" t="s">
        <v>8</v>
      </c>
      <c r="G1" t="s">
        <v>1</v>
      </c>
      <c r="H1" t="s">
        <v>10</v>
      </c>
      <c r="I1" t="s">
        <v>11</v>
      </c>
      <c r="J1" t="s">
        <v>12</v>
      </c>
      <c r="K1" t="s">
        <v>9</v>
      </c>
      <c r="L1" t="s">
        <v>13</v>
      </c>
      <c r="M1" t="s">
        <v>14</v>
      </c>
    </row>
    <row r="2" spans="1:13" x14ac:dyDescent="0.75">
      <c r="A2">
        <v>0.5</v>
      </c>
      <c r="B2">
        <v>1</v>
      </c>
      <c r="C2">
        <f>F2*A2</f>
        <v>500</v>
      </c>
      <c r="D2">
        <f>H2*A$2</f>
        <v>257.14285714285717</v>
      </c>
      <c r="E2">
        <v>0.4</v>
      </c>
      <c r="F2">
        <v>1000</v>
      </c>
      <c r="G2">
        <v>25</v>
      </c>
      <c r="H2">
        <f>F$2*(K2-I2/I$2*E$2)/(1+J$2*E$2)*L$2/M$2</f>
        <v>514.28571428571433</v>
      </c>
      <c r="I2">
        <v>-1</v>
      </c>
      <c r="J2">
        <v>0</v>
      </c>
      <c r="K2">
        <f>1</f>
        <v>1</v>
      </c>
      <c r="L2">
        <v>300</v>
      </c>
      <c r="M2">
        <v>350</v>
      </c>
    </row>
    <row r="3" spans="1:13" x14ac:dyDescent="0.75">
      <c r="C3">
        <v>500</v>
      </c>
      <c r="D3">
        <f t="shared" ref="D3:D4" si="0">H3*A$2</f>
        <v>257.14285714285717</v>
      </c>
      <c r="G3">
        <v>35</v>
      </c>
      <c r="H3">
        <f>F$2*(K3-I3/I$2*E$2)/(1+J$2*E$2)*L$2/M$2</f>
        <v>514.28571428571433</v>
      </c>
      <c r="I3">
        <v>-1</v>
      </c>
      <c r="K3">
        <v>1</v>
      </c>
    </row>
    <row r="4" spans="1:13" x14ac:dyDescent="0.75">
      <c r="D4">
        <f t="shared" si="0"/>
        <v>171.42857142857142</v>
      </c>
      <c r="G4">
        <v>60</v>
      </c>
      <c r="H4">
        <f>F$2*(K4-I4/I$2*E$2)/(1+J$2*E$2)*L$2/M$2</f>
        <v>342.85714285714283</v>
      </c>
      <c r="I4">
        <v>1</v>
      </c>
      <c r="K4">
        <v>0</v>
      </c>
    </row>
    <row r="5" spans="1:13" x14ac:dyDescent="0.75">
      <c r="E5" t="s">
        <v>16</v>
      </c>
    </row>
    <row r="6" spans="1:13" x14ac:dyDescent="0.75">
      <c r="D6">
        <f>C2*E2</f>
        <v>200</v>
      </c>
      <c r="E6">
        <f>750000/D6</f>
        <v>3750</v>
      </c>
    </row>
    <row r="9" spans="1:13" x14ac:dyDescent="0.75">
      <c r="D9" t="s">
        <v>18</v>
      </c>
      <c r="H9">
        <f>H2*A$2</f>
        <v>257.14285714285717</v>
      </c>
      <c r="I9">
        <v>0.5</v>
      </c>
    </row>
    <row r="10" spans="1:13" x14ac:dyDescent="0.75">
      <c r="D10">
        <f>G2*(L$2-M$2)</f>
        <v>-1250</v>
      </c>
      <c r="E10">
        <f>D10*H9</f>
        <v>-321428.57142857148</v>
      </c>
      <c r="F10">
        <f>D10*I9</f>
        <v>-625</v>
      </c>
      <c r="H10">
        <f>H3*A$2</f>
        <v>257.14285714285717</v>
      </c>
      <c r="I10">
        <f>I9</f>
        <v>0.5</v>
      </c>
    </row>
    <row r="11" spans="1:13" x14ac:dyDescent="0.75">
      <c r="D11">
        <f t="shared" ref="D11:D12" si="1">G3*(L$2-M$2)</f>
        <v>-1750</v>
      </c>
      <c r="E11">
        <f t="shared" ref="E11:F12" si="2">D11*H10</f>
        <v>-450000.00000000006</v>
      </c>
      <c r="F11">
        <f t="shared" ref="F11:F12" si="3">D11*I10</f>
        <v>-875</v>
      </c>
      <c r="H11">
        <v>0</v>
      </c>
      <c r="I11">
        <f>1-(I9+I10)</f>
        <v>0</v>
      </c>
      <c r="L11" t="s">
        <v>4</v>
      </c>
      <c r="M11">
        <f>AVERAGE(G2:G4)*L12*50</f>
        <v>1371428.5714285716</v>
      </c>
    </row>
    <row r="12" spans="1:13" x14ac:dyDescent="0.75">
      <c r="D12">
        <f t="shared" si="1"/>
        <v>-3000</v>
      </c>
      <c r="E12">
        <f>D12*H11</f>
        <v>0</v>
      </c>
      <c r="F12">
        <f t="shared" si="3"/>
        <v>0</v>
      </c>
      <c r="L12">
        <f>SUM(H2:H4)*A2</f>
        <v>685.71428571428578</v>
      </c>
    </row>
    <row r="14" spans="1:13" x14ac:dyDescent="0.75">
      <c r="D14">
        <f>SUM(D10:D12)</f>
        <v>-6000</v>
      </c>
      <c r="E14">
        <f>SUM(E10:E12)</f>
        <v>-771428.57142857159</v>
      </c>
      <c r="F14">
        <f>SUM(F10:F12)</f>
        <v>-1500</v>
      </c>
    </row>
    <row r="17" spans="1:12" x14ac:dyDescent="0.75">
      <c r="D17">
        <f>D12-D11-D10</f>
        <v>0</v>
      </c>
      <c r="I17">
        <f>H2*E$2*G2*50</f>
        <v>257142.85714285719</v>
      </c>
      <c r="K17">
        <f>I19-I18-I17</f>
        <v>-617142.85714285728</v>
      </c>
    </row>
    <row r="18" spans="1:12" x14ac:dyDescent="0.75">
      <c r="I18">
        <f t="shared" ref="I18:I19" si="4">H3*E$2*G3*50</f>
        <v>360000.00000000006</v>
      </c>
    </row>
    <row r="19" spans="1:12" x14ac:dyDescent="0.75">
      <c r="I19">
        <v>0</v>
      </c>
    </row>
    <row r="20" spans="1:12" x14ac:dyDescent="0.75">
      <c r="A20" t="s">
        <v>19</v>
      </c>
    </row>
    <row r="21" spans="1:12" x14ac:dyDescent="0.75">
      <c r="A21">
        <f>(K2*G2+K3*G3)*(M2-L2)/C21/300</f>
        <v>-0.16666666666666666</v>
      </c>
      <c r="C21">
        <f>-(G2+G3)</f>
        <v>-60</v>
      </c>
    </row>
    <row r="22" spans="1:12" x14ac:dyDescent="0.75">
      <c r="L22">
        <f>30*50/0.4</f>
        <v>3750</v>
      </c>
    </row>
    <row r="23" spans="1:12" x14ac:dyDescent="0.75">
      <c r="L23">
        <f>D6*L22</f>
        <v>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940E-F7BE-436B-A00C-B597CC07A635}">
  <dimension ref="A1:K9"/>
  <sheetViews>
    <sheetView tabSelected="1" workbookViewId="0">
      <selection activeCell="G2" sqref="G2"/>
    </sheetView>
  </sheetViews>
  <sheetFormatPr defaultRowHeight="14.75" x14ac:dyDescent="0.75"/>
  <cols>
    <col min="6" max="6" width="12.2265625" bestFit="1" customWidth="1"/>
  </cols>
  <sheetData>
    <row r="1" spans="1:11" x14ac:dyDescent="0.75">
      <c r="A1" t="s">
        <v>1</v>
      </c>
      <c r="B1" t="s">
        <v>20</v>
      </c>
      <c r="C1" t="s">
        <v>22</v>
      </c>
      <c r="D1" t="s">
        <v>15</v>
      </c>
      <c r="E1" t="s">
        <v>28</v>
      </c>
      <c r="F1" t="s">
        <v>19</v>
      </c>
      <c r="G1" t="s">
        <v>23</v>
      </c>
      <c r="H1" t="s">
        <v>24</v>
      </c>
      <c r="I1" t="s">
        <v>7</v>
      </c>
      <c r="J1" t="s">
        <v>21</v>
      </c>
      <c r="K1" t="s">
        <v>29</v>
      </c>
    </row>
    <row r="2" spans="1:11" x14ac:dyDescent="0.75">
      <c r="A2">
        <v>25</v>
      </c>
      <c r="B2">
        <v>4</v>
      </c>
      <c r="C2">
        <v>300</v>
      </c>
      <c r="D2">
        <v>350</v>
      </c>
      <c r="E2">
        <f>D2*F2/I2</f>
        <v>-735139.31993211899</v>
      </c>
      <c r="F2">
        <f>(B2/D2*(C2-J2)-(A2+A3)*(J2-K2))/G2</f>
        <v>-2100.3980569489113</v>
      </c>
      <c r="G2">
        <v>1.4285727501243886</v>
      </c>
      <c r="I2">
        <v>1</v>
      </c>
      <c r="J2">
        <v>350</v>
      </c>
      <c r="K2">
        <v>300</v>
      </c>
    </row>
    <row r="3" spans="1:11" x14ac:dyDescent="0.75">
      <c r="A3">
        <v>35</v>
      </c>
    </row>
    <row r="4" spans="1:11" x14ac:dyDescent="0.75">
      <c r="A4">
        <v>60</v>
      </c>
    </row>
    <row r="6" spans="1:11" x14ac:dyDescent="0.75">
      <c r="F6">
        <f>750000/4</f>
        <v>187500</v>
      </c>
    </row>
    <row r="9" spans="1:11" x14ac:dyDescent="0.75">
      <c r="F9">
        <f>50*4/D2/G2</f>
        <v>0.39999962996551347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44F4-1C72-4A74-9F86-698B7D1ECD8F}">
  <dimension ref="A1:I16"/>
  <sheetViews>
    <sheetView workbookViewId="0">
      <selection activeCell="F8" sqref="F8"/>
    </sheetView>
  </sheetViews>
  <sheetFormatPr defaultRowHeight="14.75" x14ac:dyDescent="0.75"/>
  <sheetData>
    <row r="1" spans="1:9" x14ac:dyDescent="0.75">
      <c r="A1" t="s">
        <v>27</v>
      </c>
      <c r="B1" t="s">
        <v>21</v>
      </c>
      <c r="C1" t="s">
        <v>19</v>
      </c>
      <c r="I1" t="s">
        <v>3</v>
      </c>
    </row>
    <row r="2" spans="1:9" x14ac:dyDescent="0.75">
      <c r="A2">
        <f>13566*EXP(-8/0.001986/B2)</f>
        <v>28.429590394250152</v>
      </c>
      <c r="B2">
        <v>653.09148704315237</v>
      </c>
      <c r="C2">
        <v>0.9</v>
      </c>
      <c r="D2">
        <f>10/6</f>
        <v>1.6666666666666667</v>
      </c>
      <c r="F2">
        <f>C2/I2^2/A2</f>
        <v>1.6669974430526249</v>
      </c>
      <c r="I2">
        <f>3*(1-C2)*300/B2</f>
        <v>0.13780611412877491</v>
      </c>
    </row>
    <row r="6" spans="1:9" x14ac:dyDescent="0.75">
      <c r="A6" t="s">
        <v>25</v>
      </c>
      <c r="B6" t="s">
        <v>9</v>
      </c>
      <c r="C6" t="s">
        <v>1</v>
      </c>
      <c r="D6" t="s">
        <v>14</v>
      </c>
      <c r="E6" t="s">
        <v>13</v>
      </c>
      <c r="F6" t="s">
        <v>19</v>
      </c>
      <c r="G6" t="s">
        <v>2</v>
      </c>
      <c r="H6" t="s">
        <v>5</v>
      </c>
      <c r="I6" t="s">
        <v>26</v>
      </c>
    </row>
    <row r="7" spans="1:9" x14ac:dyDescent="0.75">
      <c r="A7">
        <f>6</f>
        <v>6</v>
      </c>
      <c r="B7">
        <v>1</v>
      </c>
      <c r="C7">
        <f>10/1000</f>
        <v>0.01</v>
      </c>
      <c r="D7">
        <f>B2</f>
        <v>653.09148704315237</v>
      </c>
      <c r="E7">
        <v>300</v>
      </c>
      <c r="F7">
        <v>0.81</v>
      </c>
      <c r="G7">
        <v>-5</v>
      </c>
      <c r="H7">
        <v>0</v>
      </c>
      <c r="I7">
        <v>273</v>
      </c>
    </row>
    <row r="8" spans="1:9" x14ac:dyDescent="0.75">
      <c r="C8">
        <f>12/1000</f>
        <v>1.2E-2</v>
      </c>
    </row>
    <row r="9" spans="1:9" x14ac:dyDescent="0.75">
      <c r="C9">
        <f>22/1000</f>
        <v>2.1999999999999999E-2</v>
      </c>
    </row>
    <row r="16" spans="1:9" x14ac:dyDescent="0.75">
      <c r="A16">
        <f>F7*G7/C7/C8</f>
        <v>-33750.000000000007</v>
      </c>
      <c r="C16">
        <f>D7-E7</f>
        <v>353.09148704315237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2022-03-16T18:46:41Z</dcterms:created>
  <dcterms:modified xsi:type="dcterms:W3CDTF">2022-03-17T00:53:05Z</dcterms:modified>
</cp:coreProperties>
</file>