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ar force and bending moment" sheetId="1" r:id="rId4"/>
    <sheet state="visible" name="VWBM" sheetId="2" r:id="rId5"/>
    <sheet state="visible" name="Scantlings" sheetId="3" r:id="rId6"/>
    <sheet state="visible" name="Sectional modulus calculation" sheetId="4" r:id="rId7"/>
  </sheets>
  <definedNames/>
  <calcPr/>
</workbook>
</file>

<file path=xl/sharedStrings.xml><?xml version="1.0" encoding="utf-8"?>
<sst xmlns="http://schemas.openxmlformats.org/spreadsheetml/2006/main" count="129" uniqueCount="86">
  <si>
    <t>X location in m</t>
  </si>
  <si>
    <t>Weight distribution</t>
  </si>
  <si>
    <t>Buoyoancy distribution</t>
  </si>
  <si>
    <t>Net. Force dist.(N/m)</t>
  </si>
  <si>
    <t>b-a</t>
  </si>
  <si>
    <t>Shear force V</t>
  </si>
  <si>
    <t>Bending Moment M (N.m)</t>
  </si>
  <si>
    <t>Max SF</t>
  </si>
  <si>
    <t>Max BM</t>
  </si>
  <si>
    <t>Vessel type</t>
  </si>
  <si>
    <t>Ro-Ro cargo</t>
  </si>
  <si>
    <t>Lbp</t>
  </si>
  <si>
    <t>m</t>
  </si>
  <si>
    <t>Breadth</t>
  </si>
  <si>
    <t>Depth</t>
  </si>
  <si>
    <t>Draft</t>
  </si>
  <si>
    <t>Cb</t>
  </si>
  <si>
    <t>Speed</t>
  </si>
  <si>
    <t>kn</t>
  </si>
  <si>
    <t>Class</t>
  </si>
  <si>
    <t>Class NK</t>
  </si>
  <si>
    <t>Rule length</t>
  </si>
  <si>
    <t>Hogging and Sagging in vertical wave bending moment</t>
  </si>
  <si>
    <t>F_prob for strength assessment</t>
  </si>
  <si>
    <t>F_prob for fatigue</t>
  </si>
  <si>
    <t>Fwv_v</t>
  </si>
  <si>
    <t>Cwv</t>
  </si>
  <si>
    <t>Lcsr_t</t>
  </si>
  <si>
    <t>B</t>
  </si>
  <si>
    <t>Mwv hog for strength assessment</t>
  </si>
  <si>
    <t>Knm</t>
  </si>
  <si>
    <t>Mwv hog for fatigue</t>
  </si>
  <si>
    <t>Mwv sag for strength assessment</t>
  </si>
  <si>
    <t>Mwv sag for fatigue</t>
  </si>
  <si>
    <t>Maximum vertical wave bending moment</t>
  </si>
  <si>
    <t>Maximum still water bending moment</t>
  </si>
  <si>
    <t>Keel</t>
  </si>
  <si>
    <t>mm</t>
  </si>
  <si>
    <t>Bottom, inner bottom</t>
  </si>
  <si>
    <t>Weather strength deck</t>
  </si>
  <si>
    <t>Side shell, bilge</t>
  </si>
  <si>
    <t>Inner side, hopper sloping plate and topside sloping plate</t>
  </si>
  <si>
    <t>Transverse and longitudinal watertight bulkheads</t>
  </si>
  <si>
    <t>Wash bulkheads</t>
  </si>
  <si>
    <t>Accomodation deck</t>
  </si>
  <si>
    <t>Corrosion addition</t>
  </si>
  <si>
    <t>Tc</t>
  </si>
  <si>
    <t>Reserve thickness</t>
  </si>
  <si>
    <t>Minimum thickness</t>
  </si>
  <si>
    <t>Total Thickness</t>
  </si>
  <si>
    <t>Rounded values</t>
  </si>
  <si>
    <t>Side girders</t>
  </si>
  <si>
    <t>Centre girders</t>
  </si>
  <si>
    <t>Height of double bottom</t>
  </si>
  <si>
    <t>Width of the keel</t>
  </si>
  <si>
    <t>Shear strake</t>
  </si>
  <si>
    <t>Minimum breadth:</t>
  </si>
  <si>
    <t>Spacing</t>
  </si>
  <si>
    <t>Distance</t>
  </si>
  <si>
    <t>Number of members</t>
  </si>
  <si>
    <t>Stiffeners</t>
  </si>
  <si>
    <t>0.9m apart</t>
  </si>
  <si>
    <t>Srtructural element</t>
  </si>
  <si>
    <t>Thickness in mm</t>
  </si>
  <si>
    <t>Length in m</t>
  </si>
  <si>
    <t>Members</t>
  </si>
  <si>
    <t>Area in m2</t>
  </si>
  <si>
    <t>Distance from bottom in m</t>
  </si>
  <si>
    <t>First moment</t>
  </si>
  <si>
    <t>Neutral Axis</t>
  </si>
  <si>
    <t>Second moment about NA</t>
  </si>
  <si>
    <t>Second moment</t>
  </si>
  <si>
    <t>Keel plate</t>
  </si>
  <si>
    <t xml:space="preserve">Bottom </t>
  </si>
  <si>
    <t>Bilge</t>
  </si>
  <si>
    <t>Inner bottom</t>
  </si>
  <si>
    <t>Side shell</t>
  </si>
  <si>
    <t>Tween deck 1</t>
  </si>
  <si>
    <t>Tween deck 2</t>
  </si>
  <si>
    <t>Tween deck 3</t>
  </si>
  <si>
    <t>Strength deck</t>
  </si>
  <si>
    <t>I total</t>
  </si>
  <si>
    <t>Hna</t>
  </si>
  <si>
    <t>Z</t>
  </si>
  <si>
    <t>Zmin</t>
  </si>
  <si>
    <t>cm3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</si>
</sst>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  <scheme val="minor"/>
    </font>
    <font>
      <sz val="11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sz val="16.0"/>
      <color theme="1"/>
      <name val="Serif"/>
    </font>
    <font>
      <b/>
      <sz val="16.0"/>
      <color theme="1"/>
      <name val="Serif"/>
    </font>
    <font>
      <sz val="14.0"/>
      <color theme="1"/>
      <name val="Sans-serif"/>
    </font>
    <font>
      <sz val="10.0"/>
      <color theme="1"/>
      <name val="Arial"/>
      <scheme val="minor"/>
    </font>
    <font>
      <sz val="15.0"/>
      <color theme="1"/>
      <name val="Seri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0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4" numFmtId="0" xfId="0" applyFont="1"/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righ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8" numFmtId="0" xfId="0" applyAlignment="1" applyFont="1">
      <alignment horizontal="center"/>
    </xf>
    <xf borderId="0" fillId="0" fontId="11" numFmtId="0" xfId="0" applyAlignment="1" applyFont="1">
      <alignment readingOrder="0"/>
    </xf>
    <xf borderId="0" fillId="0" fontId="12" numFmtId="0" xfId="0" applyFont="1"/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location in m, b-a and Bending Moment M (N.m)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'Shear force and bending moment'!$B$2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'Shear force and bending moment'!$B$3:$B$35</c:f>
            </c:strRef>
          </c:cat>
          <c:val>
            <c:numRef>
              <c:f>'Shear force and bending moment'!$B$3:$B$35</c:f>
              <c:numCache/>
            </c:numRef>
          </c:val>
          <c:smooth val="0"/>
        </c:ser>
        <c:ser>
          <c:idx val="1"/>
          <c:order val="1"/>
          <c:tx>
            <c:strRef>
              <c:f>'Shear force and bending moment'!$F$2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'Shear force and bending moment'!$B$3:$B$35</c:f>
            </c:strRef>
          </c:cat>
          <c:val>
            <c:numRef>
              <c:f>'Shear force and bending moment'!$F$3:$F$35</c:f>
              <c:numCache/>
            </c:numRef>
          </c:val>
          <c:smooth val="0"/>
        </c:ser>
        <c:ser>
          <c:idx val="2"/>
          <c:order val="2"/>
          <c:tx>
            <c:strRef>
              <c:f>'Shear force and bending moment'!$H$2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'Shear force and bending moment'!$B$3:$B$35</c:f>
            </c:strRef>
          </c:cat>
          <c:val>
            <c:numRef>
              <c:f>'Shear force and bending moment'!$H$3:$H$36</c:f>
              <c:numCache/>
            </c:numRef>
          </c:val>
          <c:smooth val="0"/>
        </c:ser>
        <c:axId val="914975045"/>
        <c:axId val="1240802360"/>
      </c:lineChart>
      <c:catAx>
        <c:axId val="914975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0802360"/>
      </c:catAx>
      <c:valAx>
        <c:axId val="1240802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49750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location in m and Shear force V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'Shear force and bending moment'!$B$2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'Shear force and bending moment'!$B$3:$B$34</c:f>
            </c:strRef>
          </c:cat>
          <c:val>
            <c:numRef>
              <c:f>'Shear force and bending moment'!$B$3:$B$34</c:f>
              <c:numCache/>
            </c:numRef>
          </c:val>
          <c:smooth val="0"/>
        </c:ser>
        <c:ser>
          <c:idx val="1"/>
          <c:order val="1"/>
          <c:tx>
            <c:strRef>
              <c:f>'Shear force and bending moment'!$G$2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'Shear force and bending moment'!$B$3:$B$34</c:f>
            </c:strRef>
          </c:cat>
          <c:val>
            <c:numRef>
              <c:f>'Shear force and bending moment'!$G$3:$G$36</c:f>
              <c:numCache/>
            </c:numRef>
          </c:val>
          <c:smooth val="0"/>
        </c:ser>
        <c:axId val="254309660"/>
        <c:axId val="259037769"/>
      </c:lineChart>
      <c:catAx>
        <c:axId val="254309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037769"/>
      </c:catAx>
      <c:valAx>
        <c:axId val="259037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3096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location in m and Net. Force dist.(N/m)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'Shear force and bending moment'!$B$2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'Shear force and bending moment'!$B$3:$B$34</c:f>
              <c:numCache/>
            </c:numRef>
          </c:val>
        </c:ser>
        <c:ser>
          <c:idx val="1"/>
          <c:order val="1"/>
          <c:tx>
            <c:strRef>
              <c:f>'Shear force and bending moment'!$E$2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val>
            <c:numRef>
              <c:f>'Shear force and bending moment'!$E$3:$E$34</c:f>
              <c:numCache/>
            </c:numRef>
          </c:val>
        </c:ser>
        <c:axId val="14281670"/>
        <c:axId val="844805498"/>
      </c:areaChart>
      <c:catAx>
        <c:axId val="14281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805498"/>
      </c:catAx>
      <c:valAx>
        <c:axId val="844805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16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552450</xdr:colOff>
      <xdr:row>36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171450</xdr:colOff>
      <xdr:row>36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200025</xdr:colOff>
      <xdr:row>1</xdr:row>
      <xdr:rowOff>76200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</xdr:row>
      <xdr:rowOff>0</xdr:rowOff>
    </xdr:from>
    <xdr:ext cx="7886700" cy="4438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</xdr:row>
      <xdr:rowOff>0</xdr:rowOff>
    </xdr:from>
    <xdr:ext cx="9048750" cy="35242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180975</xdr:colOff>
      <xdr:row>19</xdr:row>
      <xdr:rowOff>200025</xdr:rowOff>
    </xdr:from>
    <xdr:ext cx="8791575" cy="82677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1447800</xdr:colOff>
      <xdr:row>15</xdr:row>
      <xdr:rowOff>200025</xdr:rowOff>
    </xdr:from>
    <xdr:ext cx="3362325" cy="54292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5"/>
    <col customWidth="1" min="3" max="3" width="16.5"/>
    <col customWidth="1" min="4" max="4" width="21.63"/>
    <col customWidth="1" min="5" max="5" width="20.13"/>
    <col customWidth="1" min="7" max="7" width="15.5"/>
    <col customWidth="1" min="8" max="8" width="24.13"/>
  </cols>
  <sheetData>
    <row r="2">
      <c r="A2" s="1"/>
      <c r="B2" s="2" t="s">
        <v>0</v>
      </c>
      <c r="C2" s="2" t="s">
        <v>1</v>
      </c>
      <c r="D2" s="2" t="s">
        <v>2</v>
      </c>
      <c r="E2" s="3" t="s">
        <v>3</v>
      </c>
      <c r="F2" s="4" t="s">
        <v>4</v>
      </c>
      <c r="G2" s="4" t="s">
        <v>5</v>
      </c>
      <c r="H2" s="5" t="s">
        <v>6</v>
      </c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B3" s="7">
        <v>-6.0</v>
      </c>
      <c r="C3" s="7">
        <v>771354.66</v>
      </c>
      <c r="D3" s="7">
        <v>113534.35</v>
      </c>
      <c r="E3" s="8">
        <f t="shared" ref="E3:E34" si="1">D3-C3</f>
        <v>-657820.31</v>
      </c>
      <c r="F3" s="8">
        <f t="shared" ref="F3:F33" si="2">B4-B3</f>
        <v>2</v>
      </c>
      <c r="G3" s="8">
        <f>E3*F3</f>
        <v>-1315640.62</v>
      </c>
      <c r="H3" s="8">
        <f>G3*F3/2</f>
        <v>-1315640.62</v>
      </c>
      <c r="I3" s="9"/>
    </row>
    <row r="4">
      <c r="B4" s="7">
        <v>-4.0</v>
      </c>
      <c r="C4" s="7">
        <v>817025.25</v>
      </c>
      <c r="D4" s="7">
        <v>181952.64</v>
      </c>
      <c r="E4" s="8">
        <f t="shared" si="1"/>
        <v>-635072.61</v>
      </c>
      <c r="F4" s="8">
        <f t="shared" si="2"/>
        <v>2</v>
      </c>
      <c r="G4" s="8">
        <f t="shared" ref="G4:G33" si="3">E4*F4 + G3</f>
        <v>-2585785.84</v>
      </c>
      <c r="H4" s="8">
        <f t="shared" ref="H4:H33" si="4">F4*((G4+G3)/2)+H3</f>
        <v>-5217067.08</v>
      </c>
      <c r="I4" s="9"/>
    </row>
    <row r="5">
      <c r="B5" s="7">
        <v>-2.0</v>
      </c>
      <c r="C5" s="7">
        <v>831543.53</v>
      </c>
      <c r="D5" s="7">
        <v>202707.9</v>
      </c>
      <c r="E5" s="8">
        <f t="shared" si="1"/>
        <v>-628835.63</v>
      </c>
      <c r="F5" s="8">
        <f t="shared" si="2"/>
        <v>2</v>
      </c>
      <c r="G5" s="8">
        <f t="shared" si="3"/>
        <v>-3843457.1</v>
      </c>
      <c r="H5" s="8">
        <f t="shared" si="4"/>
        <v>-11646310.02</v>
      </c>
      <c r="I5" s="9"/>
    </row>
    <row r="6">
      <c r="B6" s="7">
        <v>0.0</v>
      </c>
      <c r="C6" s="7">
        <v>843462.55</v>
      </c>
      <c r="D6" s="7">
        <v>219486.3</v>
      </c>
      <c r="E6" s="8">
        <f t="shared" si="1"/>
        <v>-623976.25</v>
      </c>
      <c r="F6" s="8">
        <f t="shared" si="2"/>
        <v>4</v>
      </c>
      <c r="G6" s="8">
        <f t="shared" si="3"/>
        <v>-6339362.1</v>
      </c>
      <c r="H6" s="8">
        <f t="shared" si="4"/>
        <v>-32011948.42</v>
      </c>
      <c r="I6" s="9"/>
    </row>
    <row r="7">
      <c r="B7" s="7">
        <v>4.0</v>
      </c>
      <c r="C7" s="7">
        <v>899440.24</v>
      </c>
      <c r="D7" s="7">
        <v>302216.76</v>
      </c>
      <c r="E7" s="8">
        <f t="shared" si="1"/>
        <v>-597223.48</v>
      </c>
      <c r="F7" s="8">
        <f t="shared" si="2"/>
        <v>4</v>
      </c>
      <c r="G7" s="8">
        <f t="shared" si="3"/>
        <v>-8728256.02</v>
      </c>
      <c r="H7" s="8">
        <f t="shared" si="4"/>
        <v>-62147184.66</v>
      </c>
      <c r="I7" s="9"/>
    </row>
    <row r="8">
      <c r="B8" s="7">
        <v>8.0</v>
      </c>
      <c r="C8" s="7">
        <v>979595.86</v>
      </c>
      <c r="D8" s="7">
        <v>421939.44</v>
      </c>
      <c r="E8" s="8">
        <f t="shared" si="1"/>
        <v>-557656.42</v>
      </c>
      <c r="F8" s="8">
        <f t="shared" si="2"/>
        <v>8</v>
      </c>
      <c r="G8" s="8">
        <f t="shared" si="3"/>
        <v>-13189507.38</v>
      </c>
      <c r="H8" s="8">
        <f t="shared" si="4"/>
        <v>-149818238.3</v>
      </c>
      <c r="I8" s="9"/>
    </row>
    <row r="9">
      <c r="B9" s="7">
        <v>16.0</v>
      </c>
      <c r="C9" s="7">
        <v>1245557.26</v>
      </c>
      <c r="D9" s="7">
        <v>823029.56</v>
      </c>
      <c r="E9" s="8">
        <f t="shared" si="1"/>
        <v>-422527.7</v>
      </c>
      <c r="F9" s="8">
        <f t="shared" si="2"/>
        <v>8</v>
      </c>
      <c r="G9" s="8">
        <f t="shared" si="3"/>
        <v>-16569728.98</v>
      </c>
      <c r="H9" s="8">
        <f t="shared" si="4"/>
        <v>-268855183.7</v>
      </c>
      <c r="I9" s="9"/>
    </row>
    <row r="10">
      <c r="B10" s="7">
        <v>24.0</v>
      </c>
      <c r="C10" s="7">
        <v>1586031.04</v>
      </c>
      <c r="D10" s="7">
        <v>1338123.62</v>
      </c>
      <c r="E10" s="8">
        <f t="shared" si="1"/>
        <v>-247907.42</v>
      </c>
      <c r="F10" s="8">
        <f t="shared" si="2"/>
        <v>8</v>
      </c>
      <c r="G10" s="8">
        <f t="shared" si="3"/>
        <v>-18552988.34</v>
      </c>
      <c r="H10" s="8">
        <f t="shared" si="4"/>
        <v>-409346053</v>
      </c>
      <c r="I10" s="9"/>
    </row>
    <row r="11">
      <c r="B11" s="7">
        <v>32.0</v>
      </c>
      <c r="C11" s="7">
        <v>1929093.02</v>
      </c>
      <c r="D11" s="7">
        <v>1857177.64</v>
      </c>
      <c r="E11" s="8">
        <f t="shared" si="1"/>
        <v>-71915.38</v>
      </c>
      <c r="F11" s="8">
        <f t="shared" si="2"/>
        <v>8</v>
      </c>
      <c r="G11" s="8">
        <f t="shared" si="3"/>
        <v>-19128311.38</v>
      </c>
      <c r="H11" s="8">
        <f t="shared" si="4"/>
        <v>-560071251.9</v>
      </c>
      <c r="I11" s="9"/>
    </row>
    <row r="12">
      <c r="B12" s="7">
        <v>40.0</v>
      </c>
      <c r="C12" s="7">
        <v>2221056.48</v>
      </c>
      <c r="D12" s="7">
        <v>2298050.91</v>
      </c>
      <c r="E12" s="8">
        <f t="shared" si="1"/>
        <v>76994.43</v>
      </c>
      <c r="F12" s="8">
        <f t="shared" si="2"/>
        <v>8</v>
      </c>
      <c r="G12" s="8">
        <f t="shared" si="3"/>
        <v>-18512355.94</v>
      </c>
      <c r="H12" s="8">
        <f t="shared" si="4"/>
        <v>-710633921.1</v>
      </c>
      <c r="I12" s="9"/>
    </row>
    <row r="13">
      <c r="B13" s="7">
        <v>48.0</v>
      </c>
      <c r="C13" s="7">
        <v>2451528.31</v>
      </c>
      <c r="D13" s="7">
        <v>2644841.99</v>
      </c>
      <c r="E13" s="8">
        <f t="shared" si="1"/>
        <v>193313.68</v>
      </c>
      <c r="F13" s="8">
        <f t="shared" si="2"/>
        <v>8</v>
      </c>
      <c r="G13" s="8">
        <f t="shared" si="3"/>
        <v>-16965846.5</v>
      </c>
      <c r="H13" s="8">
        <f t="shared" si="4"/>
        <v>-852546730.9</v>
      </c>
      <c r="I13" s="9"/>
    </row>
    <row r="14">
      <c r="B14" s="7">
        <v>56.0</v>
      </c>
      <c r="C14" s="7">
        <v>2611561.46</v>
      </c>
      <c r="D14" s="7">
        <v>2883861.89</v>
      </c>
      <c r="E14" s="8">
        <f t="shared" si="1"/>
        <v>272300.43</v>
      </c>
      <c r="F14" s="8">
        <f t="shared" si="2"/>
        <v>8</v>
      </c>
      <c r="G14" s="8">
        <f t="shared" si="3"/>
        <v>-14787443.06</v>
      </c>
      <c r="H14" s="8">
        <f t="shared" si="4"/>
        <v>-979559889.1</v>
      </c>
      <c r="I14" s="9"/>
    </row>
    <row r="15">
      <c r="B15" s="7">
        <v>64.0</v>
      </c>
      <c r="C15" s="7">
        <v>2701567.43</v>
      </c>
      <c r="D15" s="7">
        <v>3015740.2</v>
      </c>
      <c r="E15" s="8">
        <f t="shared" si="1"/>
        <v>314172.77</v>
      </c>
      <c r="F15" s="8">
        <f t="shared" si="2"/>
        <v>8</v>
      </c>
      <c r="G15" s="8">
        <f t="shared" si="3"/>
        <v>-12274060.9</v>
      </c>
      <c r="H15" s="8">
        <f t="shared" si="4"/>
        <v>-1087805905</v>
      </c>
      <c r="I15" s="9"/>
    </row>
    <row r="16">
      <c r="B16" s="7">
        <v>72.0</v>
      </c>
      <c r="C16" s="7">
        <v>2744753.28</v>
      </c>
      <c r="D16" s="7">
        <v>3075983.73</v>
      </c>
      <c r="E16" s="8">
        <f t="shared" si="1"/>
        <v>331230.45</v>
      </c>
      <c r="F16" s="8">
        <f t="shared" si="2"/>
        <v>8</v>
      </c>
      <c r="G16" s="8">
        <f t="shared" si="3"/>
        <v>-9624217.3</v>
      </c>
      <c r="H16" s="8">
        <f t="shared" si="4"/>
        <v>-1175399018</v>
      </c>
      <c r="I16" s="9"/>
    </row>
    <row r="17">
      <c r="B17" s="7">
        <v>80.0</v>
      </c>
      <c r="C17" s="7">
        <v>2757562.21</v>
      </c>
      <c r="D17" s="7">
        <v>3089750.56</v>
      </c>
      <c r="E17" s="8">
        <f t="shared" si="1"/>
        <v>332188.35</v>
      </c>
      <c r="F17" s="8">
        <f t="shared" si="2"/>
        <v>8</v>
      </c>
      <c r="G17" s="8">
        <f t="shared" si="3"/>
        <v>-6966710.5</v>
      </c>
      <c r="H17" s="8">
        <f t="shared" si="4"/>
        <v>-1241762729</v>
      </c>
      <c r="I17" s="9"/>
    </row>
    <row r="18">
      <c r="B18" s="7">
        <v>88.0</v>
      </c>
      <c r="C18" s="7">
        <v>2761373.2</v>
      </c>
      <c r="D18" s="7">
        <v>3089750.56</v>
      </c>
      <c r="E18" s="8">
        <f t="shared" si="1"/>
        <v>328377.36</v>
      </c>
      <c r="F18" s="8">
        <f t="shared" si="2"/>
        <v>9.5</v>
      </c>
      <c r="G18" s="8">
        <f t="shared" si="3"/>
        <v>-3847125.58</v>
      </c>
      <c r="H18" s="8">
        <f t="shared" si="4"/>
        <v>-1293128450</v>
      </c>
      <c r="I18" s="9"/>
    </row>
    <row r="19">
      <c r="B19" s="7">
        <v>97.5</v>
      </c>
      <c r="C19" s="7">
        <v>2765898.76</v>
      </c>
      <c r="D19" s="7">
        <v>3089750.56</v>
      </c>
      <c r="E19" s="8">
        <f t="shared" si="1"/>
        <v>323851.8</v>
      </c>
      <c r="F19" s="8">
        <f t="shared" si="2"/>
        <v>6.5</v>
      </c>
      <c r="G19" s="8">
        <f t="shared" si="3"/>
        <v>-1742088.88</v>
      </c>
      <c r="H19" s="8">
        <f t="shared" si="4"/>
        <v>-1311293397</v>
      </c>
      <c r="I19" s="9"/>
    </row>
    <row r="20">
      <c r="B20" s="7">
        <v>104.0</v>
      </c>
      <c r="C20" s="7">
        <v>2768995.19</v>
      </c>
      <c r="D20" s="7">
        <v>3089750.56</v>
      </c>
      <c r="E20" s="8">
        <f t="shared" si="1"/>
        <v>320755.37</v>
      </c>
      <c r="F20" s="8">
        <f t="shared" si="2"/>
        <v>8</v>
      </c>
      <c r="G20" s="8">
        <f t="shared" si="3"/>
        <v>823954.08</v>
      </c>
      <c r="H20" s="8">
        <f t="shared" si="4"/>
        <v>-1314965937</v>
      </c>
      <c r="I20" s="9"/>
    </row>
    <row r="21">
      <c r="B21" s="7">
        <v>112.0</v>
      </c>
      <c r="C21" s="7">
        <v>2772806.19</v>
      </c>
      <c r="D21" s="7">
        <v>3089750.56</v>
      </c>
      <c r="E21" s="8">
        <f t="shared" si="1"/>
        <v>316944.37</v>
      </c>
      <c r="F21" s="8">
        <f t="shared" si="2"/>
        <v>8</v>
      </c>
      <c r="G21" s="8">
        <f t="shared" si="3"/>
        <v>3359509.04</v>
      </c>
      <c r="H21" s="8">
        <f t="shared" si="4"/>
        <v>-1298232084</v>
      </c>
      <c r="I21" s="9"/>
    </row>
    <row r="22">
      <c r="B22" s="7">
        <v>120.0</v>
      </c>
      <c r="C22" s="7">
        <v>2776061.87</v>
      </c>
      <c r="D22" s="7">
        <v>3088900.93</v>
      </c>
      <c r="E22" s="8">
        <f t="shared" si="1"/>
        <v>312839.06</v>
      </c>
      <c r="F22" s="8">
        <f t="shared" si="2"/>
        <v>8</v>
      </c>
      <c r="G22" s="8">
        <f t="shared" si="3"/>
        <v>5862221.52</v>
      </c>
      <c r="H22" s="8">
        <f t="shared" si="4"/>
        <v>-1261345162</v>
      </c>
      <c r="I22" s="9"/>
    </row>
    <row r="23">
      <c r="B23" s="7">
        <v>128.0</v>
      </c>
      <c r="C23" s="7">
        <v>2764808.69</v>
      </c>
      <c r="D23" s="7">
        <v>3065852.75</v>
      </c>
      <c r="E23" s="8">
        <f t="shared" si="1"/>
        <v>301044.06</v>
      </c>
      <c r="F23" s="8">
        <f t="shared" si="2"/>
        <v>8</v>
      </c>
      <c r="G23" s="8">
        <f t="shared" si="3"/>
        <v>8270574</v>
      </c>
      <c r="H23" s="8">
        <f t="shared" si="4"/>
        <v>-1204813980</v>
      </c>
      <c r="I23" s="9"/>
    </row>
    <row r="24">
      <c r="B24" s="7">
        <v>136.0</v>
      </c>
      <c r="C24" s="7">
        <v>2726362.72</v>
      </c>
      <c r="D24" s="7">
        <v>3001199.59</v>
      </c>
      <c r="E24" s="8">
        <f t="shared" si="1"/>
        <v>274836.87</v>
      </c>
      <c r="F24" s="8">
        <f t="shared" si="2"/>
        <v>8</v>
      </c>
      <c r="G24" s="8">
        <f t="shared" si="3"/>
        <v>10469268.96</v>
      </c>
      <c r="H24" s="8">
        <f t="shared" si="4"/>
        <v>-1129854608</v>
      </c>
      <c r="I24" s="9"/>
    </row>
    <row r="25">
      <c r="B25" s="7">
        <v>144.0</v>
      </c>
      <c r="C25" s="7">
        <v>2637146.53</v>
      </c>
      <c r="D25" s="7">
        <v>2858868.0</v>
      </c>
      <c r="E25" s="8">
        <f t="shared" si="1"/>
        <v>221721.47</v>
      </c>
      <c r="F25" s="8">
        <f t="shared" si="2"/>
        <v>8</v>
      </c>
      <c r="G25" s="8">
        <f t="shared" si="3"/>
        <v>12243040.72</v>
      </c>
      <c r="H25" s="8">
        <f t="shared" si="4"/>
        <v>-1039005369</v>
      </c>
      <c r="I25" s="9"/>
    </row>
    <row r="26">
      <c r="B26" s="7">
        <v>152.0</v>
      </c>
      <c r="C26" s="7">
        <v>2492622.02</v>
      </c>
      <c r="D26" s="7">
        <v>2631914.68</v>
      </c>
      <c r="E26" s="8">
        <f t="shared" si="1"/>
        <v>139292.66</v>
      </c>
      <c r="F26" s="8">
        <f t="shared" si="2"/>
        <v>8</v>
      </c>
      <c r="G26" s="8">
        <f t="shared" si="3"/>
        <v>13357382</v>
      </c>
      <c r="H26" s="8">
        <f t="shared" si="4"/>
        <v>-936603678.3</v>
      </c>
      <c r="I26" s="9"/>
    </row>
    <row r="27">
      <c r="B27" s="7">
        <v>160.0</v>
      </c>
      <c r="C27" s="7">
        <v>2285428.74</v>
      </c>
      <c r="D27" s="7">
        <v>2309078.14</v>
      </c>
      <c r="E27" s="8">
        <f t="shared" si="1"/>
        <v>23649.4</v>
      </c>
      <c r="F27" s="8">
        <f t="shared" si="2"/>
        <v>8</v>
      </c>
      <c r="G27" s="8">
        <f t="shared" si="3"/>
        <v>13546577.2</v>
      </c>
      <c r="H27" s="8">
        <f t="shared" si="4"/>
        <v>-828987841.5</v>
      </c>
      <c r="I27" s="9"/>
    </row>
    <row r="28">
      <c r="B28" s="7">
        <v>168.0</v>
      </c>
      <c r="C28" s="7">
        <v>2027315.88</v>
      </c>
      <c r="D28" s="7">
        <v>1908334.63</v>
      </c>
      <c r="E28" s="8">
        <f t="shared" si="1"/>
        <v>-118981.25</v>
      </c>
      <c r="F28" s="8">
        <f t="shared" si="2"/>
        <v>8</v>
      </c>
      <c r="G28" s="8">
        <f t="shared" si="3"/>
        <v>12594727.2</v>
      </c>
      <c r="H28" s="8">
        <f t="shared" si="4"/>
        <v>-724422623.9</v>
      </c>
      <c r="I28" s="9"/>
    </row>
    <row r="29">
      <c r="B29" s="7">
        <v>176.0</v>
      </c>
      <c r="C29" s="7">
        <v>1721945.17</v>
      </c>
      <c r="D29" s="7">
        <v>1435286.63</v>
      </c>
      <c r="E29" s="8">
        <f t="shared" si="1"/>
        <v>-286658.54</v>
      </c>
      <c r="F29" s="8">
        <f t="shared" si="2"/>
        <v>4</v>
      </c>
      <c r="G29" s="8">
        <f t="shared" si="3"/>
        <v>11448093.04</v>
      </c>
      <c r="H29" s="8">
        <f t="shared" si="4"/>
        <v>-676336983.4</v>
      </c>
      <c r="I29" s="9"/>
    </row>
    <row r="30">
      <c r="B30" s="7">
        <v>180.0</v>
      </c>
      <c r="C30" s="7">
        <v>1560164.6</v>
      </c>
      <c r="D30" s="7">
        <v>1184846.95</v>
      </c>
      <c r="E30" s="8">
        <f t="shared" si="1"/>
        <v>-375317.65</v>
      </c>
      <c r="F30" s="8">
        <f t="shared" si="2"/>
        <v>4</v>
      </c>
      <c r="G30" s="8">
        <f t="shared" si="3"/>
        <v>9946822.44</v>
      </c>
      <c r="H30" s="8">
        <f t="shared" si="4"/>
        <v>-633547152.5</v>
      </c>
      <c r="I30" s="9"/>
    </row>
    <row r="31">
      <c r="B31" s="7">
        <v>184.0</v>
      </c>
      <c r="C31" s="7">
        <v>1396243.04</v>
      </c>
      <c r="D31" s="7">
        <v>931131.54</v>
      </c>
      <c r="E31" s="8">
        <f t="shared" si="1"/>
        <v>-465111.5</v>
      </c>
      <c r="F31" s="8">
        <f t="shared" si="2"/>
        <v>4</v>
      </c>
      <c r="G31" s="8">
        <f t="shared" si="3"/>
        <v>8086376.44</v>
      </c>
      <c r="H31" s="8">
        <f t="shared" si="4"/>
        <v>-597480754.7</v>
      </c>
      <c r="I31" s="9"/>
    </row>
    <row r="32">
      <c r="B32" s="7">
        <v>188.0</v>
      </c>
      <c r="C32" s="7">
        <v>1211778.74</v>
      </c>
      <c r="D32" s="7">
        <v>645985.76</v>
      </c>
      <c r="E32" s="8">
        <f t="shared" si="1"/>
        <v>-565792.98</v>
      </c>
      <c r="F32" s="8">
        <f t="shared" si="2"/>
        <v>4</v>
      </c>
      <c r="G32" s="8">
        <f t="shared" si="3"/>
        <v>5823204.52</v>
      </c>
      <c r="H32" s="8">
        <f t="shared" si="4"/>
        <v>-569661592.8</v>
      </c>
      <c r="I32" s="9"/>
    </row>
    <row r="33">
      <c r="B33" s="7">
        <v>192.0</v>
      </c>
      <c r="C33" s="7">
        <v>1075574.15</v>
      </c>
      <c r="D33" s="7">
        <v>434677.33</v>
      </c>
      <c r="E33" s="8">
        <f t="shared" si="1"/>
        <v>-640896.82</v>
      </c>
      <c r="F33" s="8">
        <f t="shared" si="2"/>
        <v>8</v>
      </c>
      <c r="G33" s="8">
        <f t="shared" si="3"/>
        <v>696029.96</v>
      </c>
      <c r="H33" s="8">
        <f t="shared" si="4"/>
        <v>-543584654.9</v>
      </c>
      <c r="I33" s="9"/>
    </row>
    <row r="34">
      <c r="B34" s="7">
        <v>200.0</v>
      </c>
      <c r="C34" s="7">
        <v>916781.92</v>
      </c>
      <c r="D34" s="7">
        <v>185894.39</v>
      </c>
      <c r="E34" s="8">
        <f t="shared" si="1"/>
        <v>-730887.53</v>
      </c>
      <c r="F34" s="10"/>
      <c r="G34" s="8"/>
      <c r="H34" s="8"/>
      <c r="I34" s="9"/>
    </row>
    <row r="35">
      <c r="E35" s="11"/>
      <c r="F35" s="12" t="s">
        <v>7</v>
      </c>
      <c r="G35" s="13">
        <f>MAX(G3:G34)</f>
        <v>13546577.2</v>
      </c>
      <c r="H35" s="13"/>
    </row>
    <row r="36">
      <c r="G36" s="14" t="s">
        <v>8</v>
      </c>
      <c r="H36" s="15">
        <v>-1.314965937E9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  <col customWidth="1" min="3" max="3" width="8.5"/>
  </cols>
  <sheetData>
    <row r="1">
      <c r="A1" s="14" t="s">
        <v>9</v>
      </c>
      <c r="B1" s="15" t="s">
        <v>10</v>
      </c>
    </row>
    <row r="2">
      <c r="A2" s="14" t="s">
        <v>11</v>
      </c>
      <c r="B2" s="15">
        <v>195.0</v>
      </c>
      <c r="C2" s="15" t="s">
        <v>12</v>
      </c>
    </row>
    <row r="3">
      <c r="A3" s="14" t="s">
        <v>13</v>
      </c>
      <c r="B3" s="15">
        <v>32.5</v>
      </c>
      <c r="C3" s="15" t="s">
        <v>12</v>
      </c>
    </row>
    <row r="4">
      <c r="A4" s="14" t="s">
        <v>14</v>
      </c>
      <c r="B4" s="15">
        <v>26.1</v>
      </c>
      <c r="C4" s="15" t="s">
        <v>12</v>
      </c>
    </row>
    <row r="5">
      <c r="A5" s="14" t="s">
        <v>15</v>
      </c>
      <c r="B5" s="15">
        <v>9.7</v>
      </c>
      <c r="C5" s="15" t="s">
        <v>12</v>
      </c>
    </row>
    <row r="6">
      <c r="A6" s="14" t="s">
        <v>16</v>
      </c>
      <c r="B6" s="15">
        <v>0.73</v>
      </c>
    </row>
    <row r="7">
      <c r="A7" s="14" t="s">
        <v>17</v>
      </c>
      <c r="B7" s="15">
        <v>12.7</v>
      </c>
      <c r="C7" s="15" t="s">
        <v>18</v>
      </c>
    </row>
    <row r="8">
      <c r="A8" s="14" t="s">
        <v>19</v>
      </c>
      <c r="B8" s="15" t="s">
        <v>20</v>
      </c>
    </row>
    <row r="9">
      <c r="A9" s="14" t="s">
        <v>21</v>
      </c>
      <c r="B9" s="16">
        <f>0.97*B2</f>
        <v>189.15</v>
      </c>
      <c r="C9" s="15" t="s">
        <v>12</v>
      </c>
    </row>
    <row r="13">
      <c r="A13" s="14" t="s">
        <v>22</v>
      </c>
    </row>
    <row r="14">
      <c r="A14" s="14" t="s">
        <v>23</v>
      </c>
      <c r="B14" s="15">
        <v>1.0</v>
      </c>
    </row>
    <row r="15">
      <c r="A15" s="14" t="s">
        <v>24</v>
      </c>
      <c r="B15" s="15">
        <v>0.5</v>
      </c>
    </row>
    <row r="16">
      <c r="A16" s="14" t="s">
        <v>25</v>
      </c>
      <c r="B16" s="15">
        <v>1.0</v>
      </c>
    </row>
    <row r="17">
      <c r="A17" s="14" t="s">
        <v>26</v>
      </c>
      <c r="B17" s="16">
        <f>(10.75-(((300-B9)/100)^1.5))</f>
        <v>9.582912154</v>
      </c>
    </row>
    <row r="18">
      <c r="A18" s="14" t="s">
        <v>27</v>
      </c>
      <c r="B18" s="16">
        <f>B9</f>
        <v>189.15</v>
      </c>
    </row>
    <row r="19">
      <c r="A19" s="14" t="s">
        <v>28</v>
      </c>
      <c r="B19" s="16">
        <f>B3</f>
        <v>32.5</v>
      </c>
    </row>
    <row r="20">
      <c r="A20" s="14" t="s">
        <v>16</v>
      </c>
      <c r="B20" s="16">
        <f>B6</f>
        <v>0.73</v>
      </c>
    </row>
    <row r="21">
      <c r="A21" s="17" t="s">
        <v>29</v>
      </c>
      <c r="B21" s="16">
        <f>B14*0.19*B16*B17*(B18^2)*B19*B20</f>
        <v>1545503.598</v>
      </c>
      <c r="C21" s="18" t="s">
        <v>30</v>
      </c>
    </row>
    <row r="23">
      <c r="A23" s="14" t="s">
        <v>31</v>
      </c>
      <c r="B23" s="16">
        <f>B21*B15/B14</f>
        <v>772751.7988</v>
      </c>
    </row>
    <row r="24">
      <c r="A24" s="1"/>
    </row>
    <row r="25">
      <c r="A25" s="14" t="s">
        <v>32</v>
      </c>
      <c r="B25" s="16">
        <f>-(B14*0.11*B16*B17*(B18^2)*B19*(0.7+B20))</f>
        <v>-1752759.307</v>
      </c>
    </row>
    <row r="26">
      <c r="A26" s="14" t="s">
        <v>33</v>
      </c>
      <c r="B26" s="16">
        <f>B25*B15/B14</f>
        <v>-876379.6536</v>
      </c>
    </row>
    <row r="29">
      <c r="A29" s="14" t="s">
        <v>34</v>
      </c>
      <c r="B29" s="15">
        <v>1752759.307</v>
      </c>
      <c r="C29" s="14" t="s">
        <v>30</v>
      </c>
    </row>
    <row r="30">
      <c r="A30" s="14" t="s">
        <v>35</v>
      </c>
      <c r="B30" s="15">
        <v>1.314965937E9</v>
      </c>
      <c r="C30" s="14" t="s">
        <v>30</v>
      </c>
    </row>
    <row r="31">
      <c r="A31" s="1"/>
    </row>
    <row r="32">
      <c r="A32" s="1"/>
    </row>
    <row r="33">
      <c r="A33" s="1"/>
    </row>
  </sheetData>
  <mergeCells count="4">
    <mergeCell ref="A13:C13"/>
    <mergeCell ref="A21:A22"/>
    <mergeCell ref="B21:B22"/>
    <mergeCell ref="C21:C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3" max="3" width="17.25"/>
    <col customWidth="1" min="4" max="4" width="16.25"/>
    <col customWidth="1" min="5" max="5" width="13.75"/>
    <col customWidth="1" min="6" max="6" width="14.5"/>
  </cols>
  <sheetData>
    <row r="1">
      <c r="A1" s="14" t="s">
        <v>9</v>
      </c>
      <c r="B1" s="14" t="s">
        <v>10</v>
      </c>
    </row>
    <row r="2">
      <c r="A2" s="14" t="s">
        <v>11</v>
      </c>
      <c r="B2" s="14">
        <v>195.0</v>
      </c>
      <c r="C2" s="14" t="s">
        <v>12</v>
      </c>
    </row>
    <row r="3">
      <c r="A3" s="14" t="s">
        <v>13</v>
      </c>
      <c r="B3" s="14">
        <v>32.5</v>
      </c>
      <c r="C3" s="14" t="s">
        <v>12</v>
      </c>
    </row>
    <row r="4">
      <c r="A4" s="14" t="s">
        <v>14</v>
      </c>
      <c r="B4" s="14">
        <v>26.1</v>
      </c>
      <c r="C4" s="14" t="s">
        <v>12</v>
      </c>
    </row>
    <row r="5">
      <c r="A5" s="14" t="s">
        <v>15</v>
      </c>
      <c r="B5" s="14">
        <v>9.7</v>
      </c>
      <c r="C5" s="14" t="s">
        <v>12</v>
      </c>
    </row>
    <row r="6">
      <c r="A6" s="14" t="s">
        <v>16</v>
      </c>
      <c r="B6" s="14">
        <v>0.73</v>
      </c>
      <c r="C6" s="1"/>
    </row>
    <row r="7">
      <c r="A7" s="14" t="s">
        <v>17</v>
      </c>
      <c r="B7" s="14">
        <v>12.7</v>
      </c>
      <c r="C7" s="14" t="s">
        <v>18</v>
      </c>
    </row>
    <row r="8">
      <c r="A8" s="14" t="s">
        <v>19</v>
      </c>
      <c r="B8" s="19" t="s">
        <v>20</v>
      </c>
      <c r="C8" s="1"/>
    </row>
    <row r="9">
      <c r="A9" s="14" t="s">
        <v>21</v>
      </c>
      <c r="B9" s="1">
        <f>0.97*B2</f>
        <v>189.15</v>
      </c>
      <c r="C9" s="14" t="s">
        <v>12</v>
      </c>
    </row>
    <row r="10">
      <c r="A10" s="1"/>
      <c r="C10" s="1"/>
    </row>
    <row r="11">
      <c r="A11" s="1"/>
      <c r="C11" s="1"/>
    </row>
    <row r="12">
      <c r="A12" s="14" t="s">
        <v>36</v>
      </c>
      <c r="B12" s="16">
        <f>7.5+0.03*B9</f>
        <v>13.1745</v>
      </c>
      <c r="C12" s="14" t="s">
        <v>37</v>
      </c>
    </row>
    <row r="13">
      <c r="A13" s="14" t="s">
        <v>38</v>
      </c>
      <c r="B13" s="16">
        <f>5.5+0.03*B9</f>
        <v>11.1745</v>
      </c>
      <c r="C13" s="14" t="s">
        <v>37</v>
      </c>
    </row>
    <row r="14">
      <c r="A14" s="14" t="s">
        <v>39</v>
      </c>
      <c r="B14" s="16">
        <f>4.5+0.02*B9</f>
        <v>8.283</v>
      </c>
      <c r="C14" s="14" t="s">
        <v>37</v>
      </c>
    </row>
    <row r="15">
      <c r="A15" s="14" t="s">
        <v>40</v>
      </c>
      <c r="B15" s="16">
        <f>0.85*(B9^0.5)</f>
        <v>11.69020423</v>
      </c>
      <c r="C15" s="14" t="s">
        <v>37</v>
      </c>
    </row>
    <row r="16">
      <c r="A16" s="17" t="s">
        <v>41</v>
      </c>
      <c r="B16" s="16">
        <f>0.7*(B9^0.5)</f>
        <v>9.627227015</v>
      </c>
      <c r="C16" s="14" t="s">
        <v>37</v>
      </c>
    </row>
    <row r="17" ht="24.0" customHeight="1">
      <c r="C17" s="14" t="s">
        <v>37</v>
      </c>
    </row>
    <row r="18" ht="33.0" customHeight="1">
      <c r="A18" s="17" t="s">
        <v>42</v>
      </c>
      <c r="B18" s="16">
        <f>0.6*(B9^0.5)</f>
        <v>8.25190887</v>
      </c>
      <c r="C18" s="14" t="s">
        <v>37</v>
      </c>
    </row>
    <row r="19">
      <c r="A19" s="14" t="s">
        <v>43</v>
      </c>
      <c r="B19" s="15">
        <v>6.5</v>
      </c>
      <c r="C19" s="14" t="s">
        <v>37</v>
      </c>
    </row>
    <row r="20">
      <c r="A20" s="14" t="s">
        <v>44</v>
      </c>
      <c r="B20" s="15">
        <v>5.0</v>
      </c>
      <c r="C20" s="14" t="s">
        <v>37</v>
      </c>
    </row>
    <row r="21">
      <c r="A21" s="1"/>
    </row>
    <row r="22">
      <c r="A22" s="1"/>
    </row>
    <row r="23">
      <c r="A23" s="1"/>
    </row>
    <row r="24">
      <c r="A24" s="14" t="s">
        <v>45</v>
      </c>
      <c r="B24" s="14" t="s">
        <v>46</v>
      </c>
      <c r="C24" s="14" t="s">
        <v>47</v>
      </c>
      <c r="D24" s="14" t="s">
        <v>48</v>
      </c>
      <c r="E24" s="14" t="s">
        <v>49</v>
      </c>
      <c r="F24" s="14" t="s">
        <v>50</v>
      </c>
    </row>
    <row r="25">
      <c r="A25" s="14" t="s">
        <v>36</v>
      </c>
      <c r="B25" s="15">
        <v>1.0</v>
      </c>
      <c r="C25" s="15">
        <v>0.5</v>
      </c>
      <c r="D25" s="16">
        <v>13.1745</v>
      </c>
      <c r="E25" s="16">
        <f t="shared" ref="E25:E29" si="1">B25+C25+D25</f>
        <v>14.6745</v>
      </c>
      <c r="F25" s="14">
        <f t="shared" ref="F25:F29" si="2">ROUNDUP(E25,0.5)</f>
        <v>15</v>
      </c>
    </row>
    <row r="26">
      <c r="A26" s="14" t="s">
        <v>38</v>
      </c>
      <c r="B26" s="15">
        <v>1.0</v>
      </c>
      <c r="C26" s="15">
        <v>0.5</v>
      </c>
      <c r="D26" s="16">
        <v>11.1745</v>
      </c>
      <c r="E26" s="16">
        <f t="shared" si="1"/>
        <v>12.6745</v>
      </c>
      <c r="F26" s="14">
        <f t="shared" si="2"/>
        <v>13</v>
      </c>
    </row>
    <row r="27">
      <c r="A27" s="14" t="s">
        <v>39</v>
      </c>
      <c r="B27" s="15">
        <v>1.7</v>
      </c>
      <c r="C27" s="15">
        <v>0.5</v>
      </c>
      <c r="D27" s="16">
        <v>8.283000000000001</v>
      </c>
      <c r="E27" s="16">
        <f t="shared" si="1"/>
        <v>10.483</v>
      </c>
      <c r="F27" s="14">
        <f t="shared" si="2"/>
        <v>11</v>
      </c>
    </row>
    <row r="28">
      <c r="A28" s="14" t="s">
        <v>40</v>
      </c>
      <c r="B28" s="15">
        <v>1.0</v>
      </c>
      <c r="C28" s="15">
        <v>0.5</v>
      </c>
      <c r="D28" s="16">
        <v>11.690204232604321</v>
      </c>
      <c r="E28" s="16">
        <f t="shared" si="1"/>
        <v>13.19020423</v>
      </c>
      <c r="F28" s="14">
        <f t="shared" si="2"/>
        <v>14</v>
      </c>
    </row>
    <row r="29">
      <c r="A29" s="17" t="s">
        <v>41</v>
      </c>
      <c r="B29" s="15">
        <v>3.7</v>
      </c>
      <c r="C29" s="15">
        <v>0.5</v>
      </c>
      <c r="D29" s="16">
        <v>9.62722701508591</v>
      </c>
      <c r="E29" s="16">
        <f t="shared" si="1"/>
        <v>13.82722702</v>
      </c>
      <c r="F29" s="14">
        <f t="shared" si="2"/>
        <v>14</v>
      </c>
    </row>
    <row r="30" ht="27.75" customHeight="1"/>
    <row r="31">
      <c r="A31" s="17" t="s">
        <v>42</v>
      </c>
      <c r="B31" s="15">
        <v>5.2</v>
      </c>
      <c r="C31" s="15">
        <v>0.5</v>
      </c>
      <c r="D31" s="16">
        <v>8.251908870073638</v>
      </c>
      <c r="E31" s="16">
        <f t="shared" ref="E31:E35" si="3">B31+C31+D31</f>
        <v>13.95190887</v>
      </c>
      <c r="F31" s="14">
        <f t="shared" ref="F31:F35" si="4">ROUNDUP(E31,0.5)</f>
        <v>14</v>
      </c>
    </row>
    <row r="32">
      <c r="A32" s="14" t="s">
        <v>43</v>
      </c>
      <c r="B32" s="15">
        <v>1.5</v>
      </c>
      <c r="C32" s="15">
        <v>0.5</v>
      </c>
      <c r="D32" s="20">
        <v>6.5</v>
      </c>
      <c r="E32" s="16">
        <f t="shared" si="3"/>
        <v>8.5</v>
      </c>
      <c r="F32" s="14">
        <f t="shared" si="4"/>
        <v>9</v>
      </c>
    </row>
    <row r="33">
      <c r="A33" s="14" t="s">
        <v>44</v>
      </c>
      <c r="B33" s="15">
        <v>0.5</v>
      </c>
      <c r="C33" s="15">
        <v>0.5</v>
      </c>
      <c r="D33" s="20">
        <v>5.0</v>
      </c>
      <c r="E33" s="16">
        <f t="shared" si="3"/>
        <v>6</v>
      </c>
      <c r="F33" s="14">
        <f t="shared" si="4"/>
        <v>6</v>
      </c>
    </row>
    <row r="34">
      <c r="A34" s="14" t="s">
        <v>51</v>
      </c>
      <c r="B34" s="15">
        <v>0.5</v>
      </c>
      <c r="C34" s="15">
        <v>0.5</v>
      </c>
      <c r="D34" s="16">
        <f>0.008*B3*50 + 4</f>
        <v>17</v>
      </c>
      <c r="E34" s="16">
        <f t="shared" si="3"/>
        <v>18</v>
      </c>
      <c r="F34" s="14">
        <f t="shared" si="4"/>
        <v>18</v>
      </c>
    </row>
    <row r="35">
      <c r="A35" s="14" t="s">
        <v>52</v>
      </c>
      <c r="B35" s="15">
        <v>0.5</v>
      </c>
      <c r="C35" s="15">
        <v>0.5</v>
      </c>
      <c r="D35" s="9">
        <f>0.008*B3*50 + 1</f>
        <v>14</v>
      </c>
      <c r="E35" s="16">
        <f t="shared" si="3"/>
        <v>15</v>
      </c>
      <c r="F35" s="14">
        <f t="shared" si="4"/>
        <v>15</v>
      </c>
    </row>
    <row r="36">
      <c r="A36" s="1"/>
    </row>
    <row r="37">
      <c r="A37" s="1"/>
    </row>
    <row r="38">
      <c r="A38" s="14" t="s">
        <v>53</v>
      </c>
      <c r="B38" s="16">
        <f>B3/20</f>
        <v>1.625</v>
      </c>
    </row>
    <row r="39">
      <c r="A39" s="14" t="s">
        <v>54</v>
      </c>
      <c r="B39" s="16">
        <f>0.8+(B9/200)</f>
        <v>1.74575</v>
      </c>
    </row>
    <row r="40">
      <c r="A40" s="14" t="s">
        <v>55</v>
      </c>
    </row>
    <row r="41">
      <c r="A41" s="15" t="s">
        <v>56</v>
      </c>
      <c r="B41" s="16">
        <f>(800+5*B9)</f>
        <v>1745.75</v>
      </c>
      <c r="C41" s="15" t="s">
        <v>37</v>
      </c>
    </row>
    <row r="45">
      <c r="A45" s="14" t="s">
        <v>57</v>
      </c>
      <c r="B45" s="14" t="s">
        <v>58</v>
      </c>
      <c r="C45" s="14" t="s">
        <v>59</v>
      </c>
    </row>
    <row r="46">
      <c r="A46" s="15" t="s">
        <v>60</v>
      </c>
      <c r="B46" s="15" t="s">
        <v>61</v>
      </c>
      <c r="C46" s="15">
        <v>36.0</v>
      </c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mergeCells count="8">
    <mergeCell ref="A16:A17"/>
    <mergeCell ref="B16:B17"/>
    <mergeCell ref="A29:A30"/>
    <mergeCell ref="B29:B30"/>
    <mergeCell ref="C29:C30"/>
    <mergeCell ref="D29:D30"/>
    <mergeCell ref="E29:E30"/>
    <mergeCell ref="F29:F3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21.13"/>
    <col customWidth="1" min="3" max="3" width="14.38"/>
    <col customWidth="1" min="7" max="7" width="23.75"/>
    <col customWidth="1" min="10" max="10" width="22.5"/>
    <col customWidth="1" min="11" max="11" width="15.88"/>
  </cols>
  <sheetData>
    <row r="1">
      <c r="A1" s="14"/>
    </row>
    <row r="2">
      <c r="A2" s="21"/>
    </row>
    <row r="3">
      <c r="A3" s="22"/>
      <c r="B3" s="14" t="s">
        <v>62</v>
      </c>
      <c r="C3" s="14" t="s">
        <v>63</v>
      </c>
      <c r="D3" s="14" t="s">
        <v>64</v>
      </c>
      <c r="E3" s="14" t="s">
        <v>65</v>
      </c>
      <c r="F3" s="14" t="s">
        <v>66</v>
      </c>
      <c r="G3" s="14" t="s">
        <v>67</v>
      </c>
      <c r="H3" s="14" t="s">
        <v>68</v>
      </c>
      <c r="I3" s="14" t="s">
        <v>69</v>
      </c>
      <c r="J3" s="14" t="s">
        <v>70</v>
      </c>
      <c r="K3" s="14" t="s">
        <v>71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21"/>
      <c r="B4" s="15" t="s">
        <v>72</v>
      </c>
      <c r="C4" s="15">
        <v>15.0</v>
      </c>
      <c r="D4" s="15">
        <v>0.018</v>
      </c>
      <c r="E4" s="15">
        <v>1.0</v>
      </c>
      <c r="F4" s="16">
        <f t="shared" ref="F4:F14" si="1">D4*C4*E4/1000</f>
        <v>0.00027</v>
      </c>
      <c r="G4" s="15">
        <v>0.0</v>
      </c>
      <c r="H4" s="16">
        <f t="shared" ref="H4:H14" si="2">F4*G4</f>
        <v>0</v>
      </c>
      <c r="I4" s="23">
        <f>H15/F15</f>
        <v>10.50833267</v>
      </c>
      <c r="J4" s="16">
        <f t="shared" ref="J4:J14" si="3">F4*((G4-$I$4)^2)</f>
        <v>0.02981476501</v>
      </c>
      <c r="K4" s="16">
        <f t="shared" ref="K4:K5" si="4">(D4*((C4/1000)^3)/12)</f>
        <v>0.0000000050625</v>
      </c>
    </row>
    <row r="5">
      <c r="A5" s="21"/>
      <c r="B5" s="15" t="s">
        <v>73</v>
      </c>
      <c r="C5" s="15">
        <v>13.0</v>
      </c>
      <c r="D5" s="16">
        <f>D7-(2*D8)</f>
        <v>29.25</v>
      </c>
      <c r="E5" s="15">
        <v>1.0</v>
      </c>
      <c r="F5" s="16">
        <f t="shared" si="1"/>
        <v>0.38025</v>
      </c>
      <c r="G5" s="15">
        <v>0.0</v>
      </c>
      <c r="H5" s="16">
        <f t="shared" si="2"/>
        <v>0</v>
      </c>
      <c r="J5" s="16">
        <f t="shared" si="3"/>
        <v>41.98912738</v>
      </c>
      <c r="K5" s="16">
        <f t="shared" si="4"/>
        <v>0.0000053551875</v>
      </c>
    </row>
    <row r="6">
      <c r="A6" s="21"/>
      <c r="B6" s="15" t="s">
        <v>74</v>
      </c>
      <c r="C6" s="15">
        <v>14.0</v>
      </c>
      <c r="D6" s="16">
        <f>pi()*D8/2</f>
        <v>2.552544031</v>
      </c>
      <c r="E6" s="15">
        <v>2.0</v>
      </c>
      <c r="F6" s="16">
        <f t="shared" si="1"/>
        <v>0.07147123287</v>
      </c>
      <c r="G6" s="16">
        <f>4*Scantlings!B38/(3*pi())</f>
        <v>0.6896714201</v>
      </c>
      <c r="H6" s="16">
        <f t="shared" si="2"/>
        <v>0.04929166667</v>
      </c>
      <c r="J6" s="16">
        <f t="shared" si="3"/>
        <v>6.890263453</v>
      </c>
      <c r="K6" s="16">
        <f>(0.5-(4/(pi()^2)))*F6*1.625^2*2</f>
        <v>0.03575098243</v>
      </c>
    </row>
    <row r="7">
      <c r="A7" s="24"/>
      <c r="B7" s="15" t="s">
        <v>75</v>
      </c>
      <c r="C7" s="15">
        <v>13.0</v>
      </c>
      <c r="D7" s="15">
        <v>32.5</v>
      </c>
      <c r="E7" s="15">
        <v>1.0</v>
      </c>
      <c r="F7" s="16">
        <f t="shared" si="1"/>
        <v>0.4225</v>
      </c>
      <c r="G7" s="15">
        <v>1.625</v>
      </c>
      <c r="H7" s="16">
        <f t="shared" si="2"/>
        <v>0.6865625</v>
      </c>
      <c r="J7" s="16">
        <f t="shared" si="3"/>
        <v>33.34099574</v>
      </c>
      <c r="K7" s="25">
        <f>(D7*((C7/1000)^3)/12)</f>
        <v>0.000005950208333</v>
      </c>
    </row>
    <row r="8">
      <c r="A8" s="24"/>
      <c r="B8" s="15" t="s">
        <v>52</v>
      </c>
      <c r="C8" s="15">
        <v>15.0</v>
      </c>
      <c r="D8" s="15">
        <v>1.625</v>
      </c>
      <c r="E8" s="15">
        <v>1.0</v>
      </c>
      <c r="F8" s="16">
        <f t="shared" si="1"/>
        <v>0.024375</v>
      </c>
      <c r="G8" s="15">
        <f>G7/2</f>
        <v>0.8125</v>
      </c>
      <c r="H8" s="16">
        <f t="shared" si="2"/>
        <v>0.0198046875</v>
      </c>
      <c r="J8" s="16">
        <f t="shared" si="3"/>
        <v>2.291473549</v>
      </c>
      <c r="K8" s="16">
        <f t="shared" ref="K8:K10" si="5">(C8*((D8)^3)/12000)</f>
        <v>0.005363769531</v>
      </c>
    </row>
    <row r="9">
      <c r="A9" s="24"/>
      <c r="B9" s="15" t="s">
        <v>51</v>
      </c>
      <c r="C9" s="15">
        <v>18.0</v>
      </c>
      <c r="D9" s="15">
        <v>1.625</v>
      </c>
      <c r="E9" s="15">
        <v>8.0</v>
      </c>
      <c r="F9" s="16">
        <f t="shared" si="1"/>
        <v>0.234</v>
      </c>
      <c r="G9" s="16">
        <f>G8</f>
        <v>0.8125</v>
      </c>
      <c r="H9" s="16">
        <f t="shared" si="2"/>
        <v>0.190125</v>
      </c>
      <c r="J9" s="16">
        <f t="shared" si="3"/>
        <v>21.99814607</v>
      </c>
      <c r="K9" s="16">
        <f t="shared" si="5"/>
        <v>0.006436523438</v>
      </c>
    </row>
    <row r="10">
      <c r="A10" s="24"/>
      <c r="B10" s="15" t="s">
        <v>76</v>
      </c>
      <c r="C10" s="15">
        <v>14.0</v>
      </c>
      <c r="D10" s="16">
        <f>Scantlings!B4-D8</f>
        <v>24.475</v>
      </c>
      <c r="E10" s="15">
        <v>2.0</v>
      </c>
      <c r="F10" s="16">
        <f t="shared" si="1"/>
        <v>0.6853</v>
      </c>
      <c r="G10" s="16">
        <f>VWBM!B4/2</f>
        <v>13.05</v>
      </c>
      <c r="H10" s="16">
        <f t="shared" si="2"/>
        <v>8.943165</v>
      </c>
      <c r="J10" s="16">
        <f t="shared" si="3"/>
        <v>4.427087889</v>
      </c>
      <c r="K10" s="16">
        <f t="shared" si="5"/>
        <v>17.10467753</v>
      </c>
    </row>
    <row r="11">
      <c r="A11" s="24"/>
      <c r="B11" s="15" t="s">
        <v>77</v>
      </c>
      <c r="C11" s="15">
        <v>11.0</v>
      </c>
      <c r="D11" s="15">
        <v>32.5</v>
      </c>
      <c r="E11" s="15">
        <v>1.0</v>
      </c>
      <c r="F11" s="16">
        <f t="shared" si="1"/>
        <v>0.3575</v>
      </c>
      <c r="G11" s="16">
        <f>6.14+1.625</f>
        <v>7.765</v>
      </c>
      <c r="H11" s="16">
        <f t="shared" si="2"/>
        <v>2.7759875</v>
      </c>
      <c r="J11" s="16">
        <f t="shared" si="3"/>
        <v>2.690500012</v>
      </c>
      <c r="K11" s="16">
        <f t="shared" ref="K11:K14" si="6">(D11*((C11/1000)^3)/12)</f>
        <v>0.000003604791667</v>
      </c>
    </row>
    <row r="12">
      <c r="A12" s="24"/>
      <c r="B12" s="15" t="s">
        <v>78</v>
      </c>
      <c r="C12" s="15">
        <v>11.0</v>
      </c>
      <c r="D12" s="15">
        <v>32.5</v>
      </c>
      <c r="E12" s="15">
        <v>1.0</v>
      </c>
      <c r="F12" s="16">
        <f t="shared" si="1"/>
        <v>0.3575</v>
      </c>
      <c r="G12" s="16">
        <f t="shared" ref="G12:G13" si="7">G11+6.14</f>
        <v>13.905</v>
      </c>
      <c r="H12" s="16">
        <f t="shared" si="2"/>
        <v>4.9710375</v>
      </c>
      <c r="J12" s="16">
        <f t="shared" si="3"/>
        <v>4.124602241</v>
      </c>
      <c r="K12" s="16">
        <f t="shared" si="6"/>
        <v>0.000003604791667</v>
      </c>
    </row>
    <row r="13">
      <c r="A13" s="24"/>
      <c r="B13" s="15" t="s">
        <v>79</v>
      </c>
      <c r="C13" s="15">
        <v>11.0</v>
      </c>
      <c r="D13" s="15">
        <v>32.5</v>
      </c>
      <c r="E13" s="15">
        <v>1.0</v>
      </c>
      <c r="F13" s="16">
        <f t="shared" si="1"/>
        <v>0.3575</v>
      </c>
      <c r="G13" s="16">
        <f t="shared" si="7"/>
        <v>20.045</v>
      </c>
      <c r="H13" s="16">
        <f t="shared" si="2"/>
        <v>7.1660875</v>
      </c>
      <c r="J13" s="16">
        <f t="shared" si="3"/>
        <v>32.51391847</v>
      </c>
      <c r="K13" s="16">
        <f t="shared" si="6"/>
        <v>0.000003604791667</v>
      </c>
    </row>
    <row r="14">
      <c r="A14" s="24"/>
      <c r="B14" s="15" t="s">
        <v>80</v>
      </c>
      <c r="C14" s="15">
        <v>11.0</v>
      </c>
      <c r="D14" s="15">
        <v>32.5</v>
      </c>
      <c r="E14" s="15">
        <v>1.0</v>
      </c>
      <c r="F14" s="16">
        <f t="shared" si="1"/>
        <v>0.3575</v>
      </c>
      <c r="G14" s="15">
        <v>26.1</v>
      </c>
      <c r="H14" s="16">
        <f t="shared" si="2"/>
        <v>9.33075</v>
      </c>
      <c r="J14" s="16">
        <f t="shared" si="3"/>
        <v>86.90828218</v>
      </c>
      <c r="K14" s="16">
        <f t="shared" si="6"/>
        <v>0.000003604791667</v>
      </c>
    </row>
    <row r="15">
      <c r="A15" s="24"/>
      <c r="F15" s="16">
        <f>SUM(F4:F14)</f>
        <v>3.248166233</v>
      </c>
      <c r="H15" s="16">
        <f>SUM(H4:H14)</f>
        <v>34.13281135</v>
      </c>
      <c r="J15" s="16">
        <f t="shared" ref="J15:K15" si="8">SUM(J4:J14)</f>
        <v>237.2042118</v>
      </c>
      <c r="K15" s="16">
        <f t="shared" si="8"/>
        <v>17.15225454</v>
      </c>
    </row>
    <row r="16">
      <c r="A16" s="24"/>
    </row>
    <row r="17">
      <c r="A17" s="24"/>
      <c r="F17" s="14" t="s">
        <v>81</v>
      </c>
      <c r="G17" s="16">
        <f>sum(J15,K15)</f>
        <v>254.3564663</v>
      </c>
    </row>
    <row r="18">
      <c r="A18" s="24"/>
      <c r="F18" s="14" t="s">
        <v>82</v>
      </c>
      <c r="G18" s="16">
        <f>I4</f>
        <v>10.50833267</v>
      </c>
    </row>
    <row r="19">
      <c r="A19" s="24"/>
      <c r="F19" s="14" t="s">
        <v>83</v>
      </c>
      <c r="G19" s="16">
        <f>G17/G18</f>
        <v>24.20521639</v>
      </c>
    </row>
    <row r="20">
      <c r="A20" s="24"/>
      <c r="F20" s="14" t="s">
        <v>84</v>
      </c>
      <c r="G20" s="16">
        <f>1*VWBM!B17*(VWBM!B2^2)*VWBM!B3*(0.7+VWBM!B6)</f>
        <v>16935036.16</v>
      </c>
      <c r="H20" s="15" t="s">
        <v>85</v>
      </c>
    </row>
    <row r="21">
      <c r="A21" s="24"/>
      <c r="G21" s="16">
        <f>G20/(100^3)</f>
        <v>16.93503616</v>
      </c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6"/>
    </row>
  </sheetData>
  <mergeCells count="1">
    <mergeCell ref="I4:I14"/>
  </mergeCells>
  <drawing r:id="rId1"/>
</worksheet>
</file>