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shs\Desktop\D2 MPDB\outputs\eb1-ramp-seat-20261019\"/>
    </mc:Choice>
  </mc:AlternateContent>
  <xr:revisionPtr revIDLastSave="0" documentId="13_ncr:1_{D0F9E3C8-5CAE-482D-9045-AEEF2DCD3FEE}" xr6:coauthVersionLast="47" xr6:coauthVersionMax="47" xr10:uidLastSave="{00000000-0000-0000-0000-000000000000}"/>
  <bookViews>
    <workbookView xWindow="-98" yWindow="-98" windowWidth="24496" windowHeight="15675" xr2:uid="{00000000-000D-0000-FFFF-FFFF00000000}"/>
  </bookViews>
  <sheets>
    <sheet name="Cover" sheetId="1" r:id="rId1"/>
    <sheet name="Inputs" sheetId="2" r:id="rId2"/>
    <sheet name="Inputs Method" sheetId="3" r:id="rId3"/>
    <sheet name="Profile &amp; Deck" sheetId="4" r:id="rId4"/>
    <sheet name="Profile &amp; Deck Method" sheetId="5" r:id="rId5"/>
    <sheet name="Beam Geometry" sheetId="6" r:id="rId6"/>
    <sheet name="Beam Geometry Method" sheetId="7" r:id="rId7"/>
    <sheet name="Camber &amp; Haunch" sheetId="8" r:id="rId8"/>
    <sheet name="Camber &amp; Haunch Method" sheetId="9" r:id="rId9"/>
    <sheet name="FGE" sheetId="10" r:id="rId10"/>
    <sheet name="FGE Method" sheetId="11" r:id="rId11"/>
    <sheet name="Bearing Seats" sheetId="12" r:id="rId12"/>
    <sheet name="Bearing Seats Method" sheetId="13" r:id="rId13"/>
    <sheet name="Substructure" sheetId="14" r:id="rId14"/>
    <sheet name="Substructure Method" sheetId="15" r:id="rId15"/>
    <sheet name="Beam Data" sheetId="16" r:id="rId16"/>
    <sheet name="Beam Data Method" sheetId="17" r:id="rId17"/>
    <sheet name="Clearance" sheetId="18" r:id="rId18"/>
    <sheet name="Clearance Method" sheetId="19" r:id="rId19"/>
    <sheet name="CAD FGE" sheetId="20" r:id="rId20"/>
    <sheet name="CAD FGE Method" sheetId="21" r:id="rId21"/>
    <sheet name="CAD Build-Up" sheetId="22" r:id="rId22"/>
    <sheet name="CAD Build-Up Method" sheetId="23" r:id="rId23"/>
    <sheet name="CAD Beam Variables" sheetId="24" r:id="rId24"/>
    <sheet name="CAD Beam Variables Method" sheetId="25" r:id="rId25"/>
    <sheet name="CAD Bearing Plates" sheetId="26" r:id="rId26"/>
    <sheet name="CAD Bearing Plates Method" sheetId="27" r:id="rId27"/>
    <sheet name="CAD Pedestal Elevs" sheetId="28" r:id="rId28"/>
    <sheet name="CAD Pedestal Elevs Method" sheetId="29" r:id="rId29"/>
    <sheet name="QC" sheetId="30" r:id="rId30"/>
    <sheet name="QC Method" sheetId="31" r:id="rId31"/>
  </sheets>
  <definedNames>
    <definedName name="Bar_C">Inputs!$D$224</definedName>
    <definedName name="Bar_D3s">Inputs!$D$228</definedName>
    <definedName name="Bar_DA">Inputs!$D$225</definedName>
    <definedName name="Bar_DB">Inputs!$D$226</definedName>
    <definedName name="Bar_MD">Inputs!$D$227</definedName>
    <definedName name="Bar_Mk">Inputs!$D$229</definedName>
    <definedName name="Bm_Area">Inputs!$D$222</definedName>
    <definedName name="Bm_Bf">Inputs!$D$41</definedName>
    <definedName name="Bm_D">Inputs!$D$40</definedName>
    <definedName name="Bm_First">Inputs!$D$39</definedName>
    <definedName name="Bm_Gap1">Inputs!$D$45</definedName>
    <definedName name="Bm_Hmin">Inputs!$D$42</definedName>
    <definedName name="Bm_N">Inputs!$D$37</definedName>
    <definedName name="Bm_S">Inputs!$D$38</definedName>
    <definedName name="Bm_Type">Inputs!$D$36</definedName>
    <definedName name="Bm1_dCL">'Profile &amp; Deck'!$I$29</definedName>
    <definedName name="Bm1_dMin">'Profile &amp; Deck'!$L$29</definedName>
    <definedName name="Bm1_FL">'Profile &amp; Deck'!$D$29</definedName>
    <definedName name="Bm1_FR">'Profile &amp; Deck'!$F$29</definedName>
    <definedName name="Bm1_Off">'Profile &amp; Deck'!$C$29</definedName>
    <definedName name="Bm1_Raise">Inputs!$D$43</definedName>
    <definedName name="Bm2_dCL">'Profile &amp; Deck'!$I$30</definedName>
    <definedName name="Bm2_dMin">'Profile &amp; Deck'!$L$30</definedName>
    <definedName name="Bm2_FL">'Profile &amp; Deck'!$D$30</definedName>
    <definedName name="Bm2_FR">'Profile &amp; Deck'!$F$30</definedName>
    <definedName name="Bm2_Off">'Profile &amp; Deck'!$C$30</definedName>
    <definedName name="Bm2_Raise">Inputs!$D$44</definedName>
    <definedName name="Build_Fingerprint">Cover!$C$11</definedName>
    <definedName name="Build_Model">Cover!$C$14</definedName>
    <definedName name="Build_Time">Cover!$C$13</definedName>
    <definedName name="Clr_Cover">Clearance!$F$11</definedName>
    <definedName name="Clr_Margin">Clearance!$F$10</definedName>
    <definedName name="Clr_Min">Clearance!$F$7</definedName>
    <definedName name="Clr_Sta">Clearance!$F$8</definedName>
    <definedName name="Clr_Status">Clearance!$F$12</definedName>
    <definedName name="Deck_C">Inputs!$D$29</definedName>
    <definedName name="Deck_Crown">Inputs!$D$31</definedName>
    <definedName name="Deck_dL">'Profile &amp; Deck'!$D$24</definedName>
    <definedName name="Deck_dR">'Profile &amp; Deck'!$D$25</definedName>
    <definedName name="Deck_Mode">Inputs!$D$27</definedName>
    <definedName name="Deck_T">Inputs!$D$30</definedName>
    <definedName name="Deck_Uni">Inputs!$D$32</definedName>
    <definedName name="Deck_W">Inputs!$D$28</definedName>
    <definedName name="Deck_YL">'Profile &amp; Deck'!$D$22</definedName>
    <definedName name="Deck_YR">'Profile &amp; Deck'!$D$23</definedName>
    <definedName name="Des_BevelLimit">Inputs!$D$220</definedName>
    <definedName name="Des_ConcClass">Inputs!$D$216</definedName>
    <definedName name="Des_DimP">Inputs!$D$221</definedName>
    <definedName name="Des_FGEInc">Inputs!$D$223</definedName>
    <definedName name="Des_PadType">Inputs!$D$219</definedName>
    <definedName name="Des_Pattern">Inputs!$D$217</definedName>
    <definedName name="Des_PlanCase">Inputs!$D$218</definedName>
    <definedName name="EB1_BmBrg">Inputs!$D$110</definedName>
    <definedName name="EB1_BmClr">Inputs!$D$109</definedName>
    <definedName name="EB1_BW">Inputs!$D$107</definedName>
    <definedName name="EB1_BwDrop">Inputs!$D$111</definedName>
    <definedName name="EB1_BwH0">Substructure!$F$82</definedName>
    <definedName name="EB1_BwTop0">Substructure!$F$76</definedName>
    <definedName name="EB1_BwTopL">Substructure!$F$75</definedName>
    <definedName name="EB1_BwTopR">Substructure!$F$77</definedName>
    <definedName name="EB1_BwVol">Substructure!$F$84</definedName>
    <definedName name="EB1_CapSta">Substructure!$D$9</definedName>
    <definedName name="EB1_Chamf">Inputs!$D$106</definedName>
    <definedName name="EB1_CkBotL">Substructure!$F$85</definedName>
    <definedName name="EB1_CkBotR">Substructure!$F$86</definedName>
    <definedName name="EB1_CkT">Inputs!$D$112</definedName>
    <definedName name="EB1_CkTopL">Inputs!$D$116</definedName>
    <definedName name="EB1_CkTopLv">Substructure!$F$89</definedName>
    <definedName name="EB1_CkTopR">Inputs!$D$117</definedName>
    <definedName name="EB1_CkTopRv">Substructure!$F$90</definedName>
    <definedName name="EB1_CkVolL">Substructure!$F$91</definedName>
    <definedName name="EB1_CkVolR">Substructure!$F$92</definedName>
    <definedName name="EB1_Ctr">Inputs!$D$102</definedName>
    <definedName name="EB1_Depth">Inputs!$D$90</definedName>
    <definedName name="EB1_Emb">Inputs!$D$96</definedName>
    <definedName name="EB1_Inset">Inputs!$D$108</definedName>
    <definedName name="EB1_Joint">Inputs!$D$115</definedName>
    <definedName name="EB1_Len">Substructure!$K$9</definedName>
    <definedName name="EB1_LenFix">Inputs!$D$91</definedName>
    <definedName name="EB1_LugBotL">Substructure!$F$87</definedName>
    <definedName name="EB1_LugBotR">Substructure!$F$88</definedName>
    <definedName name="EB1_LugFace">Substructure!$F$67</definedName>
    <definedName name="EB1_LugP">Inputs!$D$113</definedName>
    <definedName name="EB1_LugW">Inputs!$D$114</definedName>
    <definedName name="EB1_NPile">Inputs!$D$92</definedName>
    <definedName name="EB1_OutIn">Substructure!$F$73</definedName>
    <definedName name="EB1_Pad">Inputs!$D$97</definedName>
    <definedName name="EB1_PadL">Inputs!$D$98</definedName>
    <definedName name="EB1_PadW">Inputs!$D$99</definedName>
    <definedName name="EB1_PedL">Inputs!$D$105</definedName>
    <definedName name="EB1_PedW">Inputs!$D$104</definedName>
    <definedName name="EB1_PileClr">Inputs!$D$95</definedName>
    <definedName name="EB1_PileSp">Inputs!$D$94</definedName>
    <definedName name="EB1_PileSpFt">Substructure!$I$9</definedName>
    <definedName name="EB1_PileW">Inputs!$D$93</definedName>
    <definedName name="EB1_RearSta">Substructure!$F$66</definedName>
    <definedName name="EB1_Reveal">Inputs!$D$100</definedName>
    <definedName name="EB1_Slope">Inputs!$D$103</definedName>
    <definedName name="EB1_Top">Substructure!$R$9</definedName>
    <definedName name="EB1_TopFix">Inputs!$D$101</definedName>
    <definedName name="EB1_Under">Substructure!$S$9</definedName>
    <definedName name="EB1_Width">Inputs!$D$89</definedName>
    <definedName name="EB2_BmBrg">Inputs!$D$142</definedName>
    <definedName name="EB2_BmClr">Inputs!$D$141</definedName>
    <definedName name="EB2_BW">Inputs!$D$139</definedName>
    <definedName name="EB2_BwDrop">Inputs!$D$143</definedName>
    <definedName name="EB2_BwH0">Substructure!$G$82</definedName>
    <definedName name="EB2_BwTop0">Substructure!$G$76</definedName>
    <definedName name="EB2_BwTopL">Substructure!$G$75</definedName>
    <definedName name="EB2_BwTopR">Substructure!$G$77</definedName>
    <definedName name="EB2_BwVol">Substructure!$G$84</definedName>
    <definedName name="EB2_CapSta">Substructure!$D$10</definedName>
    <definedName name="EB2_Chamf">Inputs!$D$138</definedName>
    <definedName name="EB2_CkBotL">Substructure!$G$85</definedName>
    <definedName name="EB2_CkBotR">Substructure!$G$86</definedName>
    <definedName name="EB2_CkT">Inputs!$D$144</definedName>
    <definedName name="EB2_CkTopL">Inputs!$D$148</definedName>
    <definedName name="EB2_CkTopLv">Substructure!$G$89</definedName>
    <definedName name="EB2_CkTopR">Inputs!$D$149</definedName>
    <definedName name="EB2_CkTopRv">Substructure!$G$90</definedName>
    <definedName name="EB2_CkVolL">Substructure!$G$91</definedName>
    <definedName name="EB2_CkVolR">Substructure!$G$92</definedName>
    <definedName name="EB2_Ctr">Inputs!$D$134</definedName>
    <definedName name="EB2_Depth">Inputs!$D$122</definedName>
    <definedName name="EB2_Emb">Inputs!$D$128</definedName>
    <definedName name="EB2_Inset">Inputs!$D$140</definedName>
    <definedName name="EB2_Joint">Inputs!$D$147</definedName>
    <definedName name="EB2_Len">Substructure!$K$10</definedName>
    <definedName name="EB2_LenFix">Inputs!$D$123</definedName>
    <definedName name="EB2_LugBotL">Substructure!$G$87</definedName>
    <definedName name="EB2_LugBotR">Substructure!$G$88</definedName>
    <definedName name="EB2_LugFace">Substructure!$G$67</definedName>
    <definedName name="EB2_LugP">Inputs!$D$145</definedName>
    <definedName name="EB2_LugW">Inputs!$D$146</definedName>
    <definedName name="EB2_NPile">Inputs!$D$124</definedName>
    <definedName name="EB2_OutIn">Substructure!$G$73</definedName>
    <definedName name="EB2_Pad">Inputs!$D$129</definedName>
    <definedName name="EB2_PadL">Inputs!$D$130</definedName>
    <definedName name="EB2_PadW">Inputs!$D$131</definedName>
    <definedName name="EB2_PedL">Inputs!$D$137</definedName>
    <definedName name="EB2_PedW">Inputs!$D$136</definedName>
    <definedName name="EB2_PileClr">Inputs!$D$127</definedName>
    <definedName name="EB2_PileSp">Inputs!$D$126</definedName>
    <definedName name="EB2_PileSpFt">Substructure!$I$10</definedName>
    <definedName name="EB2_PileW">Inputs!$D$125</definedName>
    <definedName name="EB2_RearSta">Substructure!$G$66</definedName>
    <definedName name="EB2_Reveal">Inputs!$D$132</definedName>
    <definedName name="EB2_Slope">Inputs!$D$135</definedName>
    <definedName name="EB2_Top">Substructure!$R$10</definedName>
    <definedName name="EB2_TopFix">Inputs!$D$133</definedName>
    <definedName name="EB2_Under">Substructure!$S$10</definedName>
    <definedName name="EB2_Width">Inputs!$D$121</definedName>
    <definedName name="Haunch_Min">'Camber &amp; Haunch'!$E$19</definedName>
    <definedName name="Inputs_Edited">QC!$R$929</definedName>
    <definedName name="MC1_A1_A">Inputs!$D$192</definedName>
    <definedName name="MC1_A1_n">Inputs!$D$191</definedName>
    <definedName name="MC1_A1_s">Inputs!$D$190</definedName>
    <definedName name="MC1_A2_A">Inputs!$D$195</definedName>
    <definedName name="MC1_A2_n">Inputs!$D$194</definedName>
    <definedName name="MC1_A2_s">Inputs!$D$193</definedName>
    <definedName name="MC1_A3_A">Inputs!$D$198</definedName>
    <definedName name="MC1_A3_n">Inputs!$D$197</definedName>
    <definedName name="MC1_A3_s">Inputs!$D$196</definedName>
    <definedName name="MC1_Astr">Inputs!$D$175</definedName>
    <definedName name="MC1_BrgDist">Inputs!$D$162</definedName>
    <definedName name="MC1_D120">Inputs!$D$185</definedName>
    <definedName name="MC1_Dc">Inputs!$D$187</definedName>
    <definedName name="MC1_Dnc">Inputs!$D$186</definedName>
    <definedName name="MC1_Drel">Inputs!$D$184</definedName>
    <definedName name="MC1_DTop">Inputs!$D$181</definedName>
    <definedName name="MC1_Ec">Inputs!$D$171</definedName>
    <definedName name="MC1_Eci">Inputs!$D$170</definedName>
    <definedName name="MC1_EndSp">Inputs!$D$189</definedName>
    <definedName name="MC1_Env">Inputs!$D$173</definedName>
    <definedName name="MC1_Esh">Inputs!$D$183</definedName>
    <definedName name="MC1_fc">Inputs!$D$168</definedName>
    <definedName name="MC1_fci">Inputs!$D$169</definedName>
    <definedName name="MC1_File">Inputs!$D$159</definedName>
    <definedName name="MC1_H">Inputs!$D$172</definedName>
    <definedName name="MC1_Hbu">Inputs!$D$166</definedName>
    <definedName name="MC1_Lbeam">Inputs!$D$161</definedName>
    <definedName name="MC1_NDeb">Inputs!$D$177</definedName>
    <definedName name="MC1_Net">Inputs!$D$188</definedName>
    <definedName name="MC1_NStr">Inputs!$D$176</definedName>
    <definedName name="MC1_NTop">Inputs!$D$179</definedName>
    <definedName name="MC1_PadW">Inputs!$D$163</definedName>
    <definedName name="MC1_Pj">Inputs!$D$178</definedName>
    <definedName name="MC1_Psi">Inputs!$D$182</definedName>
    <definedName name="MC1_PTop">Inputs!$D$180</definedName>
    <definedName name="MC1_S1_A">Inputs!$D$201</definedName>
    <definedName name="MC1_S1_n">Inputs!$D$200</definedName>
    <definedName name="MC1_S1_s">Inputs!$D$199</definedName>
    <definedName name="MC1_S2_A">Inputs!$D$204</definedName>
    <definedName name="MC1_S2_n">Inputs!$D$203</definedName>
    <definedName name="MC1_S2_s">Inputs!$D$202</definedName>
    <definedName name="MC1_S3_A">Inputs!$D$207</definedName>
    <definedName name="MC1_S3_n">Inputs!$D$206</definedName>
    <definedName name="MC1_S3_s">Inputs!$D$205</definedName>
    <definedName name="MC1_S4_A">Inputs!$D$210</definedName>
    <definedName name="MC1_S4_n">Inputs!$D$209</definedName>
    <definedName name="MC1_S4_s">Inputs!$D$208</definedName>
    <definedName name="MC1_Skew">Inputs!$D$167</definedName>
    <definedName name="MC1_Spacing">Inputs!$D$164</definedName>
    <definedName name="MC1_StrType">Inputs!$D$174</definedName>
    <definedName name="MC1_Tdeck">Inputs!$D$165</definedName>
    <definedName name="MC1_Type">Inputs!$D$160</definedName>
    <definedName name="MC2_A1_A">Inputs!$E$192</definedName>
    <definedName name="MC2_A1_n">Inputs!$E$191</definedName>
    <definedName name="MC2_A1_s">Inputs!$E$190</definedName>
    <definedName name="MC2_A2_A">Inputs!$E$195</definedName>
    <definedName name="MC2_A2_n">Inputs!$E$194</definedName>
    <definedName name="MC2_A2_s">Inputs!$E$193</definedName>
    <definedName name="MC2_A3_A">Inputs!$E$198</definedName>
    <definedName name="MC2_A3_n">Inputs!$E$197</definedName>
    <definedName name="MC2_A3_s">Inputs!$E$196</definedName>
    <definedName name="MC2_Astr">Inputs!$E$175</definedName>
    <definedName name="MC2_BrgDist">Inputs!$E$162</definedName>
    <definedName name="MC2_D120">Inputs!$E$185</definedName>
    <definedName name="MC2_Dc">Inputs!$E$187</definedName>
    <definedName name="MC2_Dnc">Inputs!$E$186</definedName>
    <definedName name="MC2_Drel">Inputs!$E$184</definedName>
    <definedName name="MC2_DTop">Inputs!$E$181</definedName>
    <definedName name="MC2_Ec">Inputs!$E$171</definedName>
    <definedName name="MC2_Eci">Inputs!$E$170</definedName>
    <definedName name="MC2_EndSp">Inputs!$E$189</definedName>
    <definedName name="MC2_Env">Inputs!$E$173</definedName>
    <definedName name="MC2_Esh">Inputs!$E$183</definedName>
    <definedName name="MC2_fc">Inputs!$E$168</definedName>
    <definedName name="MC2_fci">Inputs!$E$169</definedName>
    <definedName name="MC2_File">Inputs!$E$159</definedName>
    <definedName name="MC2_H">Inputs!$E$172</definedName>
    <definedName name="MC2_Hbu">Inputs!$E$166</definedName>
    <definedName name="MC2_Lbeam">Inputs!$E$161</definedName>
    <definedName name="MC2_NDeb">Inputs!$E$177</definedName>
    <definedName name="MC2_Net">Inputs!$E$188</definedName>
    <definedName name="MC2_NStr">Inputs!$E$176</definedName>
    <definedName name="MC2_NTop">Inputs!$E$179</definedName>
    <definedName name="MC2_PadW">Inputs!$E$163</definedName>
    <definedName name="MC2_Pj">Inputs!$E$178</definedName>
    <definedName name="MC2_Psi">Inputs!$E$182</definedName>
    <definedName name="MC2_PTop">Inputs!$E$180</definedName>
    <definedName name="MC2_S1_A">Inputs!$E$201</definedName>
    <definedName name="MC2_S1_n">Inputs!$E$200</definedName>
    <definedName name="MC2_S1_s">Inputs!$E$199</definedName>
    <definedName name="MC2_S2_A">Inputs!$E$204</definedName>
    <definedName name="MC2_S2_n">Inputs!$E$203</definedName>
    <definedName name="MC2_S2_s">Inputs!$E$202</definedName>
    <definedName name="MC2_S3_A">Inputs!$E$207</definedName>
    <definedName name="MC2_S3_n">Inputs!$E$206</definedName>
    <definedName name="MC2_S3_s">Inputs!$E$205</definedName>
    <definedName name="MC2_S4_A">Inputs!$E$210</definedName>
    <definedName name="MC2_S4_n">Inputs!$E$209</definedName>
    <definedName name="MC2_S4_s">Inputs!$E$208</definedName>
    <definedName name="MC2_Skew">Inputs!$E$167</definedName>
    <definedName name="MC2_Spacing">Inputs!$E$164</definedName>
    <definedName name="MC2_StrType">Inputs!$E$174</definedName>
    <definedName name="MC2_Tdeck">Inputs!$E$165</definedName>
    <definedName name="MC2_Type">Inputs!$E$160</definedName>
    <definedName name="Pad_Table">Inputs!$B$233:$E$239</definedName>
    <definedName name="Phys_DeckClr">Inputs!$D$61</definedName>
    <definedName name="Phys_EndClr">Inputs!$D$58</definedName>
    <definedName name="Phys_PierGap">Inputs!$D$59</definedName>
    <definedName name="Phys_Setback">Inputs!$D$60</definedName>
    <definedName name="Phys_TrialPile">Inputs!$D$62</definedName>
    <definedName name="Pier_CapSta">Substructure!$D$8</definedName>
    <definedName name="Pier_Chamf">Inputs!$D$85</definedName>
    <definedName name="Pier_Ctr">Inputs!$D$81</definedName>
    <definedName name="Pier_Depth">Inputs!$D$70</definedName>
    <definedName name="Pier_Emb">Inputs!$D$78</definedName>
    <definedName name="Pier_Len">Substructure!$K$8</definedName>
    <definedName name="Pier_LenFix">Inputs!$D$72</definedName>
    <definedName name="Pier_NPile">Inputs!$D$73</definedName>
    <definedName name="Pier_Pad">Inputs!$D$67</definedName>
    <definedName name="Pier_PadL">Inputs!$D$68</definedName>
    <definedName name="Pier_PadW">Inputs!$D$69</definedName>
    <definedName name="Pier_PedL">Inputs!$D$84</definedName>
    <definedName name="Pier_PedW">Inputs!$D$83</definedName>
    <definedName name="Pier_PileClr">Inputs!$D$77</definedName>
    <definedName name="Pier_PileD">Inputs!$D$74</definedName>
    <definedName name="Pier_PileSpD">Inputs!$D$76</definedName>
    <definedName name="Pier_PileSpFt">Substructure!$I$8</definedName>
    <definedName name="Pier_PileWall">Inputs!$D$75</definedName>
    <definedName name="Pier_Reveal">Inputs!$D$79</definedName>
    <definedName name="Pier_Slope">Inputs!$D$82</definedName>
    <definedName name="Pier_Sta">Inputs!$D$66</definedName>
    <definedName name="Pier_Top">Substructure!$R$8</definedName>
    <definedName name="Pier_TopFix">Inputs!$D$80</definedName>
    <definedName name="Pier_Under">Substructure!$S$8</definedName>
    <definedName name="Pier_Width">Inputs!$D$71</definedName>
    <definedName name="_xlnm.Print_Area" localSheetId="16">'Beam Data Method'!$A$1:$M$42</definedName>
    <definedName name="_xlnm.Print_Area" localSheetId="6">'Beam Geometry Method'!$A$1:$M$76</definedName>
    <definedName name="_xlnm.Print_Area" localSheetId="12">'Bearing Seats Method'!$A$1:$M$77</definedName>
    <definedName name="_xlnm.Print_Area" localSheetId="24">'CAD Beam Variables Method'!$A$1:$M$32</definedName>
    <definedName name="_xlnm.Print_Area" localSheetId="26">'CAD Bearing Plates Method'!$A$1:$M$25</definedName>
    <definedName name="_xlnm.Print_Area" localSheetId="22">'CAD Build-Up Method'!$A$1:$M$33</definedName>
    <definedName name="_xlnm.Print_Area" localSheetId="20">'CAD FGE Method'!$A$1:$M$32</definedName>
    <definedName name="_xlnm.Print_Area" localSheetId="28">'CAD Pedestal Elevs Method'!$A$1:$M$85</definedName>
    <definedName name="_xlnm.Print_Area" localSheetId="8">'Camber &amp; Haunch Method'!$A$1:$M$80</definedName>
    <definedName name="_xlnm.Print_Area" localSheetId="18">'Clearance Method'!$A$1:$M$32</definedName>
    <definedName name="_xlnm.Print_Area" localSheetId="10">'FGE Method'!$A$1:$M$43</definedName>
    <definedName name="_xlnm.Print_Area" localSheetId="2">'Inputs Method'!$A$1:$M$51</definedName>
    <definedName name="_xlnm.Print_Area" localSheetId="4">'Profile &amp; Deck Method'!$A$1:$M$86</definedName>
    <definedName name="_xlnm.Print_Area" localSheetId="30">'QC Method'!$A$1:$M$29</definedName>
    <definedName name="_xlnm.Print_Area" localSheetId="14">'Substructure Method'!$A$1:$M$88</definedName>
    <definedName name="Prof_dG">Inputs!$D$23</definedName>
    <definedName name="Prof_G1">'Profile &amp; Deck'!$D$10</definedName>
    <definedName name="Prof_G2">'Profile &amp; Deck'!$D$11</definedName>
    <definedName name="Prof_Gnom">Inputs!$D$22</definedName>
    <definedName name="Prof_Kq">'Profile &amp; Deck'!$D$12</definedName>
    <definedName name="Prof_L">'Profile &amp; Deck'!$D$8</definedName>
    <definedName name="Prof_Mode">Inputs!$D$16</definedName>
    <definedName name="Prof_PISta">Inputs!$D$21</definedName>
    <definedName name="Prof_PIZ">'Profile &amp; Deck'!$D$9</definedName>
    <definedName name="Prof_Sta0">Inputs!$D$17</definedName>
    <definedName name="Prof_Sta1">Inputs!$D$18</definedName>
    <definedName name="Prof_Z0">Inputs!$D$19</definedName>
    <definedName name="Prof_Z1">Inputs!$D$20</definedName>
    <definedName name="QC_Counts">QC!$C$195</definedName>
    <definedName name="QC_Overall">QC!$G$195</definedName>
    <definedName name="Rd_File">Inputs!$D$155</definedName>
    <definedName name="Rd_Req">Inputs!$D$153</definedName>
    <definedName name="Rd_Shift">Inputs!$D$154</definedName>
    <definedName name="Sp1_Bm0">'Beam Geometry'!$G$8</definedName>
    <definedName name="Sp1_Bm1">'Beam Geometry'!$H$8</definedName>
    <definedName name="Sp1_BrgA">'Beam Geometry'!$I$8</definedName>
    <definedName name="Sp1_BrgB">'Beam Geometry'!$J$8</definedName>
    <definedName name="Sp1_C">Inputs!$D$51</definedName>
    <definedName name="Sp1_Chk">'Beam Geometry'!$S$8</definedName>
    <definedName name="Sp1_Dk0">'Beam Geometry'!$K$8</definedName>
    <definedName name="Sp1_Dk1">'Beam Geometry'!$L$8</definedName>
    <definedName name="Sp1_Gc">'Beam Geometry'!$R$8</definedName>
    <definedName name="Sp1_Lb">'Beam Geometry'!$N$8</definedName>
    <definedName name="Sp1_LBeam">'Beam Geometry'!$M$8</definedName>
    <definedName name="Sp1_m">'Camber &amp; Haunch'!$G$8</definedName>
    <definedName name="Sp1_Mid">'Beam Geometry'!$O$8</definedName>
    <definedName name="Sp1_Sta0">Inputs!$D$49</definedName>
    <definedName name="Sp1_Sta1">Inputs!$D$50</definedName>
    <definedName name="Sp1_W">'Camber &amp; Haunch'!$H$8</definedName>
    <definedName name="Sp1_ZA">'Beam Geometry'!$P$8</definedName>
    <definedName name="Sp1_ZB">'Beam Geometry'!$Q$8</definedName>
    <definedName name="Sp2_Bm0">'Beam Geometry'!$G$9</definedName>
    <definedName name="Sp2_Bm1">'Beam Geometry'!$H$9</definedName>
    <definedName name="Sp2_BrgA">'Beam Geometry'!$I$9</definedName>
    <definedName name="Sp2_BrgB">'Beam Geometry'!$J$9</definedName>
    <definedName name="Sp2_C">Inputs!$D$54</definedName>
    <definedName name="Sp2_Chk">'Beam Geometry'!$S$9</definedName>
    <definedName name="Sp2_Dk0">'Beam Geometry'!$K$9</definedName>
    <definedName name="Sp2_Dk1">'Beam Geometry'!$L$9</definedName>
    <definedName name="Sp2_Gc">'Beam Geometry'!$R$9</definedName>
    <definedName name="Sp2_Lb">'Beam Geometry'!$N$9</definedName>
    <definedName name="Sp2_LBeam">'Beam Geometry'!$M$9</definedName>
    <definedName name="Sp2_m">'Camber &amp; Haunch'!$G$9</definedName>
    <definedName name="Sp2_Mid">'Beam Geometry'!$O$9</definedName>
    <definedName name="Sp2_Sta0">Inputs!$D$52</definedName>
    <definedName name="Sp2_Sta1">Inputs!$D$53</definedName>
    <definedName name="Sp2_W">'Camber &amp; Haunch'!$H$9</definedName>
    <definedName name="Sp2_ZA">'Beam Geometry'!$P$9</definedName>
    <definedName name="Sp2_ZB">'Beam Geometry'!$Q$9</definedName>
    <definedName name="Sup_Drop">'Camber &amp; Haunch'!$E$18</definedName>
    <definedName name="TB_CalcBy">Inputs!$D$9</definedName>
    <definedName name="TB_CalcDate">Inputs!$D$10</definedName>
    <definedName name="TB_CheckBy">Inputs!$D$11</definedName>
    <definedName name="TB_CheckDate">Inputs!$D$12</definedName>
    <definedName name="TB_JobNo">Inputs!$D$8</definedName>
    <definedName name="TB_Project">Inputs!$D$6</definedName>
    <definedName name="TB_Structure">Inputs!$D$7</definedName>
  </definedNames>
  <calcPr calcId="181029"/>
</workbook>
</file>

<file path=xl/calcChain.xml><?xml version="1.0" encoding="utf-8"?>
<calcChain xmlns="http://schemas.openxmlformats.org/spreadsheetml/2006/main">
  <c r="R928" i="30" l="1"/>
  <c r="Q928" i="30"/>
  <c r="R927" i="30"/>
  <c r="Q927" i="30"/>
  <c r="R926" i="30"/>
  <c r="Q926" i="30"/>
  <c r="R925" i="30"/>
  <c r="Q925" i="30"/>
  <c r="R924" i="30"/>
  <c r="Q924" i="30"/>
  <c r="R923" i="30"/>
  <c r="Q923" i="30"/>
  <c r="R922" i="30"/>
  <c r="Q922" i="30"/>
  <c r="R921" i="30"/>
  <c r="Q921" i="30"/>
  <c r="R920" i="30"/>
  <c r="Q920" i="30"/>
  <c r="R919" i="30"/>
  <c r="Q919" i="30"/>
  <c r="R918" i="30"/>
  <c r="Q918" i="30"/>
  <c r="R917" i="30"/>
  <c r="Q917" i="30"/>
  <c r="R916" i="30"/>
  <c r="Q916" i="30"/>
  <c r="R915" i="30"/>
  <c r="Q915" i="30"/>
  <c r="R914" i="30"/>
  <c r="Q914" i="30"/>
  <c r="R913" i="30"/>
  <c r="Q913" i="30"/>
  <c r="R912" i="30"/>
  <c r="Q912" i="30"/>
  <c r="R911" i="30"/>
  <c r="Q911" i="30"/>
  <c r="R910" i="30"/>
  <c r="Q910" i="30"/>
  <c r="R909" i="30"/>
  <c r="Q909" i="30"/>
  <c r="R908" i="30"/>
  <c r="Q908" i="30"/>
  <c r="R907" i="30"/>
  <c r="Q907" i="30"/>
  <c r="R906" i="30"/>
  <c r="Q906" i="30"/>
  <c r="R905" i="30"/>
  <c r="Q905" i="30"/>
  <c r="R904" i="30"/>
  <c r="Q904" i="30"/>
  <c r="R903" i="30"/>
  <c r="Q903" i="30"/>
  <c r="R902" i="30"/>
  <c r="Q902" i="30"/>
  <c r="R901" i="30"/>
  <c r="Q901" i="30"/>
  <c r="R900" i="30"/>
  <c r="Q900" i="30"/>
  <c r="R899" i="30"/>
  <c r="Q899" i="30"/>
  <c r="R898" i="30"/>
  <c r="Q898" i="30"/>
  <c r="R897" i="30"/>
  <c r="Q897" i="30"/>
  <c r="R896" i="30"/>
  <c r="Q896" i="30"/>
  <c r="R895" i="30"/>
  <c r="Q895" i="30"/>
  <c r="R894" i="30"/>
  <c r="Q894" i="30"/>
  <c r="R893" i="30"/>
  <c r="Q893" i="30"/>
  <c r="R892" i="30"/>
  <c r="Q892" i="30"/>
  <c r="R891" i="30"/>
  <c r="Q891" i="30"/>
  <c r="R890" i="30"/>
  <c r="Q890" i="30"/>
  <c r="R889" i="30"/>
  <c r="Q889" i="30"/>
  <c r="R888" i="30"/>
  <c r="Q888" i="30"/>
  <c r="R887" i="30"/>
  <c r="Q887" i="30"/>
  <c r="R886" i="30"/>
  <c r="Q886" i="30"/>
  <c r="R885" i="30"/>
  <c r="Q885" i="30"/>
  <c r="R884" i="30"/>
  <c r="Q884" i="30"/>
  <c r="R883" i="30"/>
  <c r="Q883" i="30"/>
  <c r="R882" i="30"/>
  <c r="Q882" i="30"/>
  <c r="R881" i="30"/>
  <c r="Q881" i="30"/>
  <c r="R880" i="30"/>
  <c r="Q880" i="30"/>
  <c r="R879" i="30"/>
  <c r="Q879" i="30"/>
  <c r="R878" i="30"/>
  <c r="Q878" i="30"/>
  <c r="R877" i="30"/>
  <c r="Q877" i="30"/>
  <c r="R876" i="30"/>
  <c r="Q876" i="30"/>
  <c r="R875" i="30"/>
  <c r="Q875" i="30"/>
  <c r="R874" i="30"/>
  <c r="Q874" i="30"/>
  <c r="R873" i="30"/>
  <c r="Q873" i="30"/>
  <c r="R872" i="30"/>
  <c r="Q872" i="30"/>
  <c r="R871" i="30"/>
  <c r="Q871" i="30"/>
  <c r="R870" i="30"/>
  <c r="Q870" i="30"/>
  <c r="R869" i="30"/>
  <c r="Q869" i="30"/>
  <c r="R868" i="30"/>
  <c r="Q868" i="30"/>
  <c r="R867" i="30"/>
  <c r="Q867" i="30"/>
  <c r="R866" i="30"/>
  <c r="Q866" i="30"/>
  <c r="R865" i="30"/>
  <c r="Q865" i="30"/>
  <c r="R864" i="30"/>
  <c r="Q864" i="30"/>
  <c r="R863" i="30"/>
  <c r="Q863" i="30"/>
  <c r="R862" i="30"/>
  <c r="Q862" i="30"/>
  <c r="R861" i="30"/>
  <c r="Q861" i="30"/>
  <c r="R860" i="30"/>
  <c r="Q860" i="30"/>
  <c r="R859" i="30"/>
  <c r="Q859" i="30"/>
  <c r="R858" i="30"/>
  <c r="Q858" i="30"/>
  <c r="R857" i="30"/>
  <c r="Q857" i="30"/>
  <c r="R856" i="30"/>
  <c r="Q856" i="30"/>
  <c r="R855" i="30"/>
  <c r="Q855" i="30"/>
  <c r="R854" i="30"/>
  <c r="Q854" i="30"/>
  <c r="R853" i="30"/>
  <c r="Q853" i="30"/>
  <c r="R852" i="30"/>
  <c r="Q852" i="30"/>
  <c r="R851" i="30"/>
  <c r="Q851" i="30"/>
  <c r="R850" i="30"/>
  <c r="Q850" i="30"/>
  <c r="R849" i="30"/>
  <c r="Q849" i="30"/>
  <c r="R848" i="30"/>
  <c r="Q848" i="30"/>
  <c r="R847" i="30"/>
  <c r="Q847" i="30"/>
  <c r="R846" i="30"/>
  <c r="Q846" i="30"/>
  <c r="R845" i="30"/>
  <c r="Q845" i="30"/>
  <c r="R844" i="30"/>
  <c r="Q844" i="30"/>
  <c r="R843" i="30"/>
  <c r="Q843" i="30"/>
  <c r="R842" i="30"/>
  <c r="Q842" i="30"/>
  <c r="R841" i="30"/>
  <c r="Q841" i="30"/>
  <c r="R840" i="30"/>
  <c r="Q840" i="30"/>
  <c r="R839" i="30"/>
  <c r="Q839" i="30"/>
  <c r="R838" i="30"/>
  <c r="Q838" i="30"/>
  <c r="R837" i="30"/>
  <c r="Q837" i="30"/>
  <c r="R836" i="30"/>
  <c r="Q836" i="30"/>
  <c r="R835" i="30"/>
  <c r="Q835" i="30"/>
  <c r="R834" i="30"/>
  <c r="Q834" i="30"/>
  <c r="R833" i="30"/>
  <c r="Q833" i="30"/>
  <c r="R832" i="30"/>
  <c r="Q832" i="30"/>
  <c r="R831" i="30"/>
  <c r="Q831" i="30"/>
  <c r="R830" i="30"/>
  <c r="Q830" i="30"/>
  <c r="R829" i="30"/>
  <c r="Q829" i="30"/>
  <c r="R828" i="30"/>
  <c r="Q828" i="30"/>
  <c r="R827" i="30"/>
  <c r="Q827" i="30"/>
  <c r="R826" i="30"/>
  <c r="Q826" i="30"/>
  <c r="R825" i="30"/>
  <c r="Q825" i="30"/>
  <c r="R824" i="30"/>
  <c r="Q824" i="30"/>
  <c r="R823" i="30"/>
  <c r="Q823" i="30"/>
  <c r="R822" i="30"/>
  <c r="Q822" i="30"/>
  <c r="R821" i="30"/>
  <c r="Q821" i="30"/>
  <c r="R820" i="30"/>
  <c r="Q820" i="30"/>
  <c r="R819" i="30"/>
  <c r="Q819" i="30"/>
  <c r="R818" i="30"/>
  <c r="Q818" i="30"/>
  <c r="R817" i="30"/>
  <c r="Q817" i="30"/>
  <c r="R816" i="30"/>
  <c r="Q816" i="30"/>
  <c r="R815" i="30"/>
  <c r="Q815" i="30"/>
  <c r="R814" i="30"/>
  <c r="Q814" i="30"/>
  <c r="R813" i="30"/>
  <c r="Q813" i="30"/>
  <c r="R812" i="30"/>
  <c r="Q812" i="30"/>
  <c r="R811" i="30"/>
  <c r="Q811" i="30"/>
  <c r="R810" i="30"/>
  <c r="Q810" i="30"/>
  <c r="R809" i="30"/>
  <c r="Q809" i="30"/>
  <c r="R808" i="30"/>
  <c r="Q808" i="30"/>
  <c r="R807" i="30"/>
  <c r="Q807" i="30"/>
  <c r="R806" i="30"/>
  <c r="Q806" i="30"/>
  <c r="R805" i="30"/>
  <c r="Q805" i="30"/>
  <c r="R804" i="30"/>
  <c r="Q804" i="30"/>
  <c r="R803" i="30"/>
  <c r="Q803" i="30"/>
  <c r="R802" i="30"/>
  <c r="Q802" i="30"/>
  <c r="R801" i="30"/>
  <c r="Q801" i="30"/>
  <c r="R800" i="30"/>
  <c r="Q800" i="30"/>
  <c r="R799" i="30"/>
  <c r="Q799" i="30"/>
  <c r="R798" i="30"/>
  <c r="Q798" i="30"/>
  <c r="R797" i="30"/>
  <c r="Q797" i="30"/>
  <c r="R796" i="30"/>
  <c r="Q796" i="30"/>
  <c r="R795" i="30"/>
  <c r="Q795" i="30"/>
  <c r="R794" i="30"/>
  <c r="Q794" i="30"/>
  <c r="R793" i="30"/>
  <c r="Q793" i="30"/>
  <c r="R792" i="30"/>
  <c r="Q792" i="30"/>
  <c r="R791" i="30"/>
  <c r="Q791" i="30"/>
  <c r="R790" i="30"/>
  <c r="Q790" i="30"/>
  <c r="R789" i="30"/>
  <c r="Q789" i="30"/>
  <c r="R788" i="30"/>
  <c r="Q788" i="30"/>
  <c r="R787" i="30"/>
  <c r="Q787" i="30"/>
  <c r="R786" i="30"/>
  <c r="Q786" i="30"/>
  <c r="R785" i="30"/>
  <c r="Q785" i="30"/>
  <c r="R784" i="30"/>
  <c r="Q784" i="30"/>
  <c r="R783" i="30"/>
  <c r="Q783" i="30"/>
  <c r="R782" i="30"/>
  <c r="Q782" i="30"/>
  <c r="R781" i="30"/>
  <c r="Q781" i="30"/>
  <c r="R780" i="30"/>
  <c r="Q780" i="30"/>
  <c r="R779" i="30"/>
  <c r="Q779" i="30"/>
  <c r="R778" i="30"/>
  <c r="Q778" i="30"/>
  <c r="R777" i="30"/>
  <c r="Q777" i="30"/>
  <c r="R776" i="30"/>
  <c r="Q776" i="30"/>
  <c r="R775" i="30"/>
  <c r="Q775" i="30"/>
  <c r="R774" i="30"/>
  <c r="Q774" i="30"/>
  <c r="R773" i="30"/>
  <c r="Q773" i="30"/>
  <c r="R772" i="30"/>
  <c r="Q772" i="30"/>
  <c r="R771" i="30"/>
  <c r="Q771" i="30"/>
  <c r="R770" i="30"/>
  <c r="Q770" i="30"/>
  <c r="R769" i="30"/>
  <c r="Q769" i="30"/>
  <c r="R768" i="30"/>
  <c r="Q768" i="30"/>
  <c r="R767" i="30"/>
  <c r="Q767" i="30"/>
  <c r="R766" i="30"/>
  <c r="Q766" i="30"/>
  <c r="R765" i="30"/>
  <c r="Q765" i="30"/>
  <c r="R764" i="30"/>
  <c r="Q764" i="30"/>
  <c r="R763" i="30"/>
  <c r="Q763" i="30"/>
  <c r="R762" i="30"/>
  <c r="Q762" i="30"/>
  <c r="R761" i="30"/>
  <c r="Q761" i="30"/>
  <c r="R760" i="30"/>
  <c r="Q760" i="30"/>
  <c r="R759" i="30"/>
  <c r="Q759" i="30"/>
  <c r="R758" i="30"/>
  <c r="Q758" i="30"/>
  <c r="R757" i="30"/>
  <c r="Q757" i="30"/>
  <c r="R756" i="30"/>
  <c r="Q756" i="30"/>
  <c r="R755" i="30"/>
  <c r="Q755" i="30"/>
  <c r="R754" i="30"/>
  <c r="Q754" i="30"/>
  <c r="R753" i="30"/>
  <c r="Q753" i="30"/>
  <c r="R752" i="30"/>
  <c r="Q752" i="30"/>
  <c r="R751" i="30"/>
  <c r="Q751" i="30"/>
  <c r="R750" i="30"/>
  <c r="Q750" i="30"/>
  <c r="R749" i="30"/>
  <c r="Q749" i="30"/>
  <c r="R748" i="30"/>
  <c r="Q748" i="30"/>
  <c r="R747" i="30"/>
  <c r="Q747" i="30"/>
  <c r="R746" i="30"/>
  <c r="Q746" i="30"/>
  <c r="R745" i="30"/>
  <c r="Q745" i="30"/>
  <c r="R744" i="30"/>
  <c r="Q744" i="30"/>
  <c r="R743" i="30"/>
  <c r="Q743" i="30"/>
  <c r="R742" i="30"/>
  <c r="Q742" i="30"/>
  <c r="R741" i="30"/>
  <c r="Q741" i="30"/>
  <c r="R740" i="30"/>
  <c r="Q740" i="30"/>
  <c r="R739" i="30"/>
  <c r="Q739" i="30"/>
  <c r="R738" i="30"/>
  <c r="Q738" i="30"/>
  <c r="R737" i="30"/>
  <c r="Q737" i="30"/>
  <c r="R736" i="30"/>
  <c r="Q736" i="30"/>
  <c r="R735" i="30"/>
  <c r="Q735" i="30"/>
  <c r="R734" i="30"/>
  <c r="Q734" i="30"/>
  <c r="R733" i="30"/>
  <c r="Q733" i="30"/>
  <c r="R732" i="30"/>
  <c r="Q732" i="30"/>
  <c r="R731" i="30"/>
  <c r="Q731" i="30"/>
  <c r="R730" i="30"/>
  <c r="Q730" i="30"/>
  <c r="R729" i="30"/>
  <c r="Q729" i="30"/>
  <c r="R728" i="30"/>
  <c r="Q728" i="30"/>
  <c r="R727" i="30"/>
  <c r="Q727" i="30"/>
  <c r="R726" i="30"/>
  <c r="Q726" i="30"/>
  <c r="R725" i="30"/>
  <c r="Q725" i="30"/>
  <c r="R724" i="30"/>
  <c r="Q724" i="30"/>
  <c r="R723" i="30"/>
  <c r="Q723" i="30"/>
  <c r="R722" i="30"/>
  <c r="Q722" i="30"/>
  <c r="R721" i="30"/>
  <c r="Q721" i="30"/>
  <c r="R720" i="30"/>
  <c r="Q720" i="30"/>
  <c r="R719" i="30"/>
  <c r="Q719" i="30"/>
  <c r="R718" i="30"/>
  <c r="Q718" i="30"/>
  <c r="R717" i="30"/>
  <c r="Q717" i="30"/>
  <c r="R716" i="30"/>
  <c r="Q716" i="30"/>
  <c r="R715" i="30"/>
  <c r="Q715" i="30"/>
  <c r="R714" i="30"/>
  <c r="Q714" i="30"/>
  <c r="R713" i="30"/>
  <c r="Q713" i="30"/>
  <c r="R712" i="30"/>
  <c r="Q712" i="30"/>
  <c r="R711" i="30"/>
  <c r="Q711" i="30"/>
  <c r="R710" i="30"/>
  <c r="Q710" i="30"/>
  <c r="R709" i="30"/>
  <c r="Q709" i="30"/>
  <c r="R708" i="30"/>
  <c r="Q708" i="30"/>
  <c r="R707" i="30"/>
  <c r="Q707" i="30"/>
  <c r="R706" i="30"/>
  <c r="Q706" i="30"/>
  <c r="R705" i="30"/>
  <c r="Q705" i="30"/>
  <c r="R704" i="30"/>
  <c r="Q704" i="30"/>
  <c r="R703" i="30"/>
  <c r="Q703" i="30"/>
  <c r="R702" i="30"/>
  <c r="Q702" i="30"/>
  <c r="R701" i="30"/>
  <c r="Q701" i="30"/>
  <c r="R700" i="30"/>
  <c r="Q700" i="30"/>
  <c r="R699" i="30"/>
  <c r="Q699" i="30"/>
  <c r="R698" i="30"/>
  <c r="Q698" i="30"/>
  <c r="R697" i="30"/>
  <c r="Q697" i="30"/>
  <c r="R696" i="30"/>
  <c r="Q696" i="30"/>
  <c r="R695" i="30"/>
  <c r="Q695" i="30"/>
  <c r="R694" i="30"/>
  <c r="Q694" i="30"/>
  <c r="R693" i="30"/>
  <c r="Q693" i="30"/>
  <c r="R692" i="30"/>
  <c r="Q692" i="30"/>
  <c r="R691" i="30"/>
  <c r="Q691" i="30"/>
  <c r="R690" i="30"/>
  <c r="Q690" i="30"/>
  <c r="R689" i="30"/>
  <c r="Q689" i="30"/>
  <c r="R688" i="30"/>
  <c r="Q688" i="30"/>
  <c r="R687" i="30"/>
  <c r="Q687" i="30"/>
  <c r="R686" i="30"/>
  <c r="Q686" i="30"/>
  <c r="R685" i="30"/>
  <c r="Q685" i="30"/>
  <c r="R684" i="30"/>
  <c r="Q684" i="30"/>
  <c r="R683" i="30"/>
  <c r="Q683" i="30"/>
  <c r="R682" i="30"/>
  <c r="Q682" i="30"/>
  <c r="R681" i="30"/>
  <c r="Q681" i="30"/>
  <c r="R680" i="30"/>
  <c r="Q680" i="30"/>
  <c r="R679" i="30"/>
  <c r="Q679" i="30"/>
  <c r="R678" i="30"/>
  <c r="Q678" i="30"/>
  <c r="R677" i="30"/>
  <c r="Q677" i="30"/>
  <c r="R676" i="30"/>
  <c r="Q676" i="30"/>
  <c r="R675" i="30"/>
  <c r="Q675" i="30"/>
  <c r="R674" i="30"/>
  <c r="Q674" i="30"/>
  <c r="R673" i="30"/>
  <c r="Q673" i="30"/>
  <c r="R672" i="30"/>
  <c r="Q672" i="30"/>
  <c r="R671" i="30"/>
  <c r="Q671" i="30"/>
  <c r="R670" i="30"/>
  <c r="Q670" i="30"/>
  <c r="R669" i="30"/>
  <c r="Q669" i="30"/>
  <c r="R668" i="30"/>
  <c r="Q668" i="30"/>
  <c r="R667" i="30"/>
  <c r="Q667" i="30"/>
  <c r="R666" i="30"/>
  <c r="Q666" i="30"/>
  <c r="R665" i="30"/>
  <c r="Q665" i="30"/>
  <c r="R664" i="30"/>
  <c r="Q664" i="30"/>
  <c r="R663" i="30"/>
  <c r="Q663" i="30"/>
  <c r="R662" i="30"/>
  <c r="Q662" i="30"/>
  <c r="R661" i="30"/>
  <c r="Q661" i="30"/>
  <c r="R660" i="30"/>
  <c r="Q660" i="30"/>
  <c r="R659" i="30"/>
  <c r="Q659" i="30"/>
  <c r="R658" i="30"/>
  <c r="Q658" i="30"/>
  <c r="R657" i="30"/>
  <c r="Q657" i="30"/>
  <c r="R656" i="30"/>
  <c r="Q656" i="30"/>
  <c r="R655" i="30"/>
  <c r="Q655" i="30"/>
  <c r="R654" i="30"/>
  <c r="Q654" i="30"/>
  <c r="R653" i="30"/>
  <c r="Q653" i="30"/>
  <c r="R652" i="30"/>
  <c r="Q652" i="30"/>
  <c r="R651" i="30"/>
  <c r="Q651" i="30"/>
  <c r="R650" i="30"/>
  <c r="Q650" i="30"/>
  <c r="R649" i="30"/>
  <c r="Q649" i="30"/>
  <c r="R648" i="30"/>
  <c r="Q648" i="30"/>
  <c r="R647" i="30"/>
  <c r="Q647" i="30"/>
  <c r="R646" i="30"/>
  <c r="Q646" i="30"/>
  <c r="R645" i="30"/>
  <c r="Q645" i="30"/>
  <c r="R644" i="30"/>
  <c r="Q644" i="30"/>
  <c r="R643" i="30"/>
  <c r="Q643" i="30"/>
  <c r="R642" i="30"/>
  <c r="Q642" i="30"/>
  <c r="R641" i="30"/>
  <c r="Q641" i="30"/>
  <c r="R640" i="30"/>
  <c r="Q640" i="30"/>
  <c r="R639" i="30"/>
  <c r="Q639" i="30"/>
  <c r="R638" i="30"/>
  <c r="Q638" i="30"/>
  <c r="R637" i="30"/>
  <c r="Q637" i="30"/>
  <c r="R636" i="30"/>
  <c r="Q636" i="30"/>
  <c r="R635" i="30"/>
  <c r="Q635" i="30"/>
  <c r="R634" i="30"/>
  <c r="Q634" i="30"/>
  <c r="R633" i="30"/>
  <c r="Q633" i="30"/>
  <c r="R632" i="30"/>
  <c r="Q632" i="30"/>
  <c r="R631" i="30"/>
  <c r="Q631" i="30"/>
  <c r="R630" i="30"/>
  <c r="Q630" i="30"/>
  <c r="R629" i="30"/>
  <c r="Q629" i="30"/>
  <c r="R628" i="30"/>
  <c r="Q628" i="30"/>
  <c r="R627" i="30"/>
  <c r="Q627" i="30"/>
  <c r="R626" i="30"/>
  <c r="Q626" i="30"/>
  <c r="R625" i="30"/>
  <c r="Q625" i="30"/>
  <c r="R624" i="30"/>
  <c r="Q624" i="30"/>
  <c r="R623" i="30"/>
  <c r="Q623" i="30"/>
  <c r="R622" i="30"/>
  <c r="Q622" i="30"/>
  <c r="R621" i="30"/>
  <c r="Q621" i="30"/>
  <c r="R620" i="30"/>
  <c r="Q620" i="30"/>
  <c r="R619" i="30"/>
  <c r="Q619" i="30"/>
  <c r="R618" i="30"/>
  <c r="Q618" i="30"/>
  <c r="R617" i="30"/>
  <c r="Q617" i="30"/>
  <c r="R616" i="30"/>
  <c r="Q616" i="30"/>
  <c r="R615" i="30"/>
  <c r="Q615" i="30"/>
  <c r="R614" i="30"/>
  <c r="Q614" i="30"/>
  <c r="R613" i="30"/>
  <c r="Q613" i="30"/>
  <c r="R612" i="30"/>
  <c r="Q612" i="30"/>
  <c r="R611" i="30"/>
  <c r="Q611" i="30"/>
  <c r="R610" i="30"/>
  <c r="Q610" i="30"/>
  <c r="R609" i="30"/>
  <c r="Q609" i="30"/>
  <c r="R608" i="30"/>
  <c r="Q608" i="30"/>
  <c r="R607" i="30"/>
  <c r="Q607" i="30"/>
  <c r="R606" i="30"/>
  <c r="Q606" i="30"/>
  <c r="R605" i="30"/>
  <c r="Q605" i="30"/>
  <c r="R604" i="30"/>
  <c r="Q604" i="30"/>
  <c r="R603" i="30"/>
  <c r="Q603" i="30"/>
  <c r="R602" i="30"/>
  <c r="Q602" i="30"/>
  <c r="R601" i="30"/>
  <c r="Q601" i="30"/>
  <c r="R600" i="30"/>
  <c r="Q600" i="30"/>
  <c r="R599" i="30"/>
  <c r="Q599" i="30"/>
  <c r="R598" i="30"/>
  <c r="Q598" i="30"/>
  <c r="R597" i="30"/>
  <c r="Q597" i="30"/>
  <c r="R596" i="30"/>
  <c r="Q596" i="30"/>
  <c r="R595" i="30"/>
  <c r="Q595" i="30"/>
  <c r="R594" i="30"/>
  <c r="Q594" i="30"/>
  <c r="R593" i="30"/>
  <c r="Q593" i="30"/>
  <c r="R592" i="30"/>
  <c r="Q592" i="30"/>
  <c r="R591" i="30"/>
  <c r="Q591" i="30"/>
  <c r="R590" i="30"/>
  <c r="Q590" i="30"/>
  <c r="R589" i="30"/>
  <c r="Q589" i="30"/>
  <c r="R588" i="30"/>
  <c r="Q588" i="30"/>
  <c r="R587" i="30"/>
  <c r="Q587" i="30"/>
  <c r="R586" i="30"/>
  <c r="Q586" i="30"/>
  <c r="R585" i="30"/>
  <c r="Q585" i="30"/>
  <c r="R584" i="30"/>
  <c r="Q584" i="30"/>
  <c r="R583" i="30"/>
  <c r="Q583" i="30"/>
  <c r="R582" i="30"/>
  <c r="Q582" i="30"/>
  <c r="R581" i="30"/>
  <c r="Q581" i="30"/>
  <c r="R580" i="30"/>
  <c r="Q580" i="30"/>
  <c r="R579" i="30"/>
  <c r="Q579" i="30"/>
  <c r="R578" i="30"/>
  <c r="Q578" i="30"/>
  <c r="R577" i="30"/>
  <c r="Q577" i="30"/>
  <c r="R576" i="30"/>
  <c r="Q576" i="30"/>
  <c r="R575" i="30"/>
  <c r="Q575" i="30"/>
  <c r="R574" i="30"/>
  <c r="Q574" i="30"/>
  <c r="R573" i="30"/>
  <c r="Q573" i="30"/>
  <c r="R572" i="30"/>
  <c r="Q572" i="30"/>
  <c r="R571" i="30"/>
  <c r="Q571" i="30"/>
  <c r="R570" i="30"/>
  <c r="Q570" i="30"/>
  <c r="R569" i="30"/>
  <c r="Q569" i="30"/>
  <c r="R568" i="30"/>
  <c r="Q568" i="30"/>
  <c r="R567" i="30"/>
  <c r="Q567" i="30"/>
  <c r="R566" i="30"/>
  <c r="Q566" i="30"/>
  <c r="R565" i="30"/>
  <c r="Q565" i="30"/>
  <c r="R564" i="30"/>
  <c r="Q564" i="30"/>
  <c r="R563" i="30"/>
  <c r="Q563" i="30"/>
  <c r="R562" i="30"/>
  <c r="Q562" i="30"/>
  <c r="R561" i="30"/>
  <c r="Q561" i="30"/>
  <c r="R560" i="30"/>
  <c r="Q560" i="30"/>
  <c r="R559" i="30"/>
  <c r="Q559" i="30"/>
  <c r="R558" i="30"/>
  <c r="Q558" i="30"/>
  <c r="R557" i="30"/>
  <c r="Q557" i="30"/>
  <c r="R556" i="30"/>
  <c r="Q556" i="30"/>
  <c r="R555" i="30"/>
  <c r="Q555" i="30"/>
  <c r="R554" i="30"/>
  <c r="Q554" i="30"/>
  <c r="R553" i="30"/>
  <c r="Q553" i="30"/>
  <c r="R552" i="30"/>
  <c r="Q552" i="30"/>
  <c r="R551" i="30"/>
  <c r="Q551" i="30"/>
  <c r="R550" i="30"/>
  <c r="Q550" i="30"/>
  <c r="R549" i="30"/>
  <c r="Q549" i="30"/>
  <c r="R548" i="30"/>
  <c r="Q548" i="30"/>
  <c r="R547" i="30"/>
  <c r="Q547" i="30"/>
  <c r="R546" i="30"/>
  <c r="Q546" i="30"/>
  <c r="R545" i="30"/>
  <c r="Q545" i="30"/>
  <c r="R544" i="30"/>
  <c r="Q544" i="30"/>
  <c r="R543" i="30"/>
  <c r="Q543" i="30"/>
  <c r="R542" i="30"/>
  <c r="Q542" i="30"/>
  <c r="R541" i="30"/>
  <c r="Q541" i="30"/>
  <c r="R540" i="30"/>
  <c r="Q540" i="30"/>
  <c r="R539" i="30"/>
  <c r="Q539" i="30"/>
  <c r="R538" i="30"/>
  <c r="Q538" i="30"/>
  <c r="R537" i="30"/>
  <c r="Q537" i="30"/>
  <c r="R536" i="30"/>
  <c r="Q536" i="30"/>
  <c r="R535" i="30"/>
  <c r="Q535" i="30"/>
  <c r="R534" i="30"/>
  <c r="Q534" i="30"/>
  <c r="R533" i="30"/>
  <c r="Q533" i="30"/>
  <c r="R532" i="30"/>
  <c r="Q532" i="30"/>
  <c r="R531" i="30"/>
  <c r="Q531" i="30"/>
  <c r="R530" i="30"/>
  <c r="Q530" i="30"/>
  <c r="R529" i="30"/>
  <c r="Q529" i="30"/>
  <c r="R528" i="30"/>
  <c r="Q528" i="30"/>
  <c r="R527" i="30"/>
  <c r="Q527" i="30"/>
  <c r="R526" i="30"/>
  <c r="Q526" i="30"/>
  <c r="R525" i="30"/>
  <c r="Q525" i="30"/>
  <c r="R524" i="30"/>
  <c r="Q524" i="30"/>
  <c r="R523" i="30"/>
  <c r="Q523" i="30"/>
  <c r="R522" i="30"/>
  <c r="Q522" i="30"/>
  <c r="R521" i="30"/>
  <c r="Q521" i="30"/>
  <c r="R520" i="30"/>
  <c r="Q520" i="30"/>
  <c r="R519" i="30"/>
  <c r="Q519" i="30"/>
  <c r="R518" i="30"/>
  <c r="Q518" i="30"/>
  <c r="R517" i="30"/>
  <c r="Q517" i="30"/>
  <c r="R516" i="30"/>
  <c r="Q516" i="30"/>
  <c r="R515" i="30"/>
  <c r="Q515" i="30"/>
  <c r="R514" i="30"/>
  <c r="Q514" i="30"/>
  <c r="R513" i="30"/>
  <c r="Q513" i="30"/>
  <c r="R512" i="30"/>
  <c r="Q512" i="30"/>
  <c r="R511" i="30"/>
  <c r="Q511" i="30"/>
  <c r="R510" i="30"/>
  <c r="Q510" i="30"/>
  <c r="R509" i="30"/>
  <c r="Q509" i="30"/>
  <c r="R508" i="30"/>
  <c r="Q508" i="30"/>
  <c r="R507" i="30"/>
  <c r="Q507" i="30"/>
  <c r="R506" i="30"/>
  <c r="Q506" i="30"/>
  <c r="R505" i="30"/>
  <c r="Q505" i="30"/>
  <c r="R504" i="30"/>
  <c r="Q504" i="30"/>
  <c r="R503" i="30"/>
  <c r="Q503" i="30"/>
  <c r="R502" i="30"/>
  <c r="Q502" i="30"/>
  <c r="R501" i="30"/>
  <c r="Q501" i="30"/>
  <c r="R500" i="30"/>
  <c r="Q500" i="30"/>
  <c r="R499" i="30"/>
  <c r="Q499" i="30"/>
  <c r="R498" i="30"/>
  <c r="Q498" i="30"/>
  <c r="R497" i="30"/>
  <c r="Q497" i="30"/>
  <c r="R496" i="30"/>
  <c r="Q496" i="30"/>
  <c r="R495" i="30"/>
  <c r="Q495" i="30"/>
  <c r="R494" i="30"/>
  <c r="Q494" i="30"/>
  <c r="R493" i="30"/>
  <c r="Q493" i="30"/>
  <c r="R492" i="30"/>
  <c r="Q492" i="30"/>
  <c r="R491" i="30"/>
  <c r="Q491" i="30"/>
  <c r="R490" i="30"/>
  <c r="Q490" i="30"/>
  <c r="R489" i="30"/>
  <c r="Q489" i="30"/>
  <c r="R488" i="30"/>
  <c r="Q488" i="30"/>
  <c r="R487" i="30"/>
  <c r="Q487" i="30"/>
  <c r="R486" i="30"/>
  <c r="Q486" i="30"/>
  <c r="R485" i="30"/>
  <c r="Q485" i="30"/>
  <c r="R484" i="30"/>
  <c r="Q484" i="30"/>
  <c r="R483" i="30"/>
  <c r="Q483" i="30"/>
  <c r="R482" i="30"/>
  <c r="Q482" i="30"/>
  <c r="R481" i="30"/>
  <c r="Q481" i="30"/>
  <c r="R480" i="30"/>
  <c r="Q480" i="30"/>
  <c r="R479" i="30"/>
  <c r="Q479" i="30"/>
  <c r="R478" i="30"/>
  <c r="Q478" i="30"/>
  <c r="R477" i="30"/>
  <c r="Q477" i="30"/>
  <c r="R476" i="30"/>
  <c r="Q476" i="30"/>
  <c r="R475" i="30"/>
  <c r="Q475" i="30"/>
  <c r="R474" i="30"/>
  <c r="Q474" i="30"/>
  <c r="R473" i="30"/>
  <c r="Q473" i="30"/>
  <c r="R472" i="30"/>
  <c r="Q472" i="30"/>
  <c r="R471" i="30"/>
  <c r="Q471" i="30"/>
  <c r="R470" i="30"/>
  <c r="Q470" i="30"/>
  <c r="R469" i="30"/>
  <c r="Q469" i="30"/>
  <c r="R468" i="30"/>
  <c r="Q468" i="30"/>
  <c r="R467" i="30"/>
  <c r="Q467" i="30"/>
  <c r="R466" i="30"/>
  <c r="Q466" i="30"/>
  <c r="R465" i="30"/>
  <c r="Q465" i="30"/>
  <c r="R464" i="30"/>
  <c r="Q464" i="30"/>
  <c r="R463" i="30"/>
  <c r="Q463" i="30"/>
  <c r="R462" i="30"/>
  <c r="Q462" i="30"/>
  <c r="R461" i="30"/>
  <c r="Q461" i="30"/>
  <c r="R460" i="30"/>
  <c r="Q460" i="30"/>
  <c r="R459" i="30"/>
  <c r="Q459" i="30"/>
  <c r="R458" i="30"/>
  <c r="Q458" i="30"/>
  <c r="R457" i="30"/>
  <c r="Q457" i="30"/>
  <c r="R456" i="30"/>
  <c r="Q456" i="30"/>
  <c r="R455" i="30"/>
  <c r="Q455" i="30"/>
  <c r="R454" i="30"/>
  <c r="Q454" i="30"/>
  <c r="R453" i="30"/>
  <c r="Q453" i="30"/>
  <c r="R452" i="30"/>
  <c r="Q452" i="30"/>
  <c r="R451" i="30"/>
  <c r="Q451" i="30"/>
  <c r="R450" i="30"/>
  <c r="Q450" i="30"/>
  <c r="R449" i="30"/>
  <c r="Q449" i="30"/>
  <c r="R448" i="30"/>
  <c r="Q448" i="30"/>
  <c r="R447" i="30"/>
  <c r="Q447" i="30"/>
  <c r="R446" i="30"/>
  <c r="Q446" i="30"/>
  <c r="R445" i="30"/>
  <c r="Q445" i="30"/>
  <c r="R444" i="30"/>
  <c r="Q444" i="30"/>
  <c r="R443" i="30"/>
  <c r="Q443" i="30"/>
  <c r="R442" i="30"/>
  <c r="Q442" i="30"/>
  <c r="R441" i="30"/>
  <c r="Q441" i="30"/>
  <c r="R440" i="30"/>
  <c r="Q440" i="30"/>
  <c r="R439" i="30"/>
  <c r="Q439" i="30"/>
  <c r="R438" i="30"/>
  <c r="Q438" i="30"/>
  <c r="R437" i="30"/>
  <c r="Q437" i="30"/>
  <c r="R436" i="30"/>
  <c r="Q436" i="30"/>
  <c r="R435" i="30"/>
  <c r="Q435" i="30"/>
  <c r="R434" i="30"/>
  <c r="Q434" i="30"/>
  <c r="R433" i="30"/>
  <c r="Q433" i="30"/>
  <c r="R432" i="30"/>
  <c r="Q432" i="30"/>
  <c r="R431" i="30"/>
  <c r="Q431" i="30"/>
  <c r="R430" i="30"/>
  <c r="Q430" i="30"/>
  <c r="R429" i="30"/>
  <c r="Q429" i="30"/>
  <c r="R428" i="30"/>
  <c r="Q428" i="30"/>
  <c r="R427" i="30"/>
  <c r="Q427" i="30"/>
  <c r="R426" i="30"/>
  <c r="Q426" i="30"/>
  <c r="R425" i="30"/>
  <c r="Q425" i="30"/>
  <c r="R424" i="30"/>
  <c r="Q424" i="30"/>
  <c r="R423" i="30"/>
  <c r="Q423" i="30"/>
  <c r="R422" i="30"/>
  <c r="Q422" i="30"/>
  <c r="R421" i="30"/>
  <c r="Q421" i="30"/>
  <c r="R420" i="30"/>
  <c r="Q420" i="30"/>
  <c r="R419" i="30"/>
  <c r="Q419" i="30"/>
  <c r="R418" i="30"/>
  <c r="Q418" i="30"/>
  <c r="R417" i="30"/>
  <c r="Q417" i="30"/>
  <c r="R416" i="30"/>
  <c r="Q416" i="30"/>
  <c r="R415" i="30"/>
  <c r="Q415" i="30"/>
  <c r="R414" i="30"/>
  <c r="Q414" i="30"/>
  <c r="R413" i="30"/>
  <c r="Q413" i="30"/>
  <c r="R412" i="30"/>
  <c r="Q412" i="30"/>
  <c r="R411" i="30"/>
  <c r="Q411" i="30"/>
  <c r="R410" i="30"/>
  <c r="Q410" i="30"/>
  <c r="R409" i="30"/>
  <c r="Q409" i="30"/>
  <c r="R408" i="30"/>
  <c r="Q408" i="30"/>
  <c r="R407" i="30"/>
  <c r="Q407" i="30"/>
  <c r="R406" i="30"/>
  <c r="Q406" i="30"/>
  <c r="R405" i="30"/>
  <c r="Q405" i="30"/>
  <c r="R404" i="30"/>
  <c r="Q404" i="30"/>
  <c r="R403" i="30"/>
  <c r="Q403" i="30"/>
  <c r="R402" i="30"/>
  <c r="Q402" i="30"/>
  <c r="R401" i="30"/>
  <c r="Q401" i="30"/>
  <c r="R400" i="30"/>
  <c r="Q400" i="30"/>
  <c r="R399" i="30"/>
  <c r="Q399" i="30"/>
  <c r="R398" i="30"/>
  <c r="Q398" i="30"/>
  <c r="R397" i="30"/>
  <c r="Q397" i="30"/>
  <c r="R396" i="30"/>
  <c r="Q396" i="30"/>
  <c r="R395" i="30"/>
  <c r="Q395" i="30"/>
  <c r="R394" i="30"/>
  <c r="Q394" i="30"/>
  <c r="R393" i="30"/>
  <c r="Q393" i="30"/>
  <c r="R392" i="30"/>
  <c r="Q392" i="30"/>
  <c r="R391" i="30"/>
  <c r="Q391" i="30"/>
  <c r="R390" i="30"/>
  <c r="Q390" i="30"/>
  <c r="R389" i="30"/>
  <c r="Q389" i="30"/>
  <c r="R388" i="30"/>
  <c r="Q388" i="30"/>
  <c r="R387" i="30"/>
  <c r="Q387" i="30"/>
  <c r="R386" i="30"/>
  <c r="Q386" i="30"/>
  <c r="R385" i="30"/>
  <c r="Q385" i="30"/>
  <c r="R384" i="30"/>
  <c r="Q384" i="30"/>
  <c r="R383" i="30"/>
  <c r="Q383" i="30"/>
  <c r="R382" i="30"/>
  <c r="Q382" i="30"/>
  <c r="R381" i="30"/>
  <c r="Q381" i="30"/>
  <c r="R380" i="30"/>
  <c r="Q380" i="30"/>
  <c r="R379" i="30"/>
  <c r="Q379" i="30"/>
  <c r="R378" i="30"/>
  <c r="Q378" i="30"/>
  <c r="R377" i="30"/>
  <c r="Q377" i="30"/>
  <c r="R376" i="30"/>
  <c r="Q376" i="30"/>
  <c r="R375" i="30"/>
  <c r="Q375" i="30"/>
  <c r="R374" i="30"/>
  <c r="Q374" i="30"/>
  <c r="R373" i="30"/>
  <c r="Q373" i="30"/>
  <c r="R372" i="30"/>
  <c r="Q372" i="30"/>
  <c r="R371" i="30"/>
  <c r="Q371" i="30"/>
  <c r="R370" i="30"/>
  <c r="Q370" i="30"/>
  <c r="R369" i="30"/>
  <c r="Q369" i="30"/>
  <c r="R368" i="30"/>
  <c r="Q368" i="30"/>
  <c r="R367" i="30"/>
  <c r="Q367" i="30"/>
  <c r="R366" i="30"/>
  <c r="Q366" i="30"/>
  <c r="R365" i="30"/>
  <c r="Q365" i="30"/>
  <c r="R364" i="30"/>
  <c r="Q364" i="30"/>
  <c r="R363" i="30"/>
  <c r="Q363" i="30"/>
  <c r="R362" i="30"/>
  <c r="Q362" i="30"/>
  <c r="R361" i="30"/>
  <c r="Q361" i="30"/>
  <c r="R360" i="30"/>
  <c r="Q360" i="30"/>
  <c r="R359" i="30"/>
  <c r="Q359" i="30"/>
  <c r="R358" i="30"/>
  <c r="Q358" i="30"/>
  <c r="R357" i="30"/>
  <c r="Q357" i="30"/>
  <c r="R356" i="30"/>
  <c r="Q356" i="30"/>
  <c r="R355" i="30"/>
  <c r="Q355" i="30"/>
  <c r="R354" i="30"/>
  <c r="Q354" i="30"/>
  <c r="R353" i="30"/>
  <c r="Q353" i="30"/>
  <c r="R352" i="30"/>
  <c r="Q352" i="30"/>
  <c r="R351" i="30"/>
  <c r="Q351" i="30"/>
  <c r="R350" i="30"/>
  <c r="Q350" i="30"/>
  <c r="R349" i="30"/>
  <c r="Q349" i="30"/>
  <c r="R348" i="30"/>
  <c r="Q348" i="30"/>
  <c r="R347" i="30"/>
  <c r="Q347" i="30"/>
  <c r="R346" i="30"/>
  <c r="Q346" i="30"/>
  <c r="R345" i="30"/>
  <c r="Q345" i="30"/>
  <c r="R344" i="30"/>
  <c r="Q344" i="30"/>
  <c r="R343" i="30"/>
  <c r="Q343" i="30"/>
  <c r="R342" i="30"/>
  <c r="Q342" i="30"/>
  <c r="R341" i="30"/>
  <c r="Q341" i="30"/>
  <c r="R340" i="30"/>
  <c r="Q340" i="30"/>
  <c r="R339" i="30"/>
  <c r="Q339" i="30"/>
  <c r="R338" i="30"/>
  <c r="Q338" i="30"/>
  <c r="R337" i="30"/>
  <c r="Q337" i="30"/>
  <c r="R336" i="30"/>
  <c r="Q336" i="30"/>
  <c r="R335" i="30"/>
  <c r="Q335" i="30"/>
  <c r="R334" i="30"/>
  <c r="Q334" i="30"/>
  <c r="R333" i="30"/>
  <c r="Q333" i="30"/>
  <c r="R332" i="30"/>
  <c r="Q332" i="30"/>
  <c r="R331" i="30"/>
  <c r="Q331" i="30"/>
  <c r="R330" i="30"/>
  <c r="Q330" i="30"/>
  <c r="R329" i="30"/>
  <c r="Q329" i="30"/>
  <c r="R328" i="30"/>
  <c r="Q328" i="30"/>
  <c r="R327" i="30"/>
  <c r="Q327" i="30"/>
  <c r="R326" i="30"/>
  <c r="Q326" i="30"/>
  <c r="R325" i="30"/>
  <c r="Q325" i="30"/>
  <c r="R324" i="30"/>
  <c r="Q324" i="30"/>
  <c r="R323" i="30"/>
  <c r="Q323" i="30"/>
  <c r="R322" i="30"/>
  <c r="Q322" i="30"/>
  <c r="R321" i="30"/>
  <c r="Q321" i="30"/>
  <c r="R320" i="30"/>
  <c r="Q320" i="30"/>
  <c r="R319" i="30"/>
  <c r="Q319" i="30"/>
  <c r="R318" i="30"/>
  <c r="Q318" i="30"/>
  <c r="R317" i="30"/>
  <c r="Q317" i="30"/>
  <c r="R316" i="30"/>
  <c r="Q316" i="30"/>
  <c r="R315" i="30"/>
  <c r="Q315" i="30"/>
  <c r="R314" i="30"/>
  <c r="Q314" i="30"/>
  <c r="R313" i="30"/>
  <c r="Q313" i="30"/>
  <c r="R312" i="30"/>
  <c r="Q312" i="30"/>
  <c r="R311" i="30"/>
  <c r="Q311" i="30"/>
  <c r="R310" i="30"/>
  <c r="Q310" i="30"/>
  <c r="R309" i="30"/>
  <c r="Q309" i="30"/>
  <c r="R308" i="30"/>
  <c r="Q308" i="30"/>
  <c r="R307" i="30"/>
  <c r="Q307" i="30"/>
  <c r="R306" i="30"/>
  <c r="Q306" i="30"/>
  <c r="R305" i="30"/>
  <c r="Q305" i="30"/>
  <c r="R304" i="30"/>
  <c r="Q304" i="30"/>
  <c r="R303" i="30"/>
  <c r="Q303" i="30"/>
  <c r="R302" i="30"/>
  <c r="Q302" i="30"/>
  <c r="R301" i="30"/>
  <c r="Q301" i="30"/>
  <c r="R300" i="30"/>
  <c r="Q300" i="30"/>
  <c r="R299" i="30"/>
  <c r="Q299" i="30"/>
  <c r="R298" i="30"/>
  <c r="Q298" i="30"/>
  <c r="R297" i="30"/>
  <c r="Q297" i="30"/>
  <c r="R296" i="30"/>
  <c r="Q296" i="30"/>
  <c r="R295" i="30"/>
  <c r="Q295" i="30"/>
  <c r="R294" i="30"/>
  <c r="Q294" i="30"/>
  <c r="R293" i="30"/>
  <c r="Q293" i="30"/>
  <c r="R292" i="30"/>
  <c r="Q292" i="30"/>
  <c r="R291" i="30"/>
  <c r="Q291" i="30"/>
  <c r="R290" i="30"/>
  <c r="Q290" i="30"/>
  <c r="R289" i="30"/>
  <c r="Q289" i="30"/>
  <c r="R288" i="30"/>
  <c r="Q288" i="30"/>
  <c r="R287" i="30"/>
  <c r="Q287" i="30"/>
  <c r="R286" i="30"/>
  <c r="Q286" i="30"/>
  <c r="R285" i="30"/>
  <c r="Q285" i="30"/>
  <c r="R284" i="30"/>
  <c r="Q284" i="30"/>
  <c r="R283" i="30"/>
  <c r="Q283" i="30"/>
  <c r="R282" i="30"/>
  <c r="Q282" i="30"/>
  <c r="R281" i="30"/>
  <c r="Q281" i="30"/>
  <c r="R280" i="30"/>
  <c r="Q280" i="30"/>
  <c r="R279" i="30"/>
  <c r="Q279" i="30"/>
  <c r="R278" i="30"/>
  <c r="Q278" i="30"/>
  <c r="R277" i="30"/>
  <c r="Q277" i="30"/>
  <c r="R276" i="30"/>
  <c r="Q276" i="30"/>
  <c r="R275" i="30"/>
  <c r="Q275" i="30"/>
  <c r="R274" i="30"/>
  <c r="Q274" i="30"/>
  <c r="R273" i="30"/>
  <c r="Q273" i="30"/>
  <c r="R272" i="30"/>
  <c r="Q272" i="30"/>
  <c r="R271" i="30"/>
  <c r="Q271" i="30"/>
  <c r="R270" i="30"/>
  <c r="Q270" i="30"/>
  <c r="R269" i="30"/>
  <c r="Q269" i="30"/>
  <c r="R268" i="30"/>
  <c r="Q268" i="30"/>
  <c r="R267" i="30"/>
  <c r="Q267" i="30"/>
  <c r="R266" i="30"/>
  <c r="Q266" i="30"/>
  <c r="R265" i="30"/>
  <c r="Q265" i="30"/>
  <c r="R264" i="30"/>
  <c r="Q264" i="30"/>
  <c r="R263" i="30"/>
  <c r="Q263" i="30"/>
  <c r="R262" i="30"/>
  <c r="Q262" i="30"/>
  <c r="R261" i="30"/>
  <c r="Q261" i="30"/>
  <c r="R260" i="30"/>
  <c r="Q260" i="30"/>
  <c r="R259" i="30"/>
  <c r="Q259" i="30"/>
  <c r="R258" i="30"/>
  <c r="Q258" i="30"/>
  <c r="R257" i="30"/>
  <c r="Q257" i="30"/>
  <c r="R256" i="30"/>
  <c r="Q256" i="30"/>
  <c r="R255" i="30"/>
  <c r="Q255" i="30"/>
  <c r="R254" i="30"/>
  <c r="Q254" i="30"/>
  <c r="R253" i="30"/>
  <c r="Q253" i="30"/>
  <c r="R252" i="30"/>
  <c r="Q252" i="30"/>
  <c r="R251" i="30"/>
  <c r="Q251" i="30"/>
  <c r="R250" i="30"/>
  <c r="Q250" i="30"/>
  <c r="R249" i="30"/>
  <c r="Q249" i="30"/>
  <c r="R248" i="30"/>
  <c r="Q248" i="30"/>
  <c r="R247" i="30"/>
  <c r="Q247" i="30"/>
  <c r="R246" i="30"/>
  <c r="Q246" i="30"/>
  <c r="R245" i="30"/>
  <c r="Q245" i="30"/>
  <c r="R244" i="30"/>
  <c r="Q244" i="30"/>
  <c r="R243" i="30"/>
  <c r="Q243" i="30"/>
  <c r="R242" i="30"/>
  <c r="Q242" i="30"/>
  <c r="R241" i="30"/>
  <c r="Q241" i="30"/>
  <c r="R240" i="30"/>
  <c r="Q240" i="30"/>
  <c r="R239" i="30"/>
  <c r="Q239" i="30"/>
  <c r="R238" i="30"/>
  <c r="Q238" i="30"/>
  <c r="R237" i="30"/>
  <c r="Q237" i="30"/>
  <c r="R236" i="30"/>
  <c r="Q236" i="30"/>
  <c r="R235" i="30"/>
  <c r="Q235" i="30"/>
  <c r="R234" i="30"/>
  <c r="Q234" i="30"/>
  <c r="R233" i="30"/>
  <c r="Q233" i="30"/>
  <c r="R232" i="30"/>
  <c r="Q232" i="30"/>
  <c r="R231" i="30"/>
  <c r="Q231" i="30"/>
  <c r="R230" i="30"/>
  <c r="Q230" i="30"/>
  <c r="R229" i="30"/>
  <c r="Q229" i="30"/>
  <c r="R228" i="30"/>
  <c r="Q228" i="30"/>
  <c r="R227" i="30"/>
  <c r="Q227" i="30"/>
  <c r="R226" i="30"/>
  <c r="Q226" i="30"/>
  <c r="R225" i="30"/>
  <c r="Q225" i="30"/>
  <c r="R224" i="30"/>
  <c r="Q224" i="30"/>
  <c r="R223" i="30"/>
  <c r="Q223" i="30"/>
  <c r="R222" i="30"/>
  <c r="Q222" i="30"/>
  <c r="R221" i="30"/>
  <c r="Q221" i="30"/>
  <c r="R220" i="30"/>
  <c r="Q220" i="30"/>
  <c r="R219" i="30"/>
  <c r="Q219" i="30"/>
  <c r="R218" i="30"/>
  <c r="Q218" i="30"/>
  <c r="R217" i="30"/>
  <c r="Q217" i="30"/>
  <c r="R216" i="30"/>
  <c r="Q216" i="30"/>
  <c r="R215" i="30"/>
  <c r="Q215" i="30"/>
  <c r="R214" i="30"/>
  <c r="Q214" i="30"/>
  <c r="R213" i="30"/>
  <c r="Q213" i="30"/>
  <c r="R212" i="30"/>
  <c r="Q212" i="30"/>
  <c r="R211" i="30"/>
  <c r="Q211" i="30"/>
  <c r="R210" i="30"/>
  <c r="Q210" i="30"/>
  <c r="R209" i="30"/>
  <c r="Q209" i="30"/>
  <c r="R208" i="30"/>
  <c r="Q208" i="30"/>
  <c r="R207" i="30"/>
  <c r="Q207" i="30"/>
  <c r="R206" i="30"/>
  <c r="Q206" i="30"/>
  <c r="R205" i="30"/>
  <c r="Q205" i="30"/>
  <c r="R204" i="30"/>
  <c r="Q204" i="30"/>
  <c r="R203" i="30"/>
  <c r="Q203" i="30"/>
  <c r="R202" i="30"/>
  <c r="Q202" i="30"/>
  <c r="R201" i="30"/>
  <c r="Q201" i="30"/>
  <c r="R200" i="30"/>
  <c r="Q200" i="30"/>
  <c r="R199" i="30"/>
  <c r="Q199" i="30"/>
  <c r="R198" i="30"/>
  <c r="Q198" i="30"/>
  <c r="R197" i="30"/>
  <c r="Q197" i="30"/>
  <c r="R196" i="30"/>
  <c r="Q196" i="30"/>
  <c r="R195" i="30"/>
  <c r="Q195" i="30"/>
  <c r="R194" i="30"/>
  <c r="Q194" i="30"/>
  <c r="R193" i="30"/>
  <c r="Q193" i="30"/>
  <c r="R192" i="30"/>
  <c r="Q192" i="30"/>
  <c r="R191" i="30"/>
  <c r="Q191" i="30"/>
  <c r="R190" i="30"/>
  <c r="Q190" i="30"/>
  <c r="R189" i="30"/>
  <c r="Q189" i="30"/>
  <c r="R188" i="30"/>
  <c r="Q188" i="30"/>
  <c r="R187" i="30"/>
  <c r="Q187" i="30"/>
  <c r="R186" i="30"/>
  <c r="Q186" i="30"/>
  <c r="G186" i="30"/>
  <c r="R185" i="30"/>
  <c r="Q185" i="30"/>
  <c r="G185" i="30"/>
  <c r="R184" i="30"/>
  <c r="Q184" i="30"/>
  <c r="G184" i="30"/>
  <c r="R183" i="30"/>
  <c r="Q183" i="30"/>
  <c r="R182" i="30"/>
  <c r="Q182" i="30"/>
  <c r="R181" i="30"/>
  <c r="Q181" i="30"/>
  <c r="R180" i="30"/>
  <c r="Q180" i="30"/>
  <c r="R179" i="30"/>
  <c r="Q179" i="30"/>
  <c r="R178" i="30"/>
  <c r="Q178" i="30"/>
  <c r="R177" i="30"/>
  <c r="Q177" i="30"/>
  <c r="R176" i="30"/>
  <c r="Q176" i="30"/>
  <c r="R175" i="30"/>
  <c r="Q175" i="30"/>
  <c r="R174" i="30"/>
  <c r="Q174" i="30"/>
  <c r="R173" i="30"/>
  <c r="Q173" i="30"/>
  <c r="R172" i="30"/>
  <c r="Q172" i="30"/>
  <c r="C172" i="30"/>
  <c r="E172" i="30" s="1"/>
  <c r="G172" i="30" s="1"/>
  <c r="R171" i="30"/>
  <c r="Q171" i="30"/>
  <c r="C171" i="30"/>
  <c r="E171" i="30" s="1"/>
  <c r="G171" i="30" s="1"/>
  <c r="R170" i="30"/>
  <c r="Q170" i="30"/>
  <c r="C170" i="30"/>
  <c r="E170" i="30" s="1"/>
  <c r="G170" i="30" s="1"/>
  <c r="R169" i="30"/>
  <c r="Q169" i="30"/>
  <c r="E169" i="30"/>
  <c r="G169" i="30" s="1"/>
  <c r="C169" i="30"/>
  <c r="R168" i="30"/>
  <c r="Q168" i="30"/>
  <c r="R167" i="30"/>
  <c r="Q167" i="30"/>
  <c r="E167" i="30"/>
  <c r="G167" i="30" s="1"/>
  <c r="C167" i="30"/>
  <c r="R166" i="30"/>
  <c r="Q166" i="30"/>
  <c r="C166" i="30"/>
  <c r="E166" i="30" s="1"/>
  <c r="G166" i="30" s="1"/>
  <c r="R165" i="30"/>
  <c r="Q165" i="30"/>
  <c r="C165" i="30"/>
  <c r="E165" i="30" s="1"/>
  <c r="G165" i="30" s="1"/>
  <c r="R164" i="30"/>
  <c r="Q164" i="30"/>
  <c r="C164" i="30"/>
  <c r="E164" i="30" s="1"/>
  <c r="G164" i="30" s="1"/>
  <c r="R163" i="30"/>
  <c r="Q163" i="30"/>
  <c r="R162" i="30"/>
  <c r="Q162" i="30"/>
  <c r="R161" i="30"/>
  <c r="Q161" i="30"/>
  <c r="R160" i="30"/>
  <c r="Q160" i="30"/>
  <c r="R159" i="30"/>
  <c r="Q159" i="30"/>
  <c r="R158" i="30"/>
  <c r="Q158" i="30"/>
  <c r="R157" i="30"/>
  <c r="Q157" i="30"/>
  <c r="R156" i="30"/>
  <c r="Q156" i="30"/>
  <c r="R155" i="30"/>
  <c r="Q155" i="30"/>
  <c r="R154" i="30"/>
  <c r="Q154" i="30"/>
  <c r="R153" i="30"/>
  <c r="Q153" i="30"/>
  <c r="R152" i="30"/>
  <c r="Q152" i="30"/>
  <c r="R151" i="30"/>
  <c r="Q151" i="30"/>
  <c r="R150" i="30"/>
  <c r="Q150" i="30"/>
  <c r="R149" i="30"/>
  <c r="Q149" i="30"/>
  <c r="R148" i="30"/>
  <c r="Q148" i="30"/>
  <c r="R147" i="30"/>
  <c r="Q147" i="30"/>
  <c r="R146" i="30"/>
  <c r="Q146" i="30"/>
  <c r="R145" i="30"/>
  <c r="Q145" i="30"/>
  <c r="R144" i="30"/>
  <c r="Q144" i="30"/>
  <c r="R143" i="30"/>
  <c r="Q143" i="30"/>
  <c r="R142" i="30"/>
  <c r="Q142" i="30"/>
  <c r="R141" i="30"/>
  <c r="Q141" i="30"/>
  <c r="R140" i="30"/>
  <c r="Q140" i="30"/>
  <c r="R139" i="30"/>
  <c r="Q139" i="30"/>
  <c r="R138" i="30"/>
  <c r="Q138" i="30"/>
  <c r="R137" i="30"/>
  <c r="Q137" i="30"/>
  <c r="R136" i="30"/>
  <c r="Q136" i="30"/>
  <c r="R135" i="30"/>
  <c r="Q135" i="30"/>
  <c r="R134" i="30"/>
  <c r="Q134" i="30"/>
  <c r="R133" i="30"/>
  <c r="Q133" i="30"/>
  <c r="R132" i="30"/>
  <c r="Q132" i="30"/>
  <c r="R131" i="30"/>
  <c r="Q131" i="30"/>
  <c r="R130" i="30"/>
  <c r="Q130" i="30"/>
  <c r="R129" i="30"/>
  <c r="Q129" i="30"/>
  <c r="R128" i="30"/>
  <c r="Q128" i="30"/>
  <c r="R127" i="30"/>
  <c r="Q127" i="30"/>
  <c r="R126" i="30"/>
  <c r="Q126" i="30"/>
  <c r="R125" i="30"/>
  <c r="Q125" i="30"/>
  <c r="R124" i="30"/>
  <c r="Q124" i="30"/>
  <c r="R123" i="30"/>
  <c r="Q123" i="30"/>
  <c r="R122" i="30"/>
  <c r="Q122" i="30"/>
  <c r="R121" i="30"/>
  <c r="Q121" i="30"/>
  <c r="R120" i="30"/>
  <c r="Q120" i="30"/>
  <c r="R119" i="30"/>
  <c r="Q119" i="30"/>
  <c r="R118" i="30"/>
  <c r="Q118" i="30"/>
  <c r="R117" i="30"/>
  <c r="Q117" i="30"/>
  <c r="R116" i="30"/>
  <c r="Q116" i="30"/>
  <c r="R115" i="30"/>
  <c r="Q115" i="30"/>
  <c r="R114" i="30"/>
  <c r="Q114" i="30"/>
  <c r="R113" i="30"/>
  <c r="Q113" i="30"/>
  <c r="R112" i="30"/>
  <c r="Q112" i="30"/>
  <c r="R111" i="30"/>
  <c r="Q111" i="30"/>
  <c r="R110" i="30"/>
  <c r="Q110" i="30"/>
  <c r="R109" i="30"/>
  <c r="Q109" i="30"/>
  <c r="R108" i="30"/>
  <c r="Q108" i="30"/>
  <c r="R107" i="30"/>
  <c r="Q107" i="30"/>
  <c r="R106" i="30"/>
  <c r="Q106" i="30"/>
  <c r="R105" i="30"/>
  <c r="Q105" i="30"/>
  <c r="R104" i="30"/>
  <c r="Q104" i="30"/>
  <c r="R103" i="30"/>
  <c r="Q103" i="30"/>
  <c r="R102" i="30"/>
  <c r="Q102" i="30"/>
  <c r="R101" i="30"/>
  <c r="Q101" i="30"/>
  <c r="R100" i="30"/>
  <c r="Q100" i="30"/>
  <c r="R99" i="30"/>
  <c r="Q99" i="30"/>
  <c r="R98" i="30"/>
  <c r="Q98" i="30"/>
  <c r="R97" i="30"/>
  <c r="Q97" i="30"/>
  <c r="R96" i="30"/>
  <c r="Q96" i="30"/>
  <c r="R95" i="30"/>
  <c r="Q95" i="30"/>
  <c r="R94" i="30"/>
  <c r="Q94" i="30"/>
  <c r="R93" i="30"/>
  <c r="Q93" i="30"/>
  <c r="R92" i="30"/>
  <c r="Q92" i="30"/>
  <c r="R91" i="30"/>
  <c r="Q91" i="30"/>
  <c r="R90" i="30"/>
  <c r="Q90" i="30"/>
  <c r="R89" i="30"/>
  <c r="Q89" i="30"/>
  <c r="R88" i="30"/>
  <c r="Q88" i="30"/>
  <c r="R87" i="30"/>
  <c r="Q87" i="30"/>
  <c r="R86" i="30"/>
  <c r="Q86" i="30"/>
  <c r="R85" i="30"/>
  <c r="Q85" i="30"/>
  <c r="R84" i="30"/>
  <c r="Q84" i="30"/>
  <c r="R83" i="30"/>
  <c r="Q83" i="30"/>
  <c r="R82" i="30"/>
  <c r="Q82" i="30"/>
  <c r="R81" i="30"/>
  <c r="Q81" i="30"/>
  <c r="R80" i="30"/>
  <c r="Q80" i="30"/>
  <c r="R79" i="30"/>
  <c r="Q79" i="30"/>
  <c r="R78" i="30"/>
  <c r="Q78" i="30"/>
  <c r="R77" i="30"/>
  <c r="Q77" i="30"/>
  <c r="R76" i="30"/>
  <c r="Q76" i="30"/>
  <c r="R75" i="30"/>
  <c r="Q75" i="30"/>
  <c r="R74" i="30"/>
  <c r="Q74" i="30"/>
  <c r="R73" i="30"/>
  <c r="Q73" i="30"/>
  <c r="R72" i="30"/>
  <c r="Q72" i="30"/>
  <c r="R71" i="30"/>
  <c r="Q71" i="30"/>
  <c r="R70" i="30"/>
  <c r="Q70" i="30"/>
  <c r="R69" i="30"/>
  <c r="Q69" i="30"/>
  <c r="R68" i="30"/>
  <c r="Q68" i="30"/>
  <c r="R67" i="30"/>
  <c r="Q67" i="30"/>
  <c r="R66" i="30"/>
  <c r="Q66" i="30"/>
  <c r="R65" i="30"/>
  <c r="Q65" i="30"/>
  <c r="R64" i="30"/>
  <c r="Q64" i="30"/>
  <c r="R63" i="30"/>
  <c r="Q63" i="30"/>
  <c r="R62" i="30"/>
  <c r="Q62" i="30"/>
  <c r="R61" i="30"/>
  <c r="Q61" i="30"/>
  <c r="R60" i="30"/>
  <c r="Q60" i="30"/>
  <c r="R59" i="30"/>
  <c r="Q59" i="30"/>
  <c r="R58" i="30"/>
  <c r="Q58" i="30"/>
  <c r="R57" i="30"/>
  <c r="Q57" i="30"/>
  <c r="R56" i="30"/>
  <c r="Q56" i="30"/>
  <c r="R55" i="30"/>
  <c r="Q55" i="30"/>
  <c r="R54" i="30"/>
  <c r="Q54" i="30"/>
  <c r="R53" i="30"/>
  <c r="Q53" i="30"/>
  <c r="R52" i="30"/>
  <c r="Q52" i="30"/>
  <c r="R51" i="30"/>
  <c r="Q51" i="30"/>
  <c r="R50" i="30"/>
  <c r="Q50" i="30"/>
  <c r="R49" i="30"/>
  <c r="Q49" i="30"/>
  <c r="R48" i="30"/>
  <c r="Q48" i="30"/>
  <c r="R47" i="30"/>
  <c r="Q47" i="30"/>
  <c r="R46" i="30"/>
  <c r="Q46" i="30"/>
  <c r="R45" i="30"/>
  <c r="Q45" i="30"/>
  <c r="R44" i="30"/>
  <c r="Q44" i="30"/>
  <c r="R43" i="30"/>
  <c r="Q43" i="30"/>
  <c r="R42" i="30"/>
  <c r="Q42" i="30"/>
  <c r="R41" i="30"/>
  <c r="Q41" i="30"/>
  <c r="R40" i="30"/>
  <c r="Q40" i="30"/>
  <c r="R39" i="30"/>
  <c r="Q39" i="30"/>
  <c r="R38" i="30"/>
  <c r="Q38" i="30"/>
  <c r="R37" i="30"/>
  <c r="Q37" i="30"/>
  <c r="R36" i="30"/>
  <c r="Q36" i="30"/>
  <c r="R35" i="30"/>
  <c r="Q35" i="30"/>
  <c r="R34" i="30"/>
  <c r="Q34" i="30"/>
  <c r="R33" i="30"/>
  <c r="Q33" i="30"/>
  <c r="R32" i="30"/>
  <c r="Q32" i="30"/>
  <c r="R31" i="30"/>
  <c r="Q31" i="30"/>
  <c r="R30" i="30"/>
  <c r="Q30" i="30"/>
  <c r="R29" i="30"/>
  <c r="Q29" i="30"/>
  <c r="R28" i="30"/>
  <c r="Q28" i="30"/>
  <c r="R27" i="30"/>
  <c r="Q27" i="30"/>
  <c r="R26" i="30"/>
  <c r="Q26" i="30"/>
  <c r="R25" i="30"/>
  <c r="Q25" i="30"/>
  <c r="R24" i="30"/>
  <c r="Q24" i="30"/>
  <c r="R23" i="30"/>
  <c r="Q23" i="30"/>
  <c r="R22" i="30"/>
  <c r="Q22" i="30"/>
  <c r="R21" i="30"/>
  <c r="Q21" i="30"/>
  <c r="R20" i="30"/>
  <c r="Q20" i="30"/>
  <c r="R19" i="30"/>
  <c r="Q19" i="30"/>
  <c r="R18" i="30"/>
  <c r="Q18" i="30"/>
  <c r="R17" i="30"/>
  <c r="Q17" i="30"/>
  <c r="R16" i="30"/>
  <c r="Q16" i="30"/>
  <c r="R15" i="30"/>
  <c r="Q15" i="30"/>
  <c r="R14" i="30"/>
  <c r="Q14" i="30"/>
  <c r="R13" i="30"/>
  <c r="Q13" i="30"/>
  <c r="R12" i="30"/>
  <c r="Q12" i="30"/>
  <c r="R11" i="30"/>
  <c r="Q11" i="30"/>
  <c r="R10" i="30"/>
  <c r="Q10" i="30"/>
  <c r="R9" i="30"/>
  <c r="Q9" i="30"/>
  <c r="J4" i="30"/>
  <c r="J3" i="30"/>
  <c r="J2" i="30"/>
  <c r="J1" i="30"/>
  <c r="Q221" i="29"/>
  <c r="Q215" i="29"/>
  <c r="Q209" i="29"/>
  <c r="Q207" i="29"/>
  <c r="Q141" i="29"/>
  <c r="Q107" i="29"/>
  <c r="Q101" i="29"/>
  <c r="Q99" i="29"/>
  <c r="B63" i="29"/>
  <c r="Q24" i="29"/>
  <c r="Q22" i="29"/>
  <c r="Q21" i="29"/>
  <c r="B12" i="28"/>
  <c r="B11" i="28"/>
  <c r="B10" i="28"/>
  <c r="B9" i="28"/>
  <c r="K5" i="28"/>
  <c r="K4" i="28"/>
  <c r="K3" i="28"/>
  <c r="K2" i="28"/>
  <c r="K1" i="28"/>
  <c r="E16" i="26"/>
  <c r="C16" i="26"/>
  <c r="B16" i="26"/>
  <c r="A16" i="26"/>
  <c r="E15" i="26"/>
  <c r="C15" i="26"/>
  <c r="B15" i="26"/>
  <c r="A15" i="26"/>
  <c r="E14" i="26"/>
  <c r="C14" i="26"/>
  <c r="B14" i="26"/>
  <c r="A14" i="26"/>
  <c r="E13" i="26"/>
  <c r="C13" i="26"/>
  <c r="B13" i="26"/>
  <c r="A13" i="26"/>
  <c r="E12" i="26"/>
  <c r="C12" i="26"/>
  <c r="B12" i="26"/>
  <c r="A12" i="26"/>
  <c r="E11" i="26"/>
  <c r="C11" i="26"/>
  <c r="B11" i="26"/>
  <c r="A11" i="26"/>
  <c r="E10" i="26"/>
  <c r="C10" i="26"/>
  <c r="B10" i="26"/>
  <c r="A10" i="26"/>
  <c r="E9" i="26"/>
  <c r="C9" i="26"/>
  <c r="B9" i="26"/>
  <c r="A9" i="26"/>
  <c r="M5" i="26"/>
  <c r="M4" i="26"/>
  <c r="M3" i="26"/>
  <c r="M2" i="26"/>
  <c r="M1" i="26"/>
  <c r="L13" i="24"/>
  <c r="K13" i="24"/>
  <c r="J13" i="24"/>
  <c r="I13" i="24"/>
  <c r="G13" i="24"/>
  <c r="F13" i="24"/>
  <c r="E13" i="24"/>
  <c r="D13" i="24"/>
  <c r="C13" i="24"/>
  <c r="L12" i="24"/>
  <c r="K12" i="24"/>
  <c r="J12" i="24"/>
  <c r="I12" i="24"/>
  <c r="G12" i="24"/>
  <c r="F12" i="24"/>
  <c r="E12" i="24"/>
  <c r="D12" i="24"/>
  <c r="C12" i="24"/>
  <c r="L11" i="24"/>
  <c r="K11" i="24"/>
  <c r="J11" i="24"/>
  <c r="I11" i="24"/>
  <c r="G11" i="24"/>
  <c r="F11" i="24"/>
  <c r="E11" i="24"/>
  <c r="D11" i="24"/>
  <c r="C11" i="24"/>
  <c r="L10" i="24"/>
  <c r="K10" i="24"/>
  <c r="J10" i="24"/>
  <c r="I10" i="24"/>
  <c r="G10" i="24"/>
  <c r="F10" i="24"/>
  <c r="E10" i="24"/>
  <c r="D10" i="24"/>
  <c r="C10" i="24"/>
  <c r="AD5" i="24"/>
  <c r="AD4" i="24"/>
  <c r="AD3" i="24"/>
  <c r="AD2" i="24"/>
  <c r="AD1" i="24"/>
  <c r="R115" i="23"/>
  <c r="R98" i="23"/>
  <c r="P96" i="23"/>
  <c r="R92" i="23"/>
  <c r="R91" i="23"/>
  <c r="Q6" i="23"/>
  <c r="H12" i="22"/>
  <c r="G12" i="22"/>
  <c r="F12" i="22"/>
  <c r="H11" i="22"/>
  <c r="G11" i="22"/>
  <c r="F11" i="22"/>
  <c r="H10" i="22"/>
  <c r="G10" i="22"/>
  <c r="F10" i="22"/>
  <c r="H9" i="22"/>
  <c r="G9" i="22"/>
  <c r="F9" i="22"/>
  <c r="K5" i="22"/>
  <c r="K4" i="22"/>
  <c r="K3" i="22"/>
  <c r="K2" i="22"/>
  <c r="K1" i="22"/>
  <c r="P125" i="21"/>
  <c r="P111" i="21"/>
  <c r="P109" i="21"/>
  <c r="P95" i="21"/>
  <c r="R93" i="21"/>
  <c r="P93" i="21"/>
  <c r="R91" i="21"/>
  <c r="R90" i="21"/>
  <c r="R89" i="21"/>
  <c r="R88" i="21"/>
  <c r="R87" i="21"/>
  <c r="R86" i="21"/>
  <c r="R85" i="21"/>
  <c r="R84" i="21"/>
  <c r="R83" i="21"/>
  <c r="R82" i="21"/>
  <c r="R81" i="21"/>
  <c r="R80" i="21"/>
  <c r="R79" i="21"/>
  <c r="P79" i="21"/>
  <c r="P77" i="21"/>
  <c r="P63" i="21"/>
  <c r="P61" i="21"/>
  <c r="P47" i="21"/>
  <c r="B30" i="21"/>
  <c r="N5" i="20"/>
  <c r="N4" i="20"/>
  <c r="N3" i="20"/>
  <c r="N2" i="20"/>
  <c r="N1" i="20"/>
  <c r="Q101" i="19"/>
  <c r="R100" i="19"/>
  <c r="Q100" i="19"/>
  <c r="R98" i="19"/>
  <c r="R94" i="19"/>
  <c r="R91" i="19"/>
  <c r="R89" i="19"/>
  <c r="R88" i="19"/>
  <c r="R86" i="19"/>
  <c r="R85" i="19"/>
  <c r="R83" i="19"/>
  <c r="P83" i="19"/>
  <c r="R81" i="19"/>
  <c r="Q81" i="19"/>
  <c r="R80" i="19"/>
  <c r="Q80" i="19"/>
  <c r="F114" i="18"/>
  <c r="E114" i="18"/>
  <c r="F113" i="18"/>
  <c r="E113" i="18"/>
  <c r="F112" i="18"/>
  <c r="E112" i="18"/>
  <c r="F111" i="18"/>
  <c r="J111" i="18" s="1"/>
  <c r="E111" i="18"/>
  <c r="F110" i="18"/>
  <c r="J110" i="18" s="1"/>
  <c r="E110" i="18"/>
  <c r="J109" i="18"/>
  <c r="F109" i="18"/>
  <c r="E109" i="18"/>
  <c r="F108" i="18"/>
  <c r="E108" i="18"/>
  <c r="F107" i="18"/>
  <c r="E107" i="18"/>
  <c r="F106" i="18"/>
  <c r="E106" i="18"/>
  <c r="F105" i="18"/>
  <c r="E105" i="18"/>
  <c r="F104" i="18"/>
  <c r="E104" i="18"/>
  <c r="F103" i="18"/>
  <c r="E103" i="18"/>
  <c r="F102" i="18"/>
  <c r="E102" i="18"/>
  <c r="F101" i="18"/>
  <c r="E101" i="18"/>
  <c r="F100" i="18"/>
  <c r="J100" i="18" s="1"/>
  <c r="E100" i="18"/>
  <c r="F99" i="18"/>
  <c r="E99" i="18"/>
  <c r="F98" i="18"/>
  <c r="J98" i="18" s="1"/>
  <c r="E98" i="18"/>
  <c r="F97" i="18"/>
  <c r="E97" i="18"/>
  <c r="F96" i="18"/>
  <c r="E96" i="18"/>
  <c r="F95" i="18"/>
  <c r="E95" i="18"/>
  <c r="F94" i="18"/>
  <c r="E94" i="18"/>
  <c r="F93" i="18"/>
  <c r="E93" i="18"/>
  <c r="F92" i="18"/>
  <c r="J92" i="18" s="1"/>
  <c r="E92" i="18"/>
  <c r="F91" i="18"/>
  <c r="J91" i="18" s="1"/>
  <c r="E91" i="18"/>
  <c r="F90" i="18"/>
  <c r="J90" i="18" s="1"/>
  <c r="E90" i="18"/>
  <c r="F89" i="18"/>
  <c r="E89" i="18"/>
  <c r="F88" i="18"/>
  <c r="E88" i="18"/>
  <c r="F87" i="18"/>
  <c r="J87" i="18" s="1"/>
  <c r="E87" i="18"/>
  <c r="F86" i="18"/>
  <c r="E86" i="18"/>
  <c r="F85" i="18"/>
  <c r="E85" i="18"/>
  <c r="F84" i="18"/>
  <c r="J84" i="18" s="1"/>
  <c r="E84" i="18"/>
  <c r="F83" i="18"/>
  <c r="J83" i="18" s="1"/>
  <c r="E83" i="18"/>
  <c r="F82" i="18"/>
  <c r="E82" i="18"/>
  <c r="F81" i="18"/>
  <c r="E81" i="18"/>
  <c r="F80" i="18"/>
  <c r="E80" i="18"/>
  <c r="F79" i="18"/>
  <c r="E79" i="18"/>
  <c r="F78" i="18"/>
  <c r="E78" i="18"/>
  <c r="F77" i="18"/>
  <c r="E77" i="18"/>
  <c r="F76" i="18"/>
  <c r="J76" i="18" s="1"/>
  <c r="E76" i="18"/>
  <c r="F75" i="18"/>
  <c r="E75" i="18"/>
  <c r="J75" i="18" s="1"/>
  <c r="F74" i="18"/>
  <c r="J74" i="18" s="1"/>
  <c r="E74" i="18"/>
  <c r="F73" i="18"/>
  <c r="E73" i="18"/>
  <c r="F72" i="18"/>
  <c r="J72" i="18" s="1"/>
  <c r="E72" i="18"/>
  <c r="F71" i="18"/>
  <c r="E71" i="18"/>
  <c r="F70" i="18"/>
  <c r="E70" i="18"/>
  <c r="F69" i="18"/>
  <c r="E69" i="18"/>
  <c r="J68" i="18"/>
  <c r="F68" i="18"/>
  <c r="E68" i="18"/>
  <c r="F67" i="18"/>
  <c r="J67" i="18" s="1"/>
  <c r="E67" i="18"/>
  <c r="F66" i="18"/>
  <c r="E66" i="18"/>
  <c r="J66" i="18" s="1"/>
  <c r="F65" i="18"/>
  <c r="E65" i="18"/>
  <c r="F64" i="18"/>
  <c r="E64" i="18"/>
  <c r="F63" i="18"/>
  <c r="E63" i="18"/>
  <c r="F62" i="18"/>
  <c r="E62" i="18"/>
  <c r="F61" i="18"/>
  <c r="E61" i="18"/>
  <c r="F60" i="18"/>
  <c r="J60" i="18" s="1"/>
  <c r="E60" i="18"/>
  <c r="F59" i="18"/>
  <c r="E59" i="18"/>
  <c r="F58" i="18"/>
  <c r="E58" i="18"/>
  <c r="F57" i="18"/>
  <c r="E57" i="18"/>
  <c r="F56" i="18"/>
  <c r="E56" i="18"/>
  <c r="F55" i="18"/>
  <c r="E55" i="18"/>
  <c r="F54" i="18"/>
  <c r="E54" i="18"/>
  <c r="F53" i="18"/>
  <c r="E53" i="18"/>
  <c r="F52" i="18"/>
  <c r="E52" i="18"/>
  <c r="F51" i="18"/>
  <c r="J51" i="18" s="1"/>
  <c r="E51" i="18"/>
  <c r="F50" i="18"/>
  <c r="J50" i="18" s="1"/>
  <c r="E50" i="18"/>
  <c r="F49" i="18"/>
  <c r="E49" i="18"/>
  <c r="F48" i="18"/>
  <c r="E48" i="18"/>
  <c r="F47" i="18"/>
  <c r="E47" i="18"/>
  <c r="F46" i="18"/>
  <c r="E46" i="18"/>
  <c r="F45" i="18"/>
  <c r="E45" i="18"/>
  <c r="F44" i="18"/>
  <c r="E44" i="18"/>
  <c r="F43" i="18"/>
  <c r="E43" i="18"/>
  <c r="J43" i="18" s="1"/>
  <c r="F42" i="18"/>
  <c r="J42" i="18" s="1"/>
  <c r="E42" i="18"/>
  <c r="F41" i="18"/>
  <c r="E41" i="18"/>
  <c r="F40" i="18"/>
  <c r="J40" i="18" s="1"/>
  <c r="E40" i="18"/>
  <c r="F39" i="18"/>
  <c r="E39" i="18"/>
  <c r="F38" i="18"/>
  <c r="E38" i="18"/>
  <c r="F37" i="18"/>
  <c r="E37" i="18"/>
  <c r="J36" i="18"/>
  <c r="F36" i="18"/>
  <c r="E36" i="18"/>
  <c r="F35" i="18"/>
  <c r="E35" i="18"/>
  <c r="F34" i="18"/>
  <c r="J34" i="18" s="1"/>
  <c r="E34" i="18"/>
  <c r="F33" i="18"/>
  <c r="E33" i="18"/>
  <c r="F32" i="18"/>
  <c r="E32" i="18"/>
  <c r="F31" i="18"/>
  <c r="E31" i="18"/>
  <c r="F30" i="18"/>
  <c r="E30" i="18"/>
  <c r="F29" i="18"/>
  <c r="E29" i="18"/>
  <c r="F28" i="18"/>
  <c r="J28" i="18" s="1"/>
  <c r="E28" i="18"/>
  <c r="F27" i="18"/>
  <c r="E27" i="18"/>
  <c r="F26" i="18"/>
  <c r="J26" i="18" s="1"/>
  <c r="E26" i="18"/>
  <c r="F25" i="18"/>
  <c r="E25" i="18"/>
  <c r="F24" i="18"/>
  <c r="E24" i="18"/>
  <c r="F23" i="18"/>
  <c r="E23" i="18"/>
  <c r="F22" i="18"/>
  <c r="E22" i="18"/>
  <c r="F21" i="18"/>
  <c r="E21" i="18"/>
  <c r="F20" i="18"/>
  <c r="J20" i="18" s="1"/>
  <c r="E20" i="18"/>
  <c r="F19" i="18"/>
  <c r="E19" i="18"/>
  <c r="J18" i="18"/>
  <c r="F18" i="18"/>
  <c r="E18" i="18"/>
  <c r="F17" i="18"/>
  <c r="E17" i="18"/>
  <c r="F16" i="18"/>
  <c r="E16" i="18"/>
  <c r="F9" i="18"/>
  <c r="Q4" i="18"/>
  <c r="Q3" i="18"/>
  <c r="Q2" i="18"/>
  <c r="Q1" i="18"/>
  <c r="R58" i="17"/>
  <c r="R57" i="17"/>
  <c r="Q57" i="17"/>
  <c r="R55" i="17"/>
  <c r="R53" i="17"/>
  <c r="R52" i="17"/>
  <c r="R49" i="17"/>
  <c r="R47" i="17"/>
  <c r="R46" i="17"/>
  <c r="R43" i="17"/>
  <c r="R41" i="17"/>
  <c r="R40" i="17"/>
  <c r="R37" i="17"/>
  <c r="R35" i="17"/>
  <c r="R34" i="17"/>
  <c r="R31" i="17"/>
  <c r="R29" i="17"/>
  <c r="R28" i="17"/>
  <c r="R25" i="17"/>
  <c r="R23" i="17"/>
  <c r="R22" i="17"/>
  <c r="R19" i="17"/>
  <c r="R17" i="17"/>
  <c r="Q17" i="17"/>
  <c r="R15" i="17"/>
  <c r="R14" i="17"/>
  <c r="R12" i="17"/>
  <c r="Q12" i="17"/>
  <c r="K12" i="17"/>
  <c r="R11" i="17"/>
  <c r="Q11" i="17"/>
  <c r="K11" i="17"/>
  <c r="K10" i="17"/>
  <c r="R9" i="17"/>
  <c r="K9" i="17"/>
  <c r="R8" i="17"/>
  <c r="Q8" i="17"/>
  <c r="K8" i="17"/>
  <c r="O9" i="16"/>
  <c r="N9" i="16"/>
  <c r="M9" i="16"/>
  <c r="L9" i="16"/>
  <c r="K9" i="16"/>
  <c r="J9" i="16"/>
  <c r="I9" i="16"/>
  <c r="H9" i="16"/>
  <c r="G9" i="16"/>
  <c r="F9" i="16"/>
  <c r="E9" i="16"/>
  <c r="D9" i="16"/>
  <c r="C9" i="16"/>
  <c r="O8" i="16"/>
  <c r="N8" i="16"/>
  <c r="Q7" i="17" s="1"/>
  <c r="M8" i="16"/>
  <c r="L8" i="16"/>
  <c r="K8" i="16"/>
  <c r="J8" i="16"/>
  <c r="I8" i="16"/>
  <c r="H8" i="16"/>
  <c r="G8" i="16"/>
  <c r="F8" i="16"/>
  <c r="E8" i="16"/>
  <c r="D8" i="16"/>
  <c r="C8" i="16"/>
  <c r="P25" i="17" s="1"/>
  <c r="Q4" i="16"/>
  <c r="Q3" i="16"/>
  <c r="Q2" i="16"/>
  <c r="Q1" i="16"/>
  <c r="Q190" i="15"/>
  <c r="Q184" i="15"/>
  <c r="Q182" i="15"/>
  <c r="Q111" i="15"/>
  <c r="Q105" i="15"/>
  <c r="Q99" i="15"/>
  <c r="Q97" i="15"/>
  <c r="B74" i="15"/>
  <c r="Q31" i="15"/>
  <c r="G95" i="14"/>
  <c r="F95" i="14"/>
  <c r="G90" i="14"/>
  <c r="F90" i="14"/>
  <c r="G89" i="14"/>
  <c r="F89" i="14"/>
  <c r="I61" i="14"/>
  <c r="I53" i="14"/>
  <c r="E32" i="14"/>
  <c r="E31" i="14"/>
  <c r="E30" i="14"/>
  <c r="E29" i="14"/>
  <c r="E28" i="14"/>
  <c r="E27" i="14"/>
  <c r="U10" i="14"/>
  <c r="I60" i="14" s="1"/>
  <c r="P10" i="14"/>
  <c r="O10" i="14"/>
  <c r="N10" i="14"/>
  <c r="M10" i="14"/>
  <c r="L10" i="14"/>
  <c r="J10" i="14"/>
  <c r="I10" i="14"/>
  <c r="H10" i="14"/>
  <c r="E59" i="14" s="1"/>
  <c r="G10" i="14"/>
  <c r="F10" i="14"/>
  <c r="E10" i="14"/>
  <c r="C10" i="14"/>
  <c r="D10" i="14" s="1"/>
  <c r="C108" i="30" s="1"/>
  <c r="E108" i="30" s="1"/>
  <c r="G108" i="30" s="1"/>
  <c r="U9" i="14"/>
  <c r="I58" i="14" s="1"/>
  <c r="P9" i="14"/>
  <c r="O9" i="14"/>
  <c r="N9" i="14"/>
  <c r="M9" i="14"/>
  <c r="L9" i="14"/>
  <c r="J9" i="14"/>
  <c r="I9" i="14"/>
  <c r="H9" i="14"/>
  <c r="E57" i="14" s="1"/>
  <c r="G9" i="14"/>
  <c r="F9" i="14"/>
  <c r="E9" i="14"/>
  <c r="C9" i="14"/>
  <c r="D9" i="14" s="1"/>
  <c r="C85" i="30" s="1"/>
  <c r="E85" i="30" s="1"/>
  <c r="G85" i="30" s="1"/>
  <c r="U8" i="14"/>
  <c r="I52" i="14" s="1"/>
  <c r="P8" i="14"/>
  <c r="O8" i="14"/>
  <c r="N8" i="14"/>
  <c r="M8" i="14"/>
  <c r="L8" i="14"/>
  <c r="J8" i="14"/>
  <c r="I8" i="14"/>
  <c r="H8" i="14"/>
  <c r="E51" i="14" s="1"/>
  <c r="G8" i="14"/>
  <c r="F8" i="14"/>
  <c r="V8" i="14" s="1"/>
  <c r="E8" i="14"/>
  <c r="D8" i="14"/>
  <c r="C50" i="30" s="1"/>
  <c r="E50" i="30" s="1"/>
  <c r="G50" i="30" s="1"/>
  <c r="C8" i="14"/>
  <c r="Q4" i="14"/>
  <c r="Q3" i="14"/>
  <c r="Q2" i="14"/>
  <c r="Q1" i="14"/>
  <c r="Q26" i="13"/>
  <c r="Q24" i="13"/>
  <c r="Q22" i="13"/>
  <c r="Q21" i="13"/>
  <c r="Q14" i="13"/>
  <c r="M38" i="12"/>
  <c r="G38" i="12"/>
  <c r="F16" i="26" s="1"/>
  <c r="E38" i="12"/>
  <c r="D16" i="26" s="1"/>
  <c r="G37" i="12"/>
  <c r="F15" i="26" s="1"/>
  <c r="E37" i="12"/>
  <c r="D15" i="26" s="1"/>
  <c r="G36" i="12"/>
  <c r="F14" i="26" s="1"/>
  <c r="E36" i="12"/>
  <c r="D14" i="26" s="1"/>
  <c r="G35" i="12"/>
  <c r="F13" i="26" s="1"/>
  <c r="E35" i="12"/>
  <c r="D13" i="26" s="1"/>
  <c r="G34" i="12"/>
  <c r="F12" i="26" s="1"/>
  <c r="E34" i="12"/>
  <c r="D12" i="26" s="1"/>
  <c r="G33" i="12"/>
  <c r="F11" i="26" s="1"/>
  <c r="E33" i="12"/>
  <c r="D11" i="26" s="1"/>
  <c r="G32" i="12"/>
  <c r="F10" i="26" s="1"/>
  <c r="E32" i="12"/>
  <c r="G31" i="12"/>
  <c r="F9" i="26" s="1"/>
  <c r="E31" i="12"/>
  <c r="F27" i="12"/>
  <c r="C27" i="12"/>
  <c r="F26" i="12"/>
  <c r="Q19" i="13" s="1"/>
  <c r="C26" i="12"/>
  <c r="Q16" i="13" s="1"/>
  <c r="E22" i="12"/>
  <c r="D22" i="12"/>
  <c r="E21" i="12"/>
  <c r="D21" i="12"/>
  <c r="E20" i="12"/>
  <c r="D20" i="12"/>
  <c r="E19" i="12"/>
  <c r="D19" i="12"/>
  <c r="J15" i="12"/>
  <c r="I15" i="12"/>
  <c r="J14" i="12"/>
  <c r="I14" i="12"/>
  <c r="J13" i="12"/>
  <c r="I13" i="12"/>
  <c r="J12" i="12"/>
  <c r="I12" i="12"/>
  <c r="J11" i="12"/>
  <c r="I11" i="12"/>
  <c r="J10" i="12"/>
  <c r="I10" i="12"/>
  <c r="J9" i="12"/>
  <c r="I9" i="12"/>
  <c r="J8" i="12"/>
  <c r="I8" i="12"/>
  <c r="Q4" i="12"/>
  <c r="Q3" i="12"/>
  <c r="Q2" i="12"/>
  <c r="Q1" i="12"/>
  <c r="P125" i="11"/>
  <c r="P111" i="11"/>
  <c r="P109" i="11"/>
  <c r="Q107" i="11"/>
  <c r="P95" i="11"/>
  <c r="R93" i="11"/>
  <c r="P93" i="11"/>
  <c r="R91" i="11"/>
  <c r="R90" i="11"/>
  <c r="R89" i="11"/>
  <c r="R88" i="11"/>
  <c r="R87" i="11"/>
  <c r="R86" i="11"/>
  <c r="R85" i="11"/>
  <c r="R84" i="11"/>
  <c r="R83" i="11"/>
  <c r="R82" i="11"/>
  <c r="R81" i="11"/>
  <c r="R80" i="11"/>
  <c r="R79" i="11"/>
  <c r="P79" i="11"/>
  <c r="P77" i="11"/>
  <c r="P63" i="11"/>
  <c r="P61" i="11"/>
  <c r="Q59" i="11"/>
  <c r="P47" i="11"/>
  <c r="B15" i="11"/>
  <c r="D27" i="10"/>
  <c r="Q21" i="10"/>
  <c r="E21" i="10"/>
  <c r="D14" i="10"/>
  <c r="Q8" i="10"/>
  <c r="Q45" i="11" s="1"/>
  <c r="E8" i="10"/>
  <c r="Q77" i="11" s="1"/>
  <c r="O4" i="10"/>
  <c r="O3" i="10"/>
  <c r="O2" i="10"/>
  <c r="O1" i="10"/>
  <c r="R230" i="9"/>
  <c r="R213" i="9"/>
  <c r="P211" i="9"/>
  <c r="R207" i="9"/>
  <c r="R206" i="9"/>
  <c r="Q121" i="9"/>
  <c r="R115" i="9"/>
  <c r="R98" i="9"/>
  <c r="P96" i="9"/>
  <c r="R92" i="9"/>
  <c r="R91" i="9"/>
  <c r="B65" i="9"/>
  <c r="B47" i="9"/>
  <c r="Q6" i="9"/>
  <c r="I46" i="8"/>
  <c r="H46" i="8"/>
  <c r="F46" i="8"/>
  <c r="E46" i="8"/>
  <c r="D46" i="8"/>
  <c r="C46" i="8"/>
  <c r="I45" i="8"/>
  <c r="H45" i="8"/>
  <c r="F45" i="8"/>
  <c r="E45" i="8"/>
  <c r="D45" i="8"/>
  <c r="C45" i="8"/>
  <c r="G41" i="8"/>
  <c r="G40" i="8"/>
  <c r="G39" i="8"/>
  <c r="G38" i="8"/>
  <c r="D16" i="8"/>
  <c r="D15" i="8"/>
  <c r="D14" i="8"/>
  <c r="D13" i="8"/>
  <c r="I9" i="8"/>
  <c r="C9" i="8"/>
  <c r="J9" i="8" s="1"/>
  <c r="I8" i="8"/>
  <c r="C8" i="8"/>
  <c r="M4" i="8"/>
  <c r="M3" i="8"/>
  <c r="M2" i="8"/>
  <c r="M1" i="8"/>
  <c r="K31" i="7"/>
  <c r="K30" i="7"/>
  <c r="K29" i="7"/>
  <c r="K28" i="7"/>
  <c r="K27" i="7"/>
  <c r="Q16" i="6"/>
  <c r="P16" i="6"/>
  <c r="K16" i="6"/>
  <c r="P13" i="24" s="1"/>
  <c r="H16" i="6"/>
  <c r="I16" i="6" s="1"/>
  <c r="E16" i="6"/>
  <c r="Q15" i="6"/>
  <c r="P15" i="6"/>
  <c r="K15" i="6"/>
  <c r="P12" i="24" s="1"/>
  <c r="J15" i="6"/>
  <c r="I15" i="6"/>
  <c r="H15" i="6"/>
  <c r="E15" i="6"/>
  <c r="Q14" i="6"/>
  <c r="P14" i="6"/>
  <c r="K14" i="6"/>
  <c r="P11" i="24" s="1"/>
  <c r="H14" i="6"/>
  <c r="J14" i="6" s="1"/>
  <c r="E14" i="6"/>
  <c r="Q13" i="6"/>
  <c r="P13" i="6"/>
  <c r="K13" i="6"/>
  <c r="P10" i="24" s="1"/>
  <c r="H13" i="6"/>
  <c r="E13" i="6"/>
  <c r="T9" i="6"/>
  <c r="K9" i="6"/>
  <c r="D9" i="6"/>
  <c r="H9" i="6" s="1"/>
  <c r="J9" i="6" s="1"/>
  <c r="C9" i="6"/>
  <c r="G9" i="6" s="1"/>
  <c r="T8" i="6"/>
  <c r="L8" i="6"/>
  <c r="H8" i="6"/>
  <c r="D8" i="6"/>
  <c r="C8" i="6"/>
  <c r="G8" i="6" s="1"/>
  <c r="Q158" i="9" s="1"/>
  <c r="P4" i="6"/>
  <c r="P3" i="6"/>
  <c r="P2" i="6"/>
  <c r="P1" i="6"/>
  <c r="Q203" i="5"/>
  <c r="P203" i="5"/>
  <c r="P191" i="5"/>
  <c r="P189" i="5"/>
  <c r="Q187" i="5"/>
  <c r="Q177" i="5"/>
  <c r="Q176" i="5"/>
  <c r="Q68" i="5"/>
  <c r="Q60" i="5"/>
  <c r="Q59" i="5"/>
  <c r="Q57" i="5"/>
  <c r="Q55" i="5"/>
  <c r="Q53" i="5"/>
  <c r="Q51" i="5"/>
  <c r="Q49" i="5"/>
  <c r="Q47" i="5"/>
  <c r="P47" i="5"/>
  <c r="Q45" i="5"/>
  <c r="P45" i="5"/>
  <c r="Q43" i="5"/>
  <c r="P43" i="5"/>
  <c r="Q41" i="5"/>
  <c r="Q40" i="5"/>
  <c r="Q38" i="5"/>
  <c r="Q37" i="5"/>
  <c r="Q35" i="5"/>
  <c r="Q34" i="5"/>
  <c r="Q30" i="5"/>
  <c r="Q29" i="5"/>
  <c r="Q28" i="5"/>
  <c r="Q27" i="5"/>
  <c r="Q26" i="5"/>
  <c r="Q25" i="5"/>
  <c r="Q24" i="5"/>
  <c r="Q23" i="5"/>
  <c r="Q22" i="5"/>
  <c r="Q21" i="5"/>
  <c r="Q20" i="5"/>
  <c r="Q19" i="5"/>
  <c r="Q18" i="5"/>
  <c r="Q17" i="5"/>
  <c r="Q16" i="5"/>
  <c r="Q15" i="5"/>
  <c r="Q14" i="5"/>
  <c r="Q13" i="5"/>
  <c r="Q12" i="5"/>
  <c r="Q11" i="5"/>
  <c r="Q10" i="5"/>
  <c r="Q9" i="5"/>
  <c r="Q8" i="5"/>
  <c r="Q7" i="5"/>
  <c r="Q6" i="5"/>
  <c r="B6" i="5"/>
  <c r="C37" i="4"/>
  <c r="G182" i="30" s="1"/>
  <c r="C36" i="4"/>
  <c r="G181" i="30" s="1"/>
  <c r="C35" i="4"/>
  <c r="G180" i="30" s="1"/>
  <c r="D23" i="4"/>
  <c r="Q185" i="5" s="1"/>
  <c r="D22" i="4"/>
  <c r="C25" i="10" s="1"/>
  <c r="C18" i="4"/>
  <c r="E18" i="4" s="1"/>
  <c r="C17" i="4"/>
  <c r="E17" i="4" s="1"/>
  <c r="C16" i="4"/>
  <c r="E16" i="4" s="1"/>
  <c r="D12" i="4"/>
  <c r="D9" i="4"/>
  <c r="D8" i="4"/>
  <c r="Q83" i="19" s="1"/>
  <c r="L4" i="4"/>
  <c r="L3" i="4"/>
  <c r="L2" i="4"/>
  <c r="L1" i="4"/>
  <c r="B33" i="3"/>
  <c r="D45" i="2"/>
  <c r="C29" i="4" s="1"/>
  <c r="B3" i="1"/>
  <c r="G46" i="8" l="1"/>
  <c r="Q91" i="11"/>
  <c r="M33" i="12"/>
  <c r="J19" i="18"/>
  <c r="J27" i="18"/>
  <c r="J35" i="18"/>
  <c r="J104" i="18"/>
  <c r="Q151" i="11"/>
  <c r="J58" i="18"/>
  <c r="J59" i="18"/>
  <c r="J82" i="18"/>
  <c r="Q189" i="5"/>
  <c r="L9" i="6"/>
  <c r="G45" i="8"/>
  <c r="J45" i="8" s="1"/>
  <c r="G189" i="30" s="1"/>
  <c r="Q9" i="13"/>
  <c r="J21" i="18"/>
  <c r="J25" i="18"/>
  <c r="J44" i="18"/>
  <c r="J52" i="18"/>
  <c r="J106" i="18"/>
  <c r="P31" i="17"/>
  <c r="J99" i="18"/>
  <c r="Q201" i="9"/>
  <c r="K8" i="6"/>
  <c r="Q10" i="10" s="1"/>
  <c r="J8" i="8"/>
  <c r="I59" i="14"/>
  <c r="D24" i="4"/>
  <c r="Q75" i="9"/>
  <c r="Q47" i="9"/>
  <c r="Q9" i="9"/>
  <c r="Q83" i="9"/>
  <c r="Q51" i="9"/>
  <c r="Q70" i="9"/>
  <c r="Q39" i="9"/>
  <c r="Q17" i="9"/>
  <c r="Q94" i="9" s="1"/>
  <c r="Q31" i="9"/>
  <c r="Q16" i="9"/>
  <c r="Q64" i="9"/>
  <c r="Q96" i="9" s="1"/>
  <c r="Q28" i="9"/>
  <c r="Q56" i="9"/>
  <c r="Q49" i="9"/>
  <c r="Q20" i="9"/>
  <c r="Q110" i="9"/>
  <c r="D34" i="8"/>
  <c r="E58" i="14"/>
  <c r="M35" i="12"/>
  <c r="J88" i="18"/>
  <c r="E23" i="10"/>
  <c r="Q109" i="11"/>
  <c r="Q13" i="13"/>
  <c r="E61" i="14"/>
  <c r="Q21" i="17"/>
  <c r="Q22" i="17"/>
  <c r="E13" i="16"/>
  <c r="Q133" i="9"/>
  <c r="V10" i="14"/>
  <c r="J45" i="18"/>
  <c r="J96" i="18"/>
  <c r="Q142" i="9"/>
  <c r="D60" i="14"/>
  <c r="I51" i="14"/>
  <c r="D25" i="4"/>
  <c r="Q67" i="5"/>
  <c r="Q201" i="5"/>
  <c r="E53" i="14"/>
  <c r="E16" i="16"/>
  <c r="J16" i="18"/>
  <c r="E125" i="18"/>
  <c r="J29" i="18"/>
  <c r="F135" i="18"/>
  <c r="E159" i="18"/>
  <c r="J80" i="18"/>
  <c r="F203" i="18"/>
  <c r="Q197" i="29"/>
  <c r="Q187" i="29"/>
  <c r="Q183" i="29"/>
  <c r="Q88" i="29"/>
  <c r="Q78" i="29"/>
  <c r="Q199" i="29"/>
  <c r="Q195" i="29"/>
  <c r="Q185" i="29"/>
  <c r="Q198" i="29"/>
  <c r="Q184" i="29"/>
  <c r="Q179" i="29"/>
  <c r="Q77" i="29"/>
  <c r="Q91" i="29"/>
  <c r="Q196" i="29"/>
  <c r="Q186" i="29"/>
  <c r="Q76" i="29"/>
  <c r="Q90" i="29"/>
  <c r="Q75" i="29"/>
  <c r="Q79" i="29"/>
  <c r="Q71" i="29"/>
  <c r="Q89" i="29"/>
  <c r="Q87" i="29"/>
  <c r="Q173" i="15"/>
  <c r="Q159" i="15"/>
  <c r="Q88" i="15"/>
  <c r="Q74" i="15"/>
  <c r="Q69" i="15"/>
  <c r="Q172" i="15"/>
  <c r="Q162" i="15"/>
  <c r="Q158" i="15"/>
  <c r="Q87" i="15"/>
  <c r="Q77" i="15"/>
  <c r="Q73" i="15"/>
  <c r="Q85" i="15"/>
  <c r="Q154" i="15"/>
  <c r="C26" i="10"/>
  <c r="Q174" i="15"/>
  <c r="Q161" i="15"/>
  <c r="Q160" i="15"/>
  <c r="Q89" i="15"/>
  <c r="Q76" i="15"/>
  <c r="G12" i="12"/>
  <c r="E20" i="14" s="1"/>
  <c r="Q170" i="15"/>
  <c r="Q86" i="15"/>
  <c r="G10" i="12"/>
  <c r="E18" i="14" s="1"/>
  <c r="Q171" i="15"/>
  <c r="G14" i="12"/>
  <c r="E22" i="14" s="1"/>
  <c r="D13" i="6"/>
  <c r="Q195" i="5"/>
  <c r="Q75" i="15"/>
  <c r="C13" i="10"/>
  <c r="Q171" i="5"/>
  <c r="Q161" i="5"/>
  <c r="Q170" i="5"/>
  <c r="Q86" i="5"/>
  <c r="Q179" i="5"/>
  <c r="Q85" i="5"/>
  <c r="Q80" i="5"/>
  <c r="Q90" i="5"/>
  <c r="Q89" i="5"/>
  <c r="Q84" i="5"/>
  <c r="Q79" i="5"/>
  <c r="D15" i="6"/>
  <c r="C30" i="4"/>
  <c r="E29" i="4"/>
  <c r="I29" i="4" s="1"/>
  <c r="Q78" i="5"/>
  <c r="Q88" i="5"/>
  <c r="Q83" i="5"/>
  <c r="Q77" i="5"/>
  <c r="F29" i="4"/>
  <c r="Q82" i="5"/>
  <c r="G8" i="12"/>
  <c r="E16" i="14" s="1"/>
  <c r="Q87" i="5"/>
  <c r="Q81" i="5"/>
  <c r="Q76" i="5"/>
  <c r="D29" i="4"/>
  <c r="R58" i="21"/>
  <c r="R54" i="21"/>
  <c r="R50" i="21"/>
  <c r="R57" i="21"/>
  <c r="R53" i="21"/>
  <c r="R49" i="21"/>
  <c r="R55" i="21"/>
  <c r="R59" i="21"/>
  <c r="R48" i="21"/>
  <c r="R52" i="21"/>
  <c r="R51" i="21"/>
  <c r="R61" i="21"/>
  <c r="R47" i="21"/>
  <c r="R56" i="21"/>
  <c r="D25" i="10"/>
  <c r="R26" i="5"/>
  <c r="D11" i="4"/>
  <c r="F34" i="8" s="1"/>
  <c r="Q69" i="5"/>
  <c r="C14" i="30"/>
  <c r="E14" i="30" s="1"/>
  <c r="G14" i="30" s="1"/>
  <c r="G183" i="30"/>
  <c r="E141" i="18"/>
  <c r="E120" i="18"/>
  <c r="Q203" i="9"/>
  <c r="Q195" i="9"/>
  <c r="Q187" i="9"/>
  <c r="Q179" i="9"/>
  <c r="Q211" i="9" s="1"/>
  <c r="Q171" i="9"/>
  <c r="E160" i="18"/>
  <c r="Q204" i="9"/>
  <c r="Q196" i="9"/>
  <c r="Q188" i="9"/>
  <c r="Q180" i="9"/>
  <c r="Q172" i="9"/>
  <c r="Q164" i="9"/>
  <c r="Q159" i="9"/>
  <c r="Q155" i="9"/>
  <c r="Q151" i="9"/>
  <c r="Q147" i="9"/>
  <c r="Q143" i="9"/>
  <c r="Q139" i="9"/>
  <c r="Q135" i="9"/>
  <c r="Q131" i="9"/>
  <c r="Q127" i="9"/>
  <c r="Q123" i="9"/>
  <c r="Q200" i="9"/>
  <c r="Q193" i="9"/>
  <c r="Q186" i="9"/>
  <c r="Q168" i="9"/>
  <c r="Q153" i="9"/>
  <c r="Q148" i="9"/>
  <c r="Q137" i="9"/>
  <c r="Q132" i="9"/>
  <c r="Q209" i="9" s="1"/>
  <c r="E140" i="18"/>
  <c r="Q192" i="9"/>
  <c r="Q185" i="9"/>
  <c r="Q178" i="9"/>
  <c r="Q157" i="9"/>
  <c r="Q152" i="9"/>
  <c r="Q141" i="9"/>
  <c r="Q136" i="9"/>
  <c r="Q125" i="9"/>
  <c r="Q199" i="9"/>
  <c r="Q181" i="9"/>
  <c r="Q174" i="9"/>
  <c r="Q167" i="9"/>
  <c r="Q162" i="9"/>
  <c r="Q146" i="9"/>
  <c r="Q130" i="9"/>
  <c r="Q230" i="9"/>
  <c r="Q202" i="9"/>
  <c r="Q184" i="9"/>
  <c r="Q177" i="9"/>
  <c r="Q170" i="9"/>
  <c r="Q161" i="9"/>
  <c r="Q156" i="9"/>
  <c r="Q145" i="9"/>
  <c r="Q140" i="9"/>
  <c r="Q129" i="9"/>
  <c r="Q124" i="9"/>
  <c r="Q206" i="9"/>
  <c r="Q198" i="9"/>
  <c r="Q191" i="9"/>
  <c r="Q173" i="9"/>
  <c r="Q166" i="9"/>
  <c r="Q150" i="9"/>
  <c r="Q134" i="9"/>
  <c r="Q197" i="9"/>
  <c r="Q190" i="9"/>
  <c r="Q183" i="9"/>
  <c r="Q165" i="9"/>
  <c r="Q154" i="9"/>
  <c r="Q138" i="9"/>
  <c r="Q122" i="9"/>
  <c r="Q8" i="9"/>
  <c r="Q57" i="9"/>
  <c r="Q82" i="9"/>
  <c r="Q160" i="9"/>
  <c r="Q176" i="9"/>
  <c r="N11" i="24"/>
  <c r="K14" i="16"/>
  <c r="R14" i="16"/>
  <c r="N14" i="16"/>
  <c r="O14" i="16"/>
  <c r="Q70" i="5"/>
  <c r="P185" i="5"/>
  <c r="Q191" i="5"/>
  <c r="C15" i="30"/>
  <c r="E15" i="30" s="1"/>
  <c r="G15" i="30" s="1"/>
  <c r="F130" i="18"/>
  <c r="Q231" i="9"/>
  <c r="Q207" i="9"/>
  <c r="F131" i="18"/>
  <c r="M8" i="6"/>
  <c r="J8" i="6"/>
  <c r="Q21" i="9"/>
  <c r="Q43" i="9"/>
  <c r="Q59" i="9"/>
  <c r="Q74" i="9"/>
  <c r="Q144" i="9"/>
  <c r="Q194" i="9"/>
  <c r="Q183" i="5"/>
  <c r="Q200" i="5"/>
  <c r="P183" i="5"/>
  <c r="Q205" i="5"/>
  <c r="Q66" i="5"/>
  <c r="I8" i="6"/>
  <c r="J46" i="8"/>
  <c r="G190" i="30" s="1"/>
  <c r="Q12" i="9"/>
  <c r="Q126" i="9"/>
  <c r="Q182" i="9"/>
  <c r="C12" i="10"/>
  <c r="C11" i="30"/>
  <c r="E11" i="30" s="1"/>
  <c r="G11" i="30" s="1"/>
  <c r="G74" i="14"/>
  <c r="D10" i="4"/>
  <c r="C16" i="10"/>
  <c r="C29" i="10"/>
  <c r="Q206" i="5"/>
  <c r="C34" i="4"/>
  <c r="G179" i="30" s="1"/>
  <c r="Q71" i="5"/>
  <c r="Q87" i="23"/>
  <c r="Q79" i="23"/>
  <c r="Q71" i="23"/>
  <c r="Q63" i="23"/>
  <c r="Q55" i="23"/>
  <c r="Q45" i="23"/>
  <c r="Q41" i="23"/>
  <c r="Q37" i="23"/>
  <c r="Q33" i="23"/>
  <c r="Q29" i="23"/>
  <c r="Q25" i="23"/>
  <c r="Q21" i="23"/>
  <c r="Q17" i="23"/>
  <c r="Q94" i="23" s="1"/>
  <c r="Q13" i="23"/>
  <c r="Q9" i="23"/>
  <c r="Q89" i="23"/>
  <c r="Q81" i="23"/>
  <c r="Q73" i="23"/>
  <c r="Q65" i="23"/>
  <c r="Q57" i="23"/>
  <c r="Q49" i="23"/>
  <c r="Q44" i="23"/>
  <c r="Q40" i="23"/>
  <c r="Q36" i="23"/>
  <c r="Q32" i="23"/>
  <c r="Q28" i="23"/>
  <c r="Q24" i="23"/>
  <c r="Q20" i="23"/>
  <c r="Q16" i="23"/>
  <c r="Q12" i="23"/>
  <c r="Q8" i="23"/>
  <c r="Q88" i="23"/>
  <c r="Q74" i="23"/>
  <c r="Q70" i="23"/>
  <c r="Q56" i="23"/>
  <c r="Q84" i="23"/>
  <c r="Q77" i="23"/>
  <c r="Q59" i="23"/>
  <c r="Q52" i="23"/>
  <c r="Q47" i="23"/>
  <c r="Q42" i="23"/>
  <c r="Q31" i="23"/>
  <c r="Q26" i="23"/>
  <c r="Q15" i="23"/>
  <c r="Q10" i="23"/>
  <c r="Q80" i="23"/>
  <c r="Q66" i="23"/>
  <c r="Q62" i="23"/>
  <c r="Q83" i="23"/>
  <c r="Q76" i="23"/>
  <c r="Q69" i="23"/>
  <c r="Q51" i="23"/>
  <c r="Q46" i="23"/>
  <c r="Q35" i="23"/>
  <c r="Q30" i="23"/>
  <c r="Q19" i="23"/>
  <c r="Q14" i="23"/>
  <c r="Q98" i="23"/>
  <c r="Q75" i="23"/>
  <c r="Q68" i="23"/>
  <c r="Q61" i="23"/>
  <c r="Q39" i="23"/>
  <c r="Q34" i="23"/>
  <c r="Q23" i="23"/>
  <c r="Q18" i="23"/>
  <c r="Q7" i="23"/>
  <c r="Q115" i="23"/>
  <c r="Q82" i="23"/>
  <c r="Q72" i="23"/>
  <c r="Q27" i="23"/>
  <c r="Q91" i="23"/>
  <c r="Q53" i="23"/>
  <c r="Q11" i="23"/>
  <c r="Q38" i="23"/>
  <c r="C20" i="30"/>
  <c r="E20" i="30" s="1"/>
  <c r="G20" i="30" s="1"/>
  <c r="Q78" i="23"/>
  <c r="Q60" i="23"/>
  <c r="Q50" i="23"/>
  <c r="Q22" i="23"/>
  <c r="Q86" i="23"/>
  <c r="Q58" i="23"/>
  <c r="Q85" i="23"/>
  <c r="Q67" i="23"/>
  <c r="Q64" i="23"/>
  <c r="Q96" i="23" s="1"/>
  <c r="Q54" i="23"/>
  <c r="Q43" i="23"/>
  <c r="Q87" i="9"/>
  <c r="Q88" i="9"/>
  <c r="Q85" i="9"/>
  <c r="Q77" i="9"/>
  <c r="Q79" i="9"/>
  <c r="Q66" i="9"/>
  <c r="Q61" i="9"/>
  <c r="Q53" i="9"/>
  <c r="Q27" i="9"/>
  <c r="Q23" i="9"/>
  <c r="Q19" i="9"/>
  <c r="Q15" i="9"/>
  <c r="Q11" i="9"/>
  <c r="Q7" i="9"/>
  <c r="Q84" i="9"/>
  <c r="Q76" i="9"/>
  <c r="Q71" i="9"/>
  <c r="Q58" i="9"/>
  <c r="Q50" i="9"/>
  <c r="Q46" i="9"/>
  <c r="Q42" i="9"/>
  <c r="Q38" i="9"/>
  <c r="Q34" i="9"/>
  <c r="Q30" i="9"/>
  <c r="Q115" i="9"/>
  <c r="Q91" i="9"/>
  <c r="Q81" i="9"/>
  <c r="Q73" i="9"/>
  <c r="Q68" i="9"/>
  <c r="Q63" i="9"/>
  <c r="Q55" i="9"/>
  <c r="Q26" i="9"/>
  <c r="Q22" i="9"/>
  <c r="Q18" i="9"/>
  <c r="Q14" i="9"/>
  <c r="Q10" i="9"/>
  <c r="Q98" i="9"/>
  <c r="Q86" i="9"/>
  <c r="Q78" i="9"/>
  <c r="Q65" i="9"/>
  <c r="Q60" i="9"/>
  <c r="Q52" i="9"/>
  <c r="Q45" i="9"/>
  <c r="Q41" i="9"/>
  <c r="Q37" i="9"/>
  <c r="Q33" i="9"/>
  <c r="Q29" i="9"/>
  <c r="Q80" i="9"/>
  <c r="Q72" i="9"/>
  <c r="Q67" i="9"/>
  <c r="Q62" i="9"/>
  <c r="Q54" i="9"/>
  <c r="Q44" i="9"/>
  <c r="Q40" i="9"/>
  <c r="Q36" i="9"/>
  <c r="Q32" i="9"/>
  <c r="I9" i="6"/>
  <c r="M12" i="24"/>
  <c r="L15" i="16"/>
  <c r="J15" i="16"/>
  <c r="Q15" i="16"/>
  <c r="M15" i="16"/>
  <c r="Q13" i="9"/>
  <c r="Q24" i="9"/>
  <c r="Q35" i="9"/>
  <c r="Q128" i="9"/>
  <c r="Q149" i="9"/>
  <c r="Q169" i="9"/>
  <c r="Q213" i="9"/>
  <c r="D10" i="26"/>
  <c r="M32" i="12"/>
  <c r="P51" i="5"/>
  <c r="Q72" i="5"/>
  <c r="C21" i="30"/>
  <c r="E21" i="30" s="1"/>
  <c r="G21" i="30" s="1"/>
  <c r="Q92" i="23"/>
  <c r="Q116" i="23"/>
  <c r="Q116" i="9"/>
  <c r="Q92" i="9"/>
  <c r="M9" i="6"/>
  <c r="N12" i="24"/>
  <c r="R15" i="16"/>
  <c r="O15" i="16"/>
  <c r="K15" i="16"/>
  <c r="N15" i="16"/>
  <c r="Q25" i="9"/>
  <c r="Q69" i="9"/>
  <c r="Q89" i="9"/>
  <c r="R19" i="5"/>
  <c r="R23" i="5"/>
  <c r="R27" i="5"/>
  <c r="C19" i="30"/>
  <c r="E19" i="30" s="1"/>
  <c r="G19" i="30" s="1"/>
  <c r="Q113" i="23"/>
  <c r="Q111" i="23"/>
  <c r="Q110" i="23"/>
  <c r="H14" i="12"/>
  <c r="P21" i="10"/>
  <c r="M16" i="6"/>
  <c r="D31" i="8"/>
  <c r="Q113" i="9"/>
  <c r="M15" i="6"/>
  <c r="Q111" i="9"/>
  <c r="Q9" i="6"/>
  <c r="M13" i="24"/>
  <c r="Q16" i="16"/>
  <c r="L16" i="16"/>
  <c r="M16" i="16"/>
  <c r="J16" i="16"/>
  <c r="H125" i="18"/>
  <c r="J135" i="18"/>
  <c r="F148" i="18"/>
  <c r="J46" i="18"/>
  <c r="H159" i="18"/>
  <c r="J203" i="18"/>
  <c r="R51" i="5"/>
  <c r="R57" i="5"/>
  <c r="J13" i="6"/>
  <c r="I13" i="6"/>
  <c r="J16" i="6"/>
  <c r="Q175" i="9"/>
  <c r="Q189" i="9"/>
  <c r="H15" i="12"/>
  <c r="Q11" i="10"/>
  <c r="K8" i="14"/>
  <c r="D52" i="14"/>
  <c r="D54" i="14"/>
  <c r="Q125" i="11"/>
  <c r="Q61" i="11"/>
  <c r="E10" i="10"/>
  <c r="Q127" i="11"/>
  <c r="Q63" i="11"/>
  <c r="E9" i="10"/>
  <c r="Q93" i="21"/>
  <c r="Q109" i="21"/>
  <c r="Q61" i="21"/>
  <c r="Q95" i="21"/>
  <c r="Q77" i="21"/>
  <c r="Q111" i="21"/>
  <c r="Q127" i="21"/>
  <c r="Q125" i="21"/>
  <c r="Q63" i="21"/>
  <c r="Q47" i="21"/>
  <c r="Q79" i="21"/>
  <c r="Q153" i="21"/>
  <c r="Q8" i="21"/>
  <c r="Q9" i="21"/>
  <c r="Q79" i="11"/>
  <c r="Q93" i="11"/>
  <c r="Q153" i="11"/>
  <c r="D56" i="14"/>
  <c r="D58" i="14"/>
  <c r="D55" i="14"/>
  <c r="D57" i="14"/>
  <c r="Q44" i="11"/>
  <c r="Q154" i="11"/>
  <c r="Q75" i="11"/>
  <c r="Q45" i="21"/>
  <c r="Q151" i="21"/>
  <c r="Q123" i="21"/>
  <c r="Q44" i="21"/>
  <c r="Q75" i="21"/>
  <c r="Q59" i="21"/>
  <c r="Q154" i="21"/>
  <c r="Q107" i="21"/>
  <c r="Q91" i="21"/>
  <c r="Q24" i="10"/>
  <c r="Q23" i="10"/>
  <c r="Q111" i="11"/>
  <c r="M37" i="12"/>
  <c r="Q161" i="29"/>
  <c r="C120" i="30"/>
  <c r="E120" i="30" s="1"/>
  <c r="G120" i="30" s="1"/>
  <c r="Q160" i="29"/>
  <c r="Q159" i="29"/>
  <c r="C30" i="28"/>
  <c r="Q162" i="29"/>
  <c r="Q163" i="29"/>
  <c r="I14" i="6"/>
  <c r="E22" i="10"/>
  <c r="Q8" i="11"/>
  <c r="Q47" i="11"/>
  <c r="Q9" i="10"/>
  <c r="Q22" i="10"/>
  <c r="Q9" i="11"/>
  <c r="Q95" i="11"/>
  <c r="Q123" i="11"/>
  <c r="D9" i="26"/>
  <c r="M31" i="12"/>
  <c r="C137" i="30"/>
  <c r="E137" i="30" s="1"/>
  <c r="G137" i="30" s="1"/>
  <c r="E36" i="28"/>
  <c r="P33" i="15"/>
  <c r="Q19" i="29"/>
  <c r="Q13" i="29"/>
  <c r="Q32" i="29"/>
  <c r="Q12" i="29"/>
  <c r="Q12" i="13"/>
  <c r="Q32" i="13"/>
  <c r="M36" i="12"/>
  <c r="Q6" i="19"/>
  <c r="Q8" i="19" s="1"/>
  <c r="E118" i="18"/>
  <c r="F121" i="18"/>
  <c r="F124" i="18"/>
  <c r="J22" i="18"/>
  <c r="E135" i="18"/>
  <c r="E152" i="18"/>
  <c r="F158" i="18"/>
  <c r="F189" i="18"/>
  <c r="J86" i="18"/>
  <c r="E200" i="18"/>
  <c r="F216" i="18"/>
  <c r="J113" i="18"/>
  <c r="M34" i="12"/>
  <c r="K10" i="14"/>
  <c r="H31" i="14" s="1"/>
  <c r="E56" i="14"/>
  <c r="F66" i="14"/>
  <c r="E119" i="18"/>
  <c r="E122" i="18"/>
  <c r="F125" i="18"/>
  <c r="E129" i="18"/>
  <c r="E132" i="18"/>
  <c r="E136" i="18"/>
  <c r="F173" i="18"/>
  <c r="J70" i="18"/>
  <c r="E184" i="18"/>
  <c r="E211" i="18"/>
  <c r="G66" i="14"/>
  <c r="C141" i="30"/>
  <c r="E141" i="30" s="1"/>
  <c r="G141" i="30" s="1"/>
  <c r="F36" i="28"/>
  <c r="P35" i="15"/>
  <c r="E15" i="16"/>
  <c r="F119" i="18"/>
  <c r="F122" i="18"/>
  <c r="E126" i="18"/>
  <c r="F132" i="18"/>
  <c r="J30" i="18"/>
  <c r="E143" i="18"/>
  <c r="F166" i="18"/>
  <c r="F197" i="18"/>
  <c r="J94" i="18"/>
  <c r="E208" i="18"/>
  <c r="I55" i="14"/>
  <c r="I57" i="14"/>
  <c r="I56" i="14"/>
  <c r="P145" i="29"/>
  <c r="C156" i="30"/>
  <c r="E156" i="30" s="1"/>
  <c r="G156" i="30" s="1"/>
  <c r="F37" i="28"/>
  <c r="Q25" i="17"/>
  <c r="F126" i="18"/>
  <c r="E133" i="18"/>
  <c r="F156" i="18"/>
  <c r="J54" i="18"/>
  <c r="E167" i="18"/>
  <c r="Q26" i="29"/>
  <c r="Q8" i="29"/>
  <c r="Q16" i="29"/>
  <c r="Q9" i="29"/>
  <c r="Q14" i="29"/>
  <c r="Q8" i="13"/>
  <c r="K9" i="14"/>
  <c r="D43" i="14" s="1"/>
  <c r="V9" i="14"/>
  <c r="E127" i="18"/>
  <c r="E130" i="18"/>
  <c r="E137" i="18"/>
  <c r="F150" i="18"/>
  <c r="F181" i="18"/>
  <c r="J78" i="18"/>
  <c r="E192" i="18"/>
  <c r="D51" i="14"/>
  <c r="Q23" i="17"/>
  <c r="Q27" i="17"/>
  <c r="Q28" i="17"/>
  <c r="E134" i="18"/>
  <c r="F140" i="18"/>
  <c r="J38" i="18"/>
  <c r="E151" i="18"/>
  <c r="F205" i="18"/>
  <c r="J102" i="18"/>
  <c r="D59" i="14"/>
  <c r="E55" i="14"/>
  <c r="D62" i="14"/>
  <c r="AQ11" i="24"/>
  <c r="AQ10" i="24"/>
  <c r="E14" i="16"/>
  <c r="P37" i="17"/>
  <c r="E121" i="18"/>
  <c r="E124" i="18"/>
  <c r="E128" i="18"/>
  <c r="F134" i="18"/>
  <c r="F164" i="18"/>
  <c r="J62" i="18"/>
  <c r="E176" i="18"/>
  <c r="D39" i="14"/>
  <c r="D47" i="14"/>
  <c r="D53" i="14"/>
  <c r="E54" i="14"/>
  <c r="D61" i="14"/>
  <c r="E62" i="14"/>
  <c r="AR11" i="24"/>
  <c r="AR10" i="24"/>
  <c r="J24" i="18"/>
  <c r="F129" i="18"/>
  <c r="J32" i="18"/>
  <c r="F137" i="18"/>
  <c r="F145" i="18"/>
  <c r="E148" i="18"/>
  <c r="J48" i="18"/>
  <c r="F153" i="18"/>
  <c r="E156" i="18"/>
  <c r="J56" i="18"/>
  <c r="F161" i="18"/>
  <c r="E164" i="18"/>
  <c r="J64" i="18"/>
  <c r="F169" i="18"/>
  <c r="E173" i="18"/>
  <c r="F178" i="18"/>
  <c r="E181" i="18"/>
  <c r="F186" i="18"/>
  <c r="E189" i="18"/>
  <c r="F194" i="18"/>
  <c r="E197" i="18"/>
  <c r="F202" i="18"/>
  <c r="E205" i="18"/>
  <c r="F210" i="18"/>
  <c r="J107" i="18"/>
  <c r="F127" i="18"/>
  <c r="D36" i="14"/>
  <c r="D44" i="14"/>
  <c r="E52" i="14"/>
  <c r="E60" i="14"/>
  <c r="AS11" i="24"/>
  <c r="AS10" i="24"/>
  <c r="E138" i="18"/>
  <c r="F143" i="18"/>
  <c r="E146" i="18"/>
  <c r="F151" i="18"/>
  <c r="E154" i="18"/>
  <c r="F159" i="18"/>
  <c r="E162" i="18"/>
  <c r="F167" i="18"/>
  <c r="E170" i="18"/>
  <c r="F176" i="18"/>
  <c r="E179" i="18"/>
  <c r="F184" i="18"/>
  <c r="E187" i="18"/>
  <c r="F192" i="18"/>
  <c r="E195" i="18"/>
  <c r="F200" i="18"/>
  <c r="E203" i="18"/>
  <c r="F208" i="18"/>
  <c r="F211" i="18"/>
  <c r="E214" i="18"/>
  <c r="F123" i="18"/>
  <c r="F190" i="18"/>
  <c r="I54" i="14"/>
  <c r="I62" i="14"/>
  <c r="AQ13" i="24"/>
  <c r="AQ12" i="24"/>
  <c r="J17" i="18"/>
  <c r="J33" i="18"/>
  <c r="F138" i="18"/>
  <c r="J41" i="18"/>
  <c r="F146" i="18"/>
  <c r="E149" i="18"/>
  <c r="J49" i="18"/>
  <c r="F154" i="18"/>
  <c r="E157" i="18"/>
  <c r="J57" i="18"/>
  <c r="F162" i="18"/>
  <c r="E165" i="18"/>
  <c r="J65" i="18"/>
  <c r="F171" i="18"/>
  <c r="F170" i="18"/>
  <c r="E174" i="18"/>
  <c r="J73" i="18"/>
  <c r="F179" i="18"/>
  <c r="E182" i="18"/>
  <c r="J81" i="18"/>
  <c r="F187" i="18"/>
  <c r="E190" i="18"/>
  <c r="J89" i="18"/>
  <c r="F195" i="18"/>
  <c r="E198" i="18"/>
  <c r="J97" i="18"/>
  <c r="E206" i="18"/>
  <c r="J105" i="18"/>
  <c r="J108" i="18"/>
  <c r="F214" i="18"/>
  <c r="E217" i="18"/>
  <c r="AU12" i="24"/>
  <c r="AU13" i="24"/>
  <c r="F133" i="18"/>
  <c r="F141" i="18"/>
  <c r="E144" i="18"/>
  <c r="F149" i="18"/>
  <c r="F157" i="18"/>
  <c r="F165" i="18"/>
  <c r="E168" i="18"/>
  <c r="F174" i="18"/>
  <c r="E177" i="18"/>
  <c r="F182" i="18"/>
  <c r="E185" i="18"/>
  <c r="E193" i="18"/>
  <c r="F198" i="18"/>
  <c r="E201" i="18"/>
  <c r="F206" i="18"/>
  <c r="E209" i="18"/>
  <c r="E212" i="18"/>
  <c r="F217" i="18"/>
  <c r="F147" i="18"/>
  <c r="E171" i="18"/>
  <c r="C152" i="30"/>
  <c r="E152" i="30" s="1"/>
  <c r="G152" i="30" s="1"/>
  <c r="E37" i="28"/>
  <c r="P143" i="29"/>
  <c r="AR13" i="24"/>
  <c r="AR12" i="24"/>
  <c r="P43" i="17"/>
  <c r="P49" i="17"/>
  <c r="F120" i="18"/>
  <c r="E123" i="18"/>
  <c r="J23" i="18"/>
  <c r="F128" i="18"/>
  <c r="E131" i="18"/>
  <c r="J31" i="18"/>
  <c r="F136" i="18"/>
  <c r="E139" i="18"/>
  <c r="J39" i="18"/>
  <c r="F144" i="18"/>
  <c r="E147" i="18"/>
  <c r="J47" i="18"/>
  <c r="F152" i="18"/>
  <c r="E155" i="18"/>
  <c r="J55" i="18"/>
  <c r="F160" i="18"/>
  <c r="E163" i="18"/>
  <c r="J63" i="18"/>
  <c r="F168" i="18"/>
  <c r="E172" i="18"/>
  <c r="J71" i="18"/>
  <c r="F177" i="18"/>
  <c r="E180" i="18"/>
  <c r="J79" i="18"/>
  <c r="F185" i="18"/>
  <c r="E188" i="18"/>
  <c r="F193" i="18"/>
  <c r="E196" i="18"/>
  <c r="J95" i="18"/>
  <c r="F201" i="18"/>
  <c r="E204" i="18"/>
  <c r="J103" i="18"/>
  <c r="F209" i="18"/>
  <c r="F212" i="18"/>
  <c r="E215" i="18"/>
  <c r="J114" i="18"/>
  <c r="F139" i="18"/>
  <c r="E142" i="18"/>
  <c r="E150" i="18"/>
  <c r="F155" i="18"/>
  <c r="E158" i="18"/>
  <c r="F163" i="18"/>
  <c r="E166" i="18"/>
  <c r="F172" i="18"/>
  <c r="E175" i="18"/>
  <c r="F180" i="18"/>
  <c r="E183" i="18"/>
  <c r="F188" i="18"/>
  <c r="E191" i="18"/>
  <c r="F196" i="18"/>
  <c r="E199" i="18"/>
  <c r="F204" i="18"/>
  <c r="E207" i="18"/>
  <c r="F215" i="18"/>
  <c r="AU10" i="24"/>
  <c r="AU11" i="24"/>
  <c r="AS12" i="24"/>
  <c r="AS13" i="24"/>
  <c r="Q7" i="19"/>
  <c r="J37" i="18"/>
  <c r="F142" i="18"/>
  <c r="E145" i="18"/>
  <c r="E153" i="18"/>
  <c r="J53" i="18"/>
  <c r="E161" i="18"/>
  <c r="J61" i="18"/>
  <c r="E169" i="18"/>
  <c r="J69" i="18"/>
  <c r="F175" i="18"/>
  <c r="E178" i="18"/>
  <c r="J77" i="18"/>
  <c r="F183" i="18"/>
  <c r="E186" i="18"/>
  <c r="J85" i="18"/>
  <c r="F191" i="18"/>
  <c r="E194" i="18"/>
  <c r="J93" i="18"/>
  <c r="F199" i="18"/>
  <c r="E202" i="18"/>
  <c r="J101" i="18"/>
  <c r="F207" i="18"/>
  <c r="E210" i="18"/>
  <c r="E213" i="18"/>
  <c r="J112" i="18"/>
  <c r="F118" i="18"/>
  <c r="F213" i="18"/>
  <c r="E216" i="18"/>
  <c r="R929" i="30"/>
  <c r="F11" i="18" l="1"/>
  <c r="C162" i="30" s="1"/>
  <c r="E162" i="30" s="1"/>
  <c r="G162" i="30" s="1"/>
  <c r="T9" i="14"/>
  <c r="R24" i="5"/>
  <c r="H123" i="18"/>
  <c r="G123" i="18"/>
  <c r="I123" i="18" s="1"/>
  <c r="J204" i="18"/>
  <c r="J172" i="18"/>
  <c r="H196" i="18"/>
  <c r="G196" i="18"/>
  <c r="I196" i="18" s="1"/>
  <c r="H172" i="18"/>
  <c r="G172" i="18"/>
  <c r="I172" i="18" s="1"/>
  <c r="J128" i="18"/>
  <c r="J147" i="18"/>
  <c r="G185" i="18"/>
  <c r="I185" i="18" s="1"/>
  <c r="H185" i="18"/>
  <c r="H144" i="18"/>
  <c r="G144" i="18"/>
  <c r="I144" i="18" s="1"/>
  <c r="J187" i="18"/>
  <c r="J146" i="18"/>
  <c r="J200" i="18"/>
  <c r="J167" i="18"/>
  <c r="G181" i="18"/>
  <c r="I181" i="18" s="1"/>
  <c r="H181" i="18"/>
  <c r="H156" i="18"/>
  <c r="G156" i="18"/>
  <c r="I156" i="18" s="1"/>
  <c r="J205" i="18"/>
  <c r="Q49" i="29"/>
  <c r="Q45" i="29"/>
  <c r="C68" i="30"/>
  <c r="E68" i="30" s="1"/>
  <c r="G68" i="30" s="1"/>
  <c r="Q69" i="29"/>
  <c r="Q46" i="29"/>
  <c r="C21" i="28"/>
  <c r="Q48" i="29"/>
  <c r="Q47" i="29"/>
  <c r="Q129" i="15"/>
  <c r="Q152" i="15"/>
  <c r="Q132" i="15"/>
  <c r="Q128" i="15"/>
  <c r="Q131" i="15"/>
  <c r="Q130" i="15"/>
  <c r="G126" i="18"/>
  <c r="I126" i="18" s="1"/>
  <c r="H126" i="18"/>
  <c r="H132" i="18"/>
  <c r="G132" i="18"/>
  <c r="I132" i="18" s="1"/>
  <c r="H152" i="18"/>
  <c r="G152" i="18"/>
  <c r="I152" i="18" s="1"/>
  <c r="C101" i="30"/>
  <c r="E101" i="30" s="1"/>
  <c r="G101" i="30" s="1"/>
  <c r="C28" i="28"/>
  <c r="Q64" i="15"/>
  <c r="Q63" i="15"/>
  <c r="Q62" i="15"/>
  <c r="Q61" i="15"/>
  <c r="Q65" i="15"/>
  <c r="N13" i="24"/>
  <c r="K16" i="16"/>
  <c r="O16" i="16"/>
  <c r="N16" i="16"/>
  <c r="R16" i="16"/>
  <c r="Y13" i="24"/>
  <c r="X13" i="24"/>
  <c r="AG12" i="24"/>
  <c r="AF12" i="24"/>
  <c r="S9" i="6"/>
  <c r="G188" i="30" s="1"/>
  <c r="Q44" i="19"/>
  <c r="H140" i="18"/>
  <c r="G140" i="18"/>
  <c r="I140" i="18" s="1"/>
  <c r="H141" i="18"/>
  <c r="G141" i="18"/>
  <c r="I141" i="18" s="1"/>
  <c r="C10" i="30"/>
  <c r="E10" i="30" s="1"/>
  <c r="G10" i="30" s="1"/>
  <c r="P57" i="5"/>
  <c r="R30" i="5"/>
  <c r="J212" i="18"/>
  <c r="G177" i="18"/>
  <c r="I177" i="18" s="1"/>
  <c r="H177" i="18"/>
  <c r="H194" i="18"/>
  <c r="G194" i="18"/>
  <c r="I194" i="18" s="1"/>
  <c r="G213" i="18"/>
  <c r="I213" i="18" s="1"/>
  <c r="H213" i="18"/>
  <c r="J191" i="18"/>
  <c r="G169" i="18"/>
  <c r="I169" i="18" s="1"/>
  <c r="H169" i="18"/>
  <c r="Q91" i="19"/>
  <c r="Q88" i="19"/>
  <c r="Q89" i="19"/>
  <c r="H199" i="18"/>
  <c r="G199" i="18"/>
  <c r="I199" i="18" s="1"/>
  <c r="H166" i="18"/>
  <c r="G166" i="18"/>
  <c r="I166" i="18" s="1"/>
  <c r="G215" i="18"/>
  <c r="I215" i="18" s="1"/>
  <c r="H215" i="18"/>
  <c r="J193" i="18"/>
  <c r="J168" i="18"/>
  <c r="H147" i="18"/>
  <c r="G147" i="18"/>
  <c r="I147" i="18" s="1"/>
  <c r="J217" i="18"/>
  <c r="J182" i="18"/>
  <c r="J141" i="18"/>
  <c r="G165" i="18"/>
  <c r="I165" i="18" s="1"/>
  <c r="H165" i="18"/>
  <c r="H195" i="18"/>
  <c r="G195" i="18"/>
  <c r="I195" i="18" s="1"/>
  <c r="H162" i="18"/>
  <c r="G162" i="18"/>
  <c r="I162" i="18" s="1"/>
  <c r="J210" i="18"/>
  <c r="J178" i="18"/>
  <c r="J153" i="18"/>
  <c r="H176" i="18"/>
  <c r="G176" i="18"/>
  <c r="I176" i="18" s="1"/>
  <c r="H151" i="18"/>
  <c r="G151" i="18"/>
  <c r="I151" i="18" s="1"/>
  <c r="H192" i="18"/>
  <c r="G192" i="18"/>
  <c r="I192" i="18" s="1"/>
  <c r="C86" i="30"/>
  <c r="E86" i="30" s="1"/>
  <c r="G86" i="30" s="1"/>
  <c r="Q115" i="15"/>
  <c r="Q109" i="15"/>
  <c r="Q103" i="15"/>
  <c r="Q114" i="15"/>
  <c r="Q108" i="15"/>
  <c r="Q102" i="15"/>
  <c r="Q39" i="15"/>
  <c r="F72" i="14"/>
  <c r="Q38" i="15"/>
  <c r="F71" i="14"/>
  <c r="Q40" i="15"/>
  <c r="Q37" i="15"/>
  <c r="P105" i="15"/>
  <c r="Q41" i="15"/>
  <c r="F73" i="14"/>
  <c r="B67" i="15" s="1"/>
  <c r="H167" i="18"/>
  <c r="G167" i="18"/>
  <c r="I167" i="18" s="1"/>
  <c r="H208" i="18"/>
  <c r="G208" i="18"/>
  <c r="I208" i="18" s="1"/>
  <c r="J122" i="18"/>
  <c r="H129" i="18"/>
  <c r="G129" i="18"/>
  <c r="I129" i="18" s="1"/>
  <c r="H135" i="18"/>
  <c r="G135" i="18"/>
  <c r="I135" i="18" s="1"/>
  <c r="P127" i="21"/>
  <c r="C19" i="20"/>
  <c r="C97" i="30"/>
  <c r="E97" i="30" s="1"/>
  <c r="G97" i="30" s="1"/>
  <c r="C26" i="28"/>
  <c r="Q53" i="15"/>
  <c r="Q49" i="15"/>
  <c r="Q52" i="15"/>
  <c r="Q50" i="15"/>
  <c r="Q51" i="15"/>
  <c r="Q65" i="29"/>
  <c r="Q67" i="29"/>
  <c r="Q63" i="29"/>
  <c r="C24" i="28"/>
  <c r="C74" i="30"/>
  <c r="E74" i="30" s="1"/>
  <c r="G74" i="30" s="1"/>
  <c r="Q66" i="29"/>
  <c r="Q64" i="29"/>
  <c r="Q148" i="15"/>
  <c r="Q147" i="15"/>
  <c r="Q150" i="15"/>
  <c r="Q146" i="15"/>
  <c r="Q149" i="15"/>
  <c r="M10" i="24"/>
  <c r="L13" i="16"/>
  <c r="J13" i="16"/>
  <c r="Q13" i="16"/>
  <c r="M13" i="16"/>
  <c r="AD13" i="24"/>
  <c r="AE13" i="24"/>
  <c r="F31" i="8"/>
  <c r="Z12" i="24"/>
  <c r="AA12" i="24"/>
  <c r="AE12" i="24"/>
  <c r="AD12" i="24"/>
  <c r="C9" i="30"/>
  <c r="E9" i="30" s="1"/>
  <c r="G9" i="30" s="1"/>
  <c r="F74" i="14"/>
  <c r="E24" i="10"/>
  <c r="E11" i="10"/>
  <c r="R49" i="5"/>
  <c r="R53" i="5"/>
  <c r="P49" i="5"/>
  <c r="B16" i="5"/>
  <c r="D17" i="4"/>
  <c r="R15" i="5"/>
  <c r="R11" i="5"/>
  <c r="R7" i="5"/>
  <c r="R13" i="5"/>
  <c r="R55" i="5"/>
  <c r="D16" i="4"/>
  <c r="R9" i="5"/>
  <c r="R14" i="5"/>
  <c r="R10" i="5"/>
  <c r="R6" i="5"/>
  <c r="P55" i="5"/>
  <c r="P53" i="5"/>
  <c r="R16" i="5"/>
  <c r="J131" i="18"/>
  <c r="H160" i="18"/>
  <c r="G160" i="18"/>
  <c r="I160" i="18" s="1"/>
  <c r="R22" i="5"/>
  <c r="R73" i="11"/>
  <c r="R69" i="11"/>
  <c r="R65" i="11"/>
  <c r="R71" i="11"/>
  <c r="R70" i="11"/>
  <c r="R75" i="11"/>
  <c r="R64" i="11"/>
  <c r="D13" i="10"/>
  <c r="R74" i="11"/>
  <c r="R68" i="11"/>
  <c r="R63" i="11"/>
  <c r="R77" i="11"/>
  <c r="R66" i="11"/>
  <c r="R72" i="11"/>
  <c r="R67" i="11"/>
  <c r="R75" i="21"/>
  <c r="R71" i="21"/>
  <c r="R67" i="21"/>
  <c r="R63" i="21"/>
  <c r="R74" i="21"/>
  <c r="R70" i="21"/>
  <c r="R66" i="21"/>
  <c r="R77" i="21"/>
  <c r="R65" i="21"/>
  <c r="R69" i="21"/>
  <c r="R64" i="21"/>
  <c r="R73" i="21"/>
  <c r="R68" i="21"/>
  <c r="R72" i="21"/>
  <c r="D26" i="10"/>
  <c r="J133" i="18"/>
  <c r="J162" i="18"/>
  <c r="J190" i="18"/>
  <c r="J159" i="18"/>
  <c r="H205" i="18"/>
  <c r="G205" i="18"/>
  <c r="I205" i="18" s="1"/>
  <c r="G173" i="18"/>
  <c r="I173" i="18" s="1"/>
  <c r="H173" i="18"/>
  <c r="J119" i="18"/>
  <c r="G69" i="14"/>
  <c r="G68" i="14"/>
  <c r="G70" i="14" s="1"/>
  <c r="G67" i="14"/>
  <c r="J125" i="18"/>
  <c r="M11" i="24"/>
  <c r="M14" i="16"/>
  <c r="J14" i="16"/>
  <c r="Q14" i="16"/>
  <c r="L14" i="16"/>
  <c r="Q54" i="29"/>
  <c r="C70" i="30"/>
  <c r="E70" i="30" s="1"/>
  <c r="G70" i="30" s="1"/>
  <c r="Q53" i="29"/>
  <c r="C22" i="28"/>
  <c r="Q52" i="29"/>
  <c r="Q55" i="29"/>
  <c r="Q51" i="29"/>
  <c r="Q138" i="15"/>
  <c r="Q134" i="15"/>
  <c r="Q137" i="15"/>
  <c r="Q136" i="15"/>
  <c r="Q135" i="15"/>
  <c r="N10" i="24"/>
  <c r="N13" i="16"/>
  <c r="K13" i="16"/>
  <c r="R13" i="16"/>
  <c r="O13" i="16"/>
  <c r="J148" i="18"/>
  <c r="AB13" i="24"/>
  <c r="AC13" i="24"/>
  <c r="S13" i="24"/>
  <c r="T13" i="24"/>
  <c r="AH12" i="24"/>
  <c r="AI12" i="24"/>
  <c r="Q45" i="19"/>
  <c r="AL12" i="24"/>
  <c r="AK12" i="24"/>
  <c r="G76" i="14"/>
  <c r="C12" i="30"/>
  <c r="E12" i="30" s="1"/>
  <c r="G12" i="30" s="1"/>
  <c r="H9" i="12"/>
  <c r="Q216" i="9"/>
  <c r="Q218" i="9"/>
  <c r="L13" i="6"/>
  <c r="O8" i="6"/>
  <c r="F8" i="10"/>
  <c r="Q215" i="9"/>
  <c r="D23" i="8"/>
  <c r="H8" i="12"/>
  <c r="P8" i="6"/>
  <c r="B10" i="7"/>
  <c r="D26" i="8"/>
  <c r="L14" i="6"/>
  <c r="D41" i="14"/>
  <c r="Q202" i="29"/>
  <c r="Q192" i="29"/>
  <c r="Q97" i="29"/>
  <c r="Q93" i="29"/>
  <c r="Q83" i="29"/>
  <c r="Q73" i="29"/>
  <c r="Q204" i="29"/>
  <c r="Q190" i="29"/>
  <c r="Q203" i="29"/>
  <c r="Q193" i="29"/>
  <c r="Q189" i="29"/>
  <c r="Q94" i="29"/>
  <c r="Q85" i="29"/>
  <c r="Q84" i="29"/>
  <c r="Q205" i="29"/>
  <c r="Q82" i="29"/>
  <c r="Q81" i="29"/>
  <c r="Q201" i="29"/>
  <c r="Q96" i="29"/>
  <c r="Q191" i="29"/>
  <c r="Q95" i="29"/>
  <c r="Q181" i="29"/>
  <c r="Q178" i="15"/>
  <c r="Q168" i="15"/>
  <c r="Q164" i="15"/>
  <c r="Q93" i="15"/>
  <c r="Q83" i="15"/>
  <c r="Q79" i="15"/>
  <c r="H28" i="14"/>
  <c r="Q177" i="15"/>
  <c r="Q167" i="15"/>
  <c r="Q92" i="15"/>
  <c r="Q82" i="15"/>
  <c r="Q71" i="15"/>
  <c r="Q180" i="15"/>
  <c r="H30" i="14"/>
  <c r="Q179" i="15"/>
  <c r="Q166" i="15"/>
  <c r="Q95" i="15"/>
  <c r="Q165" i="15"/>
  <c r="Q94" i="15"/>
  <c r="Q81" i="15"/>
  <c r="G15" i="12"/>
  <c r="E23" i="14" s="1"/>
  <c r="Q176" i="15"/>
  <c r="Q80" i="15"/>
  <c r="H32" i="14"/>
  <c r="Q91" i="15"/>
  <c r="Q156" i="15"/>
  <c r="G9" i="12"/>
  <c r="E17" i="14" s="1"/>
  <c r="G11" i="12"/>
  <c r="E19" i="14" s="1"/>
  <c r="C15" i="10"/>
  <c r="Q7" i="11" s="1"/>
  <c r="D16" i="6"/>
  <c r="Q165" i="5"/>
  <c r="G13" i="12"/>
  <c r="E21" i="14" s="1"/>
  <c r="C28" i="10"/>
  <c r="Q181" i="5"/>
  <c r="Q173" i="5"/>
  <c r="Q103" i="5"/>
  <c r="D14" i="6"/>
  <c r="P198" i="5"/>
  <c r="Q102" i="5"/>
  <c r="Q97" i="5"/>
  <c r="Q92" i="5"/>
  <c r="Q196" i="5"/>
  <c r="Q106" i="5"/>
  <c r="Q101" i="5"/>
  <c r="Q96" i="5"/>
  <c r="F30" i="4"/>
  <c r="Q95" i="5"/>
  <c r="E30" i="4"/>
  <c r="I30" i="4" s="1"/>
  <c r="Q174" i="5"/>
  <c r="Q105" i="5"/>
  <c r="Q100" i="5"/>
  <c r="Q94" i="5"/>
  <c r="D30" i="4"/>
  <c r="Q99" i="5"/>
  <c r="Q104" i="5"/>
  <c r="Q98" i="5"/>
  <c r="Q93" i="5"/>
  <c r="J138" i="18"/>
  <c r="J207" i="18"/>
  <c r="G161" i="18"/>
  <c r="I161" i="18" s="1"/>
  <c r="H161" i="18"/>
  <c r="H191" i="18"/>
  <c r="G191" i="18"/>
  <c r="I191" i="18" s="1"/>
  <c r="J209" i="18"/>
  <c r="J185" i="18"/>
  <c r="H163" i="18"/>
  <c r="G163" i="18"/>
  <c r="I163" i="18" s="1"/>
  <c r="J120" i="18"/>
  <c r="G209" i="18"/>
  <c r="I209" i="18" s="1"/>
  <c r="H209" i="18"/>
  <c r="J174" i="18"/>
  <c r="J179" i="18"/>
  <c r="J123" i="18"/>
  <c r="H187" i="18"/>
  <c r="G187" i="18"/>
  <c r="I187" i="18" s="1"/>
  <c r="H154" i="18"/>
  <c r="G154" i="18"/>
  <c r="I154" i="18" s="1"/>
  <c r="J202" i="18"/>
  <c r="J169" i="18"/>
  <c r="H148" i="18"/>
  <c r="G148" i="18"/>
  <c r="I148" i="18" s="1"/>
  <c r="J164" i="18"/>
  <c r="J140" i="18"/>
  <c r="J181" i="18"/>
  <c r="J156" i="18"/>
  <c r="J197" i="18"/>
  <c r="G211" i="18"/>
  <c r="I211" i="18" s="1"/>
  <c r="H211" i="18"/>
  <c r="G122" i="18"/>
  <c r="I122" i="18" s="1"/>
  <c r="H122" i="18"/>
  <c r="J216" i="18"/>
  <c r="J124" i="18"/>
  <c r="D42" i="14"/>
  <c r="C9" i="20"/>
  <c r="P127" i="11"/>
  <c r="C51" i="30"/>
  <c r="E51" i="30" s="1"/>
  <c r="G51" i="30" s="1"/>
  <c r="Q111" i="29"/>
  <c r="Q105" i="29"/>
  <c r="Q40" i="29"/>
  <c r="Q110" i="29"/>
  <c r="P107" i="29"/>
  <c r="Q43" i="29"/>
  <c r="Q104" i="29"/>
  <c r="Q42" i="29"/>
  <c r="Q41" i="29"/>
  <c r="Q39" i="29"/>
  <c r="Q194" i="15"/>
  <c r="Q188" i="15"/>
  <c r="Q124" i="15"/>
  <c r="Q193" i="15"/>
  <c r="Q187" i="15"/>
  <c r="Q123" i="15"/>
  <c r="Q126" i="15"/>
  <c r="Q122" i="15"/>
  <c r="D38" i="14"/>
  <c r="D37" i="14"/>
  <c r="P190" i="15"/>
  <c r="Q125" i="15"/>
  <c r="T8" i="14"/>
  <c r="AL13" i="24"/>
  <c r="AK13" i="24"/>
  <c r="N9" i="6"/>
  <c r="E31" i="8" s="1"/>
  <c r="H31" i="8" s="1"/>
  <c r="AM12" i="24"/>
  <c r="AN12" i="24"/>
  <c r="Y12" i="24"/>
  <c r="X12" i="24"/>
  <c r="R122" i="21"/>
  <c r="R118" i="21"/>
  <c r="R114" i="21"/>
  <c r="R121" i="21"/>
  <c r="R117" i="21"/>
  <c r="R113" i="21"/>
  <c r="R116" i="21"/>
  <c r="R111" i="21"/>
  <c r="R120" i="21"/>
  <c r="R115" i="21"/>
  <c r="R119" i="21"/>
  <c r="R123" i="21"/>
  <c r="R125" i="21"/>
  <c r="R112" i="21"/>
  <c r="D29" i="10"/>
  <c r="AI11" i="24"/>
  <c r="AH11" i="24"/>
  <c r="R25" i="5"/>
  <c r="R18" i="5"/>
  <c r="B3" i="31"/>
  <c r="G193" i="30"/>
  <c r="B3" i="21"/>
  <c r="B3" i="25"/>
  <c r="B3" i="29"/>
  <c r="B3" i="27"/>
  <c r="B3" i="23"/>
  <c r="B3" i="19"/>
  <c r="B3" i="15"/>
  <c r="B3" i="17"/>
  <c r="B3" i="13"/>
  <c r="B3" i="7"/>
  <c r="B3" i="9"/>
  <c r="C9" i="1"/>
  <c r="B3" i="11"/>
  <c r="B3" i="3"/>
  <c r="B3" i="5"/>
  <c r="J183" i="18"/>
  <c r="J188" i="18"/>
  <c r="J155" i="18"/>
  <c r="J160" i="18"/>
  <c r="H139" i="18"/>
  <c r="G139" i="18"/>
  <c r="I139" i="18" s="1"/>
  <c r="J206" i="18"/>
  <c r="H168" i="18"/>
  <c r="G168" i="18"/>
  <c r="I168" i="18" s="1"/>
  <c r="H198" i="18"/>
  <c r="G198" i="18"/>
  <c r="I198" i="18" s="1"/>
  <c r="G157" i="18"/>
  <c r="I157" i="18" s="1"/>
  <c r="H157" i="18"/>
  <c r="H214" i="18"/>
  <c r="G214" i="18"/>
  <c r="I214" i="18" s="1"/>
  <c r="J184" i="18"/>
  <c r="J151" i="18"/>
  <c r="G197" i="18"/>
  <c r="I197" i="18" s="1"/>
  <c r="H197" i="18"/>
  <c r="J145" i="18"/>
  <c r="Q166" i="29"/>
  <c r="Q169" i="29"/>
  <c r="Q168" i="29"/>
  <c r="Q167" i="29"/>
  <c r="Q165" i="29"/>
  <c r="C31" i="28"/>
  <c r="C122" i="30"/>
  <c r="E122" i="30" s="1"/>
  <c r="G122" i="30" s="1"/>
  <c r="J134" i="18"/>
  <c r="Q175" i="29"/>
  <c r="Q171" i="29"/>
  <c r="C124" i="30"/>
  <c r="E124" i="30" s="1"/>
  <c r="G124" i="30" s="1"/>
  <c r="C32" i="28"/>
  <c r="Q174" i="29"/>
  <c r="Q172" i="29"/>
  <c r="Q173" i="29"/>
  <c r="G134" i="18"/>
  <c r="I134" i="18" s="1"/>
  <c r="H134" i="18"/>
  <c r="J150" i="18"/>
  <c r="G133" i="18"/>
  <c r="I133" i="18" s="1"/>
  <c r="H133" i="18"/>
  <c r="J166" i="18"/>
  <c r="H184" i="18"/>
  <c r="G184" i="18"/>
  <c r="I184" i="18" s="1"/>
  <c r="H119" i="18"/>
  <c r="G119" i="18"/>
  <c r="I119" i="18" s="1"/>
  <c r="H200" i="18"/>
  <c r="G200" i="18"/>
  <c r="I200" i="18" s="1"/>
  <c r="J121" i="18"/>
  <c r="C99" i="30"/>
  <c r="E99" i="30" s="1"/>
  <c r="G99" i="30" s="1"/>
  <c r="C27" i="28"/>
  <c r="Q59" i="15"/>
  <c r="Q55" i="15"/>
  <c r="Q58" i="15"/>
  <c r="Q57" i="15"/>
  <c r="Q56" i="15"/>
  <c r="Q12" i="10"/>
  <c r="Q13" i="10"/>
  <c r="Q14" i="10"/>
  <c r="Q149" i="21"/>
  <c r="Q41" i="21"/>
  <c r="Q90" i="21"/>
  <c r="Q122" i="21"/>
  <c r="Q106" i="21"/>
  <c r="Q42" i="21"/>
  <c r="Q74" i="21"/>
  <c r="Q58" i="21"/>
  <c r="P23" i="10"/>
  <c r="P22" i="10"/>
  <c r="P24" i="10"/>
  <c r="AC12" i="24"/>
  <c r="AB12" i="24"/>
  <c r="R120" i="11"/>
  <c r="R116" i="11"/>
  <c r="R112" i="11"/>
  <c r="R113" i="11"/>
  <c r="D16" i="10"/>
  <c r="Q16" i="10" s="1"/>
  <c r="R123" i="11"/>
  <c r="R118" i="11"/>
  <c r="R117" i="11"/>
  <c r="R122" i="11"/>
  <c r="R111" i="11"/>
  <c r="R121" i="11"/>
  <c r="R115" i="11"/>
  <c r="R125" i="11"/>
  <c r="R119" i="11"/>
  <c r="R114" i="11"/>
  <c r="R56" i="11"/>
  <c r="R52" i="11"/>
  <c r="R48" i="11"/>
  <c r="D12" i="10"/>
  <c r="R59" i="11"/>
  <c r="R54" i="11"/>
  <c r="R53" i="11"/>
  <c r="R58" i="11"/>
  <c r="R47" i="11"/>
  <c r="R57" i="11"/>
  <c r="R51" i="11"/>
  <c r="Q6" i="11"/>
  <c r="R49" i="11"/>
  <c r="R61" i="11"/>
  <c r="R55" i="11"/>
  <c r="R50" i="11"/>
  <c r="J130" i="18"/>
  <c r="AF11" i="24"/>
  <c r="AG11" i="24"/>
  <c r="R17" i="5"/>
  <c r="R29" i="5"/>
  <c r="Q162" i="5"/>
  <c r="G29" i="4"/>
  <c r="K29" i="4" s="1"/>
  <c r="J29" i="4"/>
  <c r="Q163" i="5"/>
  <c r="H27" i="14"/>
  <c r="H210" i="18"/>
  <c r="G210" i="18"/>
  <c r="I210" i="18" s="1"/>
  <c r="J196" i="18"/>
  <c r="J144" i="18"/>
  <c r="H206" i="18"/>
  <c r="G206" i="18"/>
  <c r="I206" i="18" s="1"/>
  <c r="J192" i="18"/>
  <c r="H186" i="18"/>
  <c r="G186" i="18"/>
  <c r="I186" i="18" s="1"/>
  <c r="H158" i="18"/>
  <c r="G158" i="18"/>
  <c r="I158" i="18" s="1"/>
  <c r="G216" i="18"/>
  <c r="I216" i="18" s="1"/>
  <c r="H216" i="18"/>
  <c r="H202" i="18"/>
  <c r="G202" i="18"/>
  <c r="I202" i="18" s="1"/>
  <c r="H153" i="18"/>
  <c r="G153" i="18"/>
  <c r="I153" i="18" s="1"/>
  <c r="H183" i="18"/>
  <c r="G183" i="18"/>
  <c r="I183" i="18" s="1"/>
  <c r="H150" i="18"/>
  <c r="G150" i="18"/>
  <c r="I150" i="18" s="1"/>
  <c r="H204" i="18"/>
  <c r="G204" i="18"/>
  <c r="I204" i="18" s="1"/>
  <c r="H180" i="18"/>
  <c r="G180" i="18"/>
  <c r="I180" i="18" s="1"/>
  <c r="J136" i="18"/>
  <c r="G201" i="18"/>
  <c r="I201" i="18" s="1"/>
  <c r="H201" i="18"/>
  <c r="J165" i="18"/>
  <c r="J195" i="18"/>
  <c r="H174" i="18"/>
  <c r="G174" i="18"/>
  <c r="I174" i="18" s="1"/>
  <c r="J154" i="18"/>
  <c r="J211" i="18"/>
  <c r="H179" i="18"/>
  <c r="G179" i="18"/>
  <c r="I179" i="18" s="1"/>
  <c r="H146" i="18"/>
  <c r="G146" i="18"/>
  <c r="I146" i="18" s="1"/>
  <c r="J194" i="18"/>
  <c r="H164" i="18"/>
  <c r="G164" i="18"/>
  <c r="I164" i="18" s="1"/>
  <c r="J137" i="18"/>
  <c r="H128" i="18"/>
  <c r="G128" i="18"/>
  <c r="I128" i="18" s="1"/>
  <c r="H137" i="18"/>
  <c r="G137" i="18"/>
  <c r="I137" i="18" s="1"/>
  <c r="J126" i="18"/>
  <c r="H143" i="18"/>
  <c r="G143" i="18"/>
  <c r="I143" i="18" s="1"/>
  <c r="F68" i="14"/>
  <c r="F67" i="14"/>
  <c r="F69" i="14"/>
  <c r="F70" i="14" s="1"/>
  <c r="G118" i="18"/>
  <c r="I118" i="18" s="1"/>
  <c r="H118" i="18"/>
  <c r="O19" i="20"/>
  <c r="P151" i="21"/>
  <c r="C95" i="30"/>
  <c r="E95" i="30" s="1"/>
  <c r="G95" i="30" s="1"/>
  <c r="C25" i="28"/>
  <c r="Q67" i="15"/>
  <c r="Q44" i="15"/>
  <c r="Q47" i="15"/>
  <c r="Q43" i="15"/>
  <c r="Q46" i="15"/>
  <c r="Q45" i="15"/>
  <c r="O15" i="12"/>
  <c r="L15" i="12"/>
  <c r="N15" i="12" s="1"/>
  <c r="K15" i="12"/>
  <c r="F22" i="12"/>
  <c r="G125" i="18"/>
  <c r="I125" i="18" s="1"/>
  <c r="C23" i="30"/>
  <c r="E23" i="30" s="1"/>
  <c r="G23" i="30" s="1"/>
  <c r="K14" i="12"/>
  <c r="F21" i="12"/>
  <c r="O14" i="12"/>
  <c r="L14" i="12"/>
  <c r="N14" i="12" s="1"/>
  <c r="Q9" i="19"/>
  <c r="Q17" i="19" s="1"/>
  <c r="Q42" i="19" s="1"/>
  <c r="AN11" i="24"/>
  <c r="AM11" i="24"/>
  <c r="R28" i="5"/>
  <c r="R8" i="5"/>
  <c r="R21" i="5"/>
  <c r="H29" i="14"/>
  <c r="J163" i="18"/>
  <c r="H182" i="18"/>
  <c r="G182" i="18"/>
  <c r="I182" i="18" s="1"/>
  <c r="J199" i="18"/>
  <c r="J215" i="18"/>
  <c r="H142" i="18"/>
  <c r="G142" i="18"/>
  <c r="I142" i="18" s="1"/>
  <c r="J177" i="18"/>
  <c r="J157" i="18"/>
  <c r="G217" i="18"/>
  <c r="I217" i="18" s="1"/>
  <c r="H217" i="18"/>
  <c r="J170" i="18"/>
  <c r="J176" i="18"/>
  <c r="J161" i="18"/>
  <c r="Q59" i="29"/>
  <c r="C72" i="30"/>
  <c r="E72" i="30" s="1"/>
  <c r="G72" i="30" s="1"/>
  <c r="Q61" i="29"/>
  <c r="Q60" i="29"/>
  <c r="C23" i="28"/>
  <c r="Q57" i="29"/>
  <c r="Q58" i="29"/>
  <c r="Q143" i="15"/>
  <c r="Q142" i="15"/>
  <c r="Q141" i="15"/>
  <c r="Q140" i="15"/>
  <c r="Q144" i="15"/>
  <c r="Q29" i="17"/>
  <c r="Q33" i="17"/>
  <c r="Q37" i="17" s="1"/>
  <c r="Q34" i="17"/>
  <c r="Q31" i="17"/>
  <c r="O9" i="20"/>
  <c r="P151" i="11"/>
  <c r="C18" i="30"/>
  <c r="E18" i="30" s="1"/>
  <c r="G18" i="30" s="1"/>
  <c r="Q101" i="23"/>
  <c r="Q103" i="23"/>
  <c r="Q100" i="23"/>
  <c r="H21" i="10"/>
  <c r="K21" i="10"/>
  <c r="H12" i="12"/>
  <c r="L21" i="10"/>
  <c r="Q103" i="9"/>
  <c r="J21" i="10"/>
  <c r="I21" i="10"/>
  <c r="Q101" i="9"/>
  <c r="D32" i="8"/>
  <c r="G21" i="10"/>
  <c r="Q100" i="9"/>
  <c r="H13" i="12"/>
  <c r="F21" i="10"/>
  <c r="L16" i="6"/>
  <c r="O21" i="10"/>
  <c r="M21" i="10"/>
  <c r="L15" i="6"/>
  <c r="D29" i="8"/>
  <c r="N21" i="10"/>
  <c r="O9" i="6"/>
  <c r="P9" i="6"/>
  <c r="R9" i="6" s="1"/>
  <c r="K34" i="8"/>
  <c r="C13" i="30"/>
  <c r="E13" i="30" s="1"/>
  <c r="G13" i="30" s="1"/>
  <c r="H11" i="12"/>
  <c r="Q226" i="9"/>
  <c r="Q225" i="9"/>
  <c r="D28" i="8"/>
  <c r="N8" i="6"/>
  <c r="G8" i="10" s="1"/>
  <c r="P8" i="10"/>
  <c r="M14" i="6"/>
  <c r="H10" i="12"/>
  <c r="Q228" i="9"/>
  <c r="D25" i="8"/>
  <c r="Q8" i="6"/>
  <c r="M13" i="6"/>
  <c r="AA11" i="24"/>
  <c r="Z11" i="24"/>
  <c r="S8" i="6"/>
  <c r="G187" i="30" s="1"/>
  <c r="Q130" i="5"/>
  <c r="Q127" i="5"/>
  <c r="Q119" i="5"/>
  <c r="Q111" i="5"/>
  <c r="Q132" i="5"/>
  <c r="Q124" i="5"/>
  <c r="Q129" i="5"/>
  <c r="Q121" i="5"/>
  <c r="Q113" i="5"/>
  <c r="Q123" i="5"/>
  <c r="Q116" i="5"/>
  <c r="Q109" i="5"/>
  <c r="Q160" i="5"/>
  <c r="Q112" i="5"/>
  <c r="Q131" i="5"/>
  <c r="Q126" i="5"/>
  <c r="Q115" i="5"/>
  <c r="Q108" i="5"/>
  <c r="Q122" i="5"/>
  <c r="Q118" i="5"/>
  <c r="H29" i="4"/>
  <c r="C33" i="4"/>
  <c r="G178" i="30" s="1"/>
  <c r="Q125" i="5"/>
  <c r="Q114" i="5"/>
  <c r="Q110" i="5"/>
  <c r="Q117" i="5"/>
  <c r="Q128" i="5"/>
  <c r="Q120" i="5"/>
  <c r="Q198" i="5"/>
  <c r="H188" i="18"/>
  <c r="G188" i="18"/>
  <c r="I188" i="18" s="1"/>
  <c r="G212" i="18"/>
  <c r="I212" i="18" s="1"/>
  <c r="H212" i="18"/>
  <c r="J213" i="18"/>
  <c r="H178" i="18"/>
  <c r="G178" i="18"/>
  <c r="I178" i="18" s="1"/>
  <c r="G145" i="18"/>
  <c r="I145" i="18" s="1"/>
  <c r="H145" i="18"/>
  <c r="J180" i="18"/>
  <c r="J201" i="18"/>
  <c r="H155" i="18"/>
  <c r="G155" i="18"/>
  <c r="I155" i="18" s="1"/>
  <c r="J198" i="18"/>
  <c r="J208" i="18"/>
  <c r="J143" i="18"/>
  <c r="G189" i="18"/>
  <c r="I189" i="18" s="1"/>
  <c r="H189" i="18"/>
  <c r="G124" i="18"/>
  <c r="I124" i="18" s="1"/>
  <c r="H124" i="18"/>
  <c r="Q177" i="29"/>
  <c r="Q156" i="29"/>
  <c r="C118" i="30"/>
  <c r="E118" i="30" s="1"/>
  <c r="G118" i="30" s="1"/>
  <c r="Q157" i="29"/>
  <c r="Q155" i="29"/>
  <c r="Q153" i="29"/>
  <c r="C29" i="28"/>
  <c r="Q154" i="29"/>
  <c r="G130" i="18"/>
  <c r="I130" i="18" s="1"/>
  <c r="H130" i="18"/>
  <c r="J173" i="18"/>
  <c r="J189" i="18"/>
  <c r="Q86" i="19"/>
  <c r="Q85" i="19"/>
  <c r="Q26" i="10"/>
  <c r="Q25" i="10"/>
  <c r="Q29" i="10"/>
  <c r="Q27" i="10"/>
  <c r="J118" i="18"/>
  <c r="J175" i="18"/>
  <c r="J142" i="18"/>
  <c r="G207" i="18"/>
  <c r="I207" i="18" s="1"/>
  <c r="H207" i="18"/>
  <c r="H175" i="18"/>
  <c r="G175" i="18"/>
  <c r="I175" i="18" s="1"/>
  <c r="J139" i="18"/>
  <c r="J152" i="18"/>
  <c r="H131" i="18"/>
  <c r="G131" i="18"/>
  <c r="I131" i="18" s="1"/>
  <c r="H171" i="18"/>
  <c r="G171" i="18"/>
  <c r="I171" i="18" s="1"/>
  <c r="G193" i="18"/>
  <c r="I193" i="18" s="1"/>
  <c r="H193" i="18"/>
  <c r="J149" i="18"/>
  <c r="J214" i="18"/>
  <c r="H190" i="18"/>
  <c r="G190" i="18"/>
  <c r="I190" i="18" s="1"/>
  <c r="J171" i="18"/>
  <c r="H149" i="18"/>
  <c r="G149" i="18"/>
  <c r="I149" i="18" s="1"/>
  <c r="G203" i="18"/>
  <c r="I203" i="18" s="1"/>
  <c r="H203" i="18"/>
  <c r="H170" i="18"/>
  <c r="G170" i="18"/>
  <c r="I170" i="18" s="1"/>
  <c r="H138" i="18"/>
  <c r="G138" i="18"/>
  <c r="I138" i="18" s="1"/>
  <c r="J127" i="18"/>
  <c r="J186" i="18"/>
  <c r="J129" i="18"/>
  <c r="G121" i="18"/>
  <c r="I121" i="18" s="1"/>
  <c r="H121" i="18"/>
  <c r="H127" i="18"/>
  <c r="G127" i="18"/>
  <c r="I127" i="18" s="1"/>
  <c r="J132" i="18"/>
  <c r="H136" i="18"/>
  <c r="G136" i="18"/>
  <c r="I136" i="18" s="1"/>
  <c r="C109" i="30"/>
  <c r="E109" i="30" s="1"/>
  <c r="G109" i="30" s="1"/>
  <c r="Q213" i="29"/>
  <c r="Q218" i="29"/>
  <c r="Q151" i="29"/>
  <c r="Q147" i="29"/>
  <c r="Q224" i="29"/>
  <c r="P215" i="29"/>
  <c r="Q150" i="29"/>
  <c r="Q219" i="29"/>
  <c r="Q149" i="29"/>
  <c r="Q148" i="29"/>
  <c r="Q212" i="29"/>
  <c r="Q225" i="29"/>
  <c r="G73" i="14"/>
  <c r="G72" i="14"/>
  <c r="G77" i="14" s="1"/>
  <c r="D46" i="14"/>
  <c r="D45" i="14"/>
  <c r="T10" i="14"/>
  <c r="G71" i="14"/>
  <c r="G75" i="14" s="1"/>
  <c r="J158" i="18"/>
  <c r="D40" i="14"/>
  <c r="G159" i="18"/>
  <c r="I159" i="18" s="1"/>
  <c r="T12" i="24"/>
  <c r="S12" i="24"/>
  <c r="C168" i="30"/>
  <c r="E168" i="30" s="1"/>
  <c r="G168" i="30" s="1"/>
  <c r="F16" i="6"/>
  <c r="U9" i="6"/>
  <c r="F15" i="6"/>
  <c r="C163" i="30"/>
  <c r="E163" i="30" s="1"/>
  <c r="G163" i="30" s="1"/>
  <c r="U8" i="6"/>
  <c r="F13" i="6"/>
  <c r="F14" i="6"/>
  <c r="H120" i="18"/>
  <c r="G120" i="18"/>
  <c r="I120" i="18" s="1"/>
  <c r="R20" i="5"/>
  <c r="D18" i="4"/>
  <c r="R12" i="5"/>
  <c r="E8" i="8" l="1"/>
  <c r="Q97" i="11"/>
  <c r="Q49" i="11"/>
  <c r="G10" i="10"/>
  <c r="Q131" i="11"/>
  <c r="Q113" i="11"/>
  <c r="Q65" i="11"/>
  <c r="Q81" i="11"/>
  <c r="G9" i="10"/>
  <c r="Q15" i="11"/>
  <c r="Q14" i="11"/>
  <c r="G11" i="10"/>
  <c r="C147" i="30"/>
  <c r="E147" i="30" s="1"/>
  <c r="G147" i="30" s="1"/>
  <c r="B37" i="28"/>
  <c r="G94" i="14"/>
  <c r="C149" i="30"/>
  <c r="E149" i="30" s="1"/>
  <c r="G149" i="30" s="1"/>
  <c r="D37" i="28"/>
  <c r="M239" i="30"/>
  <c r="O14" i="20"/>
  <c r="L10" i="12"/>
  <c r="O10" i="12"/>
  <c r="K10" i="12"/>
  <c r="N16" i="6"/>
  <c r="N15" i="6"/>
  <c r="C145" i="30"/>
  <c r="E145" i="30" s="1"/>
  <c r="G145" i="30" s="1"/>
  <c r="P221" i="29"/>
  <c r="M278" i="30"/>
  <c r="O22" i="20"/>
  <c r="T10" i="24"/>
  <c r="S10" i="24"/>
  <c r="F28" i="8"/>
  <c r="E28" i="8"/>
  <c r="H28" i="8" s="1"/>
  <c r="Q108" i="23"/>
  <c r="Q106" i="23"/>
  <c r="Q105" i="23"/>
  <c r="Q106" i="9"/>
  <c r="Q108" i="9"/>
  <c r="D33" i="8"/>
  <c r="Q105" i="9"/>
  <c r="D30" i="8"/>
  <c r="L13" i="12"/>
  <c r="N13" i="12" s="1"/>
  <c r="K13" i="12"/>
  <c r="O13" i="12"/>
  <c r="Q86" i="21"/>
  <c r="Q29" i="21"/>
  <c r="Q70" i="21"/>
  <c r="Q54" i="21"/>
  <c r="Q141" i="21"/>
  <c r="Q118" i="21"/>
  <c r="Q30" i="21"/>
  <c r="Q102" i="21"/>
  <c r="L24" i="10"/>
  <c r="L23" i="10"/>
  <c r="L22" i="10"/>
  <c r="M22" i="12"/>
  <c r="W15" i="12"/>
  <c r="M15" i="12"/>
  <c r="C131" i="30"/>
  <c r="E131" i="30" s="1"/>
  <c r="G131" i="30" s="1"/>
  <c r="I36" i="28"/>
  <c r="K8" i="12"/>
  <c r="F19" i="12"/>
  <c r="O8" i="12"/>
  <c r="L8" i="12"/>
  <c r="N8" i="12" s="1"/>
  <c r="K8" i="10"/>
  <c r="AN10" i="24"/>
  <c r="AM10" i="24"/>
  <c r="AB11" i="24"/>
  <c r="AC11" i="24"/>
  <c r="AG13" i="24"/>
  <c r="AF13" i="24"/>
  <c r="Q23" i="19"/>
  <c r="Q14" i="19"/>
  <c r="Q16" i="19"/>
  <c r="Q21" i="19"/>
  <c r="M304" i="30"/>
  <c r="O24" i="20"/>
  <c r="C17" i="30"/>
  <c r="E17" i="30" s="1"/>
  <c r="G17" i="30" s="1"/>
  <c r="R8" i="6"/>
  <c r="G14" i="6" s="1"/>
  <c r="Q35" i="21"/>
  <c r="Q72" i="21"/>
  <c r="Q36" i="21"/>
  <c r="Q104" i="21"/>
  <c r="Q120" i="21"/>
  <c r="Q88" i="21"/>
  <c r="Q145" i="21"/>
  <c r="Q56" i="21"/>
  <c r="N23" i="10"/>
  <c r="N22" i="10"/>
  <c r="N24" i="10"/>
  <c r="O12" i="12"/>
  <c r="L12" i="12"/>
  <c r="N12" i="12" s="1"/>
  <c r="K12" i="12"/>
  <c r="M200" i="30"/>
  <c r="O11" i="20"/>
  <c r="F23" i="8"/>
  <c r="E23" i="8"/>
  <c r="H23" i="8" s="1"/>
  <c r="AA10" i="24"/>
  <c r="Z10" i="24"/>
  <c r="AL11" i="24"/>
  <c r="AK11" i="24"/>
  <c r="E9" i="8"/>
  <c r="Q74" i="19"/>
  <c r="Q58" i="19"/>
  <c r="Q54" i="19"/>
  <c r="Q50" i="19"/>
  <c r="Q46" i="19"/>
  <c r="Q73" i="19"/>
  <c r="Q61" i="19"/>
  <c r="Q56" i="19"/>
  <c r="Q47" i="19"/>
  <c r="Q67" i="19"/>
  <c r="Q51" i="19"/>
  <c r="Q72" i="19"/>
  <c r="Q66" i="19"/>
  <c r="Q60" i="19"/>
  <c r="Q55" i="19"/>
  <c r="Q65" i="19"/>
  <c r="Q71" i="19"/>
  <c r="Q59" i="19"/>
  <c r="Q49" i="19"/>
  <c r="Q69" i="19"/>
  <c r="Q63" i="19"/>
  <c r="Q57" i="19"/>
  <c r="Q48" i="19"/>
  <c r="Q76" i="19"/>
  <c r="Q53" i="19"/>
  <c r="Q78" i="19" s="1"/>
  <c r="Q75" i="19"/>
  <c r="Q52" i="19"/>
  <c r="Q70" i="19"/>
  <c r="Q68" i="19"/>
  <c r="Q62" i="19"/>
  <c r="Q64" i="19"/>
  <c r="AH13" i="24"/>
  <c r="AI13" i="24"/>
  <c r="Q18" i="19"/>
  <c r="Q15" i="19"/>
  <c r="Q20" i="19"/>
  <c r="Q30" i="19"/>
  <c r="G15" i="6"/>
  <c r="M252" i="30"/>
  <c r="O20" i="20"/>
  <c r="E25" i="8"/>
  <c r="H25" i="8" s="1"/>
  <c r="F25" i="8"/>
  <c r="E29" i="8"/>
  <c r="H29" i="8" s="1"/>
  <c r="F29" i="8"/>
  <c r="Q49" i="21"/>
  <c r="Q81" i="21"/>
  <c r="Q65" i="21"/>
  <c r="Q97" i="21"/>
  <c r="Q15" i="21"/>
  <c r="Q131" i="21"/>
  <c r="Q14" i="21"/>
  <c r="Q113" i="21"/>
  <c r="G23" i="10"/>
  <c r="G22" i="10"/>
  <c r="G24" i="10"/>
  <c r="Q117" i="21"/>
  <c r="Q101" i="21"/>
  <c r="Q85" i="21"/>
  <c r="Q27" i="21"/>
  <c r="Q53" i="21"/>
  <c r="Q139" i="21"/>
  <c r="Q69" i="21"/>
  <c r="Q26" i="21"/>
  <c r="K22" i="10"/>
  <c r="K24" i="10"/>
  <c r="K23" i="10"/>
  <c r="R105" i="21"/>
  <c r="R101" i="21"/>
  <c r="R97" i="21"/>
  <c r="R104" i="21"/>
  <c r="R100" i="21"/>
  <c r="R96" i="21"/>
  <c r="R106" i="21"/>
  <c r="R95" i="21"/>
  <c r="R99" i="21"/>
  <c r="R109" i="21"/>
  <c r="R107" i="21"/>
  <c r="R103" i="21"/>
  <c r="R102" i="21"/>
  <c r="R98" i="21"/>
  <c r="D28" i="10"/>
  <c r="Q28" i="10" s="1"/>
  <c r="Q7" i="21"/>
  <c r="Q6" i="21"/>
  <c r="R11" i="24"/>
  <c r="Q11" i="24"/>
  <c r="L8" i="10"/>
  <c r="C148" i="30"/>
  <c r="E148" i="30" s="1"/>
  <c r="G148" i="30" s="1"/>
  <c r="P141" i="29"/>
  <c r="C37" i="28"/>
  <c r="AG10" i="24"/>
  <c r="AF10" i="24"/>
  <c r="X11" i="24"/>
  <c r="Y11" i="24"/>
  <c r="AE10" i="24"/>
  <c r="AD10" i="24"/>
  <c r="Z13" i="24"/>
  <c r="AA13" i="24"/>
  <c r="Q19" i="19"/>
  <c r="Q32" i="19"/>
  <c r="Q29" i="19"/>
  <c r="Q34" i="19"/>
  <c r="Q33" i="21"/>
  <c r="Q143" i="21"/>
  <c r="Q71" i="21"/>
  <c r="Q55" i="21"/>
  <c r="Q103" i="21"/>
  <c r="Q32" i="21"/>
  <c r="Q119" i="21"/>
  <c r="Q87" i="21"/>
  <c r="M24" i="10"/>
  <c r="M23" i="10"/>
  <c r="M22" i="10"/>
  <c r="G16" i="6"/>
  <c r="Q143" i="29"/>
  <c r="Q129" i="29"/>
  <c r="Q125" i="29"/>
  <c r="Q131" i="29"/>
  <c r="Q127" i="29"/>
  <c r="Q122" i="29"/>
  <c r="Q118" i="29"/>
  <c r="Q130" i="29"/>
  <c r="Q126" i="29"/>
  <c r="Q123" i="29"/>
  <c r="Q128" i="29"/>
  <c r="M265" i="30"/>
  <c r="O21" i="20"/>
  <c r="K11" i="12"/>
  <c r="L11" i="12"/>
  <c r="O11" i="12"/>
  <c r="R12" i="24"/>
  <c r="Q12" i="24"/>
  <c r="E32" i="8"/>
  <c r="H32" i="8" s="1"/>
  <c r="F32" i="8"/>
  <c r="Q133" i="21"/>
  <c r="Q82" i="21"/>
  <c r="Q66" i="21"/>
  <c r="Q50" i="21"/>
  <c r="Q114" i="21"/>
  <c r="Q98" i="21"/>
  <c r="Q17" i="21"/>
  <c r="Q18" i="21"/>
  <c r="H22" i="10"/>
  <c r="H24" i="10"/>
  <c r="H23" i="10"/>
  <c r="M14" i="12"/>
  <c r="M21" i="12"/>
  <c r="W14" i="12"/>
  <c r="P27" i="10"/>
  <c r="P29" i="10"/>
  <c r="P26" i="10"/>
  <c r="P25" i="10"/>
  <c r="M187" i="30"/>
  <c r="O10" i="20"/>
  <c r="F26" i="8"/>
  <c r="E26" i="8"/>
  <c r="H26" i="8" s="1"/>
  <c r="Q80" i="11"/>
  <c r="Q11" i="11"/>
  <c r="Q96" i="11"/>
  <c r="Q48" i="11"/>
  <c r="F10" i="10"/>
  <c r="Q112" i="11"/>
  <c r="Q129" i="11"/>
  <c r="Q64" i="11"/>
  <c r="F9" i="10"/>
  <c r="Q12" i="11"/>
  <c r="F11" i="10"/>
  <c r="AE11" i="24"/>
  <c r="AD11" i="24"/>
  <c r="AL10" i="24"/>
  <c r="AK10" i="24"/>
  <c r="Q21" i="15"/>
  <c r="Q17" i="15"/>
  <c r="Q12" i="15"/>
  <c r="Q8" i="15"/>
  <c r="Q20" i="15"/>
  <c r="Q16" i="15"/>
  <c r="Q19" i="15"/>
  <c r="Q18" i="15"/>
  <c r="Q33" i="15"/>
  <c r="Q15" i="15"/>
  <c r="Q13" i="15"/>
  <c r="Q22" i="19"/>
  <c r="Q27" i="19"/>
  <c r="Q33" i="19"/>
  <c r="Q26" i="19"/>
  <c r="P149" i="21"/>
  <c r="N19" i="20"/>
  <c r="H8" i="10"/>
  <c r="J8" i="10"/>
  <c r="Y10" i="24"/>
  <c r="X10" i="24"/>
  <c r="Q40" i="19"/>
  <c r="Q36" i="19"/>
  <c r="Q25" i="19"/>
  <c r="Q31" i="19"/>
  <c r="T11" i="24"/>
  <c r="S11" i="24"/>
  <c r="Q35" i="17"/>
  <c r="Q39" i="17"/>
  <c r="Q43" i="17" s="1"/>
  <c r="Q40" i="17"/>
  <c r="R151" i="11"/>
  <c r="R14" i="11"/>
  <c r="R8" i="11"/>
  <c r="R26" i="11"/>
  <c r="R11" i="11"/>
  <c r="R41" i="11"/>
  <c r="R17" i="11"/>
  <c r="R32" i="11"/>
  <c r="R23" i="11"/>
  <c r="R153" i="11"/>
  <c r="R38" i="11"/>
  <c r="R127" i="11"/>
  <c r="R29" i="11"/>
  <c r="R35" i="11"/>
  <c r="R20" i="11"/>
  <c r="R44" i="11"/>
  <c r="Q166" i="5"/>
  <c r="G30" i="4"/>
  <c r="K30" i="4" s="1"/>
  <c r="Q167" i="5"/>
  <c r="J30" i="4"/>
  <c r="C16" i="30"/>
  <c r="E16" i="30" s="1"/>
  <c r="G16" i="30" s="1"/>
  <c r="G28" i="8"/>
  <c r="G23" i="8"/>
  <c r="Q220" i="9"/>
  <c r="D24" i="8"/>
  <c r="Q223" i="9"/>
  <c r="D27" i="8"/>
  <c r="Q221" i="9"/>
  <c r="B67" i="5"/>
  <c r="Q65" i="5"/>
  <c r="F20" i="12"/>
  <c r="O9" i="12"/>
  <c r="K9" i="12"/>
  <c r="L9" i="12"/>
  <c r="N9" i="12" s="1"/>
  <c r="E13" i="10"/>
  <c r="E12" i="10"/>
  <c r="E16" i="10"/>
  <c r="E14" i="10"/>
  <c r="AC10" i="24"/>
  <c r="AB10" i="24"/>
  <c r="Q10" i="19"/>
  <c r="Q24" i="19"/>
  <c r="Q38" i="19"/>
  <c r="Q35" i="19"/>
  <c r="Q39" i="21"/>
  <c r="Q121" i="21"/>
  <c r="Q105" i="21"/>
  <c r="Q89" i="21"/>
  <c r="Q57" i="21"/>
  <c r="Q38" i="21"/>
  <c r="Q73" i="21"/>
  <c r="Q147" i="21"/>
  <c r="O24" i="10"/>
  <c r="O23" i="10"/>
  <c r="O22" i="10"/>
  <c r="G13" i="6"/>
  <c r="P11" i="10"/>
  <c r="Q122" i="11"/>
  <c r="Q58" i="11"/>
  <c r="P10" i="10"/>
  <c r="Q149" i="11"/>
  <c r="Q42" i="11"/>
  <c r="Q106" i="11"/>
  <c r="Q90" i="11"/>
  <c r="Q41" i="11"/>
  <c r="P9" i="10"/>
  <c r="Q74" i="11"/>
  <c r="R13" i="24"/>
  <c r="Q13" i="24"/>
  <c r="Q137" i="21"/>
  <c r="Q100" i="21"/>
  <c r="Q116" i="21"/>
  <c r="Q52" i="21"/>
  <c r="Q84" i="21"/>
  <c r="Q24" i="21"/>
  <c r="Q68" i="21"/>
  <c r="Q23" i="21"/>
  <c r="J24" i="10"/>
  <c r="J22" i="10"/>
  <c r="J23" i="10"/>
  <c r="R135" i="11"/>
  <c r="R149" i="11"/>
  <c r="R133" i="11"/>
  <c r="R137" i="11"/>
  <c r="R45" i="11"/>
  <c r="R39" i="11"/>
  <c r="R33" i="11"/>
  <c r="R27" i="11"/>
  <c r="R21" i="11"/>
  <c r="R15" i="11"/>
  <c r="R131" i="11"/>
  <c r="R147" i="11"/>
  <c r="R139" i="11"/>
  <c r="R24" i="11"/>
  <c r="R9" i="11"/>
  <c r="R129" i="11"/>
  <c r="R154" i="11"/>
  <c r="R145" i="11"/>
  <c r="R30" i="11"/>
  <c r="R143" i="11"/>
  <c r="R36" i="11"/>
  <c r="R141" i="11"/>
  <c r="R42" i="11"/>
  <c r="R18" i="11"/>
  <c r="R12" i="11"/>
  <c r="Q155" i="5"/>
  <c r="Q147" i="5"/>
  <c r="Q139" i="5"/>
  <c r="Q152" i="5"/>
  <c r="Q144" i="5"/>
  <c r="Q136" i="5"/>
  <c r="Q157" i="5"/>
  <c r="Q149" i="5"/>
  <c r="Q141" i="5"/>
  <c r="Q154" i="5"/>
  <c r="Q146" i="5"/>
  <c r="Q138" i="5"/>
  <c r="Q150" i="5"/>
  <c r="Q134" i="5"/>
  <c r="Q143" i="5"/>
  <c r="Q148" i="5"/>
  <c r="Q140" i="5"/>
  <c r="Q153" i="5"/>
  <c r="Q137" i="5"/>
  <c r="H30" i="4"/>
  <c r="Q158" i="5"/>
  <c r="Q142" i="5"/>
  <c r="Q164" i="5"/>
  <c r="Q151" i="5"/>
  <c r="Q135" i="5"/>
  <c r="Q156" i="5"/>
  <c r="Q145" i="5"/>
  <c r="R107" i="11"/>
  <c r="R103" i="11"/>
  <c r="R99" i="11"/>
  <c r="R95" i="11"/>
  <c r="R109" i="11"/>
  <c r="R96" i="11"/>
  <c r="R106" i="11"/>
  <c r="R101" i="11"/>
  <c r="R100" i="11"/>
  <c r="R105" i="11"/>
  <c r="D15" i="10"/>
  <c r="Q15" i="10" s="1"/>
  <c r="R104" i="11"/>
  <c r="R98" i="11"/>
  <c r="R102" i="11"/>
  <c r="R97" i="11"/>
  <c r="N8" i="10"/>
  <c r="Q10" i="24"/>
  <c r="R10" i="24"/>
  <c r="Q33" i="5"/>
  <c r="Q32" i="5"/>
  <c r="E27" i="10"/>
  <c r="E25" i="10"/>
  <c r="E29" i="10"/>
  <c r="E26" i="10"/>
  <c r="C130" i="30"/>
  <c r="E130" i="30" s="1"/>
  <c r="G130" i="30" s="1"/>
  <c r="P111" i="15"/>
  <c r="Q26" i="15"/>
  <c r="Q29" i="15"/>
  <c r="Q25" i="15"/>
  <c r="Q11" i="15"/>
  <c r="Q28" i="15"/>
  <c r="Q10" i="15"/>
  <c r="Q27" i="15"/>
  <c r="Q9" i="15"/>
  <c r="Q35" i="15"/>
  <c r="Q24" i="15"/>
  <c r="Q23" i="15"/>
  <c r="Q11" i="19"/>
  <c r="Q37" i="19"/>
  <c r="Q13" i="19"/>
  <c r="Q39" i="19"/>
  <c r="Q135" i="21"/>
  <c r="Q20" i="21"/>
  <c r="Q99" i="21"/>
  <c r="Q67" i="21"/>
  <c r="Q21" i="21"/>
  <c r="Q83" i="21"/>
  <c r="Q51" i="21"/>
  <c r="Q115" i="21"/>
  <c r="I24" i="10"/>
  <c r="I23" i="10"/>
  <c r="I22" i="10"/>
  <c r="Q138" i="29"/>
  <c r="Q134" i="29"/>
  <c r="Q120" i="29"/>
  <c r="Q136" i="29"/>
  <c r="Q139" i="29"/>
  <c r="Q135" i="29"/>
  <c r="Q121" i="29"/>
  <c r="Q133" i="29"/>
  <c r="Q145" i="29"/>
  <c r="Q137" i="29"/>
  <c r="Q119" i="29"/>
  <c r="L29" i="4"/>
  <c r="C17" i="10"/>
  <c r="B9" i="20" s="1"/>
  <c r="D8" i="8"/>
  <c r="G8" i="8"/>
  <c r="C22" i="30"/>
  <c r="E22" i="30" s="1"/>
  <c r="G22" i="30" s="1"/>
  <c r="G29" i="8"/>
  <c r="G32" i="8"/>
  <c r="G31" i="8"/>
  <c r="Q112" i="21"/>
  <c r="Q129" i="21"/>
  <c r="Q12" i="21"/>
  <c r="Q48" i="21"/>
  <c r="Q11" i="21"/>
  <c r="Q96" i="21"/>
  <c r="Q64" i="21"/>
  <c r="Q80" i="21"/>
  <c r="F23" i="10"/>
  <c r="F22" i="10"/>
  <c r="F24" i="10"/>
  <c r="M213" i="30"/>
  <c r="O12" i="20"/>
  <c r="C30" i="10"/>
  <c r="B19" i="20" s="1"/>
  <c r="D9" i="8"/>
  <c r="F9" i="8"/>
  <c r="G9" i="8"/>
  <c r="M8" i="10"/>
  <c r="I8" i="10"/>
  <c r="O8" i="10"/>
  <c r="AI10" i="24"/>
  <c r="AH10" i="24"/>
  <c r="C146" i="30"/>
  <c r="E146" i="30" s="1"/>
  <c r="G146" i="30" s="1"/>
  <c r="I37" i="28"/>
  <c r="F76" i="14"/>
  <c r="F75" i="14"/>
  <c r="F77" i="14"/>
  <c r="K31" i="8"/>
  <c r="AN13" i="24"/>
  <c r="AM13" i="24"/>
  <c r="F8" i="8"/>
  <c r="Q28" i="19"/>
  <c r="Q12" i="19"/>
  <c r="E34" i="8"/>
  <c r="H34" i="8" s="1"/>
  <c r="E28" i="10" l="1"/>
  <c r="G25" i="8"/>
  <c r="L30" i="4"/>
  <c r="C16" i="8" s="1"/>
  <c r="G26" i="8"/>
  <c r="P28" i="10"/>
  <c r="G34" i="8"/>
  <c r="O29" i="10"/>
  <c r="O26" i="10"/>
  <c r="O28" i="10"/>
  <c r="O25" i="10"/>
  <c r="O27" i="10"/>
  <c r="M201" i="30"/>
  <c r="C12" i="20"/>
  <c r="Q88" i="11"/>
  <c r="Q35" i="11"/>
  <c r="N11" i="10"/>
  <c r="N10" i="10"/>
  <c r="Q145" i="11"/>
  <c r="Q104" i="11"/>
  <c r="Q56" i="11"/>
  <c r="N9" i="10"/>
  <c r="Q72" i="11"/>
  <c r="Q36" i="11"/>
  <c r="Q120" i="11"/>
  <c r="R14" i="6"/>
  <c r="W11" i="24" s="1"/>
  <c r="M227" i="30"/>
  <c r="C14" i="20"/>
  <c r="F28" i="10"/>
  <c r="F26" i="10"/>
  <c r="F25" i="10"/>
  <c r="F29" i="10"/>
  <c r="F27" i="10"/>
  <c r="R60" i="5"/>
  <c r="R38" i="5"/>
  <c r="R41" i="5"/>
  <c r="R35" i="5"/>
  <c r="Q20" i="11"/>
  <c r="Q67" i="11"/>
  <c r="I9" i="10"/>
  <c r="Q99" i="11"/>
  <c r="Q135" i="11"/>
  <c r="Q51" i="11"/>
  <c r="Q21" i="11"/>
  <c r="I11" i="10"/>
  <c r="I10" i="10"/>
  <c r="Q115" i="11"/>
  <c r="Q83" i="11"/>
  <c r="I28" i="10"/>
  <c r="I25" i="10"/>
  <c r="I27" i="10"/>
  <c r="I29" i="10"/>
  <c r="I26" i="10"/>
  <c r="C132" i="30"/>
  <c r="E132" i="30" s="1"/>
  <c r="G132" i="30" s="1"/>
  <c r="B36" i="28"/>
  <c r="F94" i="14"/>
  <c r="Q32" i="11"/>
  <c r="M10" i="10"/>
  <c r="Q143" i="11"/>
  <c r="Q71" i="11"/>
  <c r="M9" i="10"/>
  <c r="Q119" i="11"/>
  <c r="Q33" i="11"/>
  <c r="M11" i="10"/>
  <c r="Q87" i="11"/>
  <c r="Q55" i="11"/>
  <c r="Q103" i="11"/>
  <c r="C15" i="8"/>
  <c r="C13" i="8"/>
  <c r="M279" i="30"/>
  <c r="C23" i="20"/>
  <c r="P129" i="21"/>
  <c r="D19" i="20"/>
  <c r="C133" i="30"/>
  <c r="E133" i="30" s="1"/>
  <c r="G133" i="30" s="1"/>
  <c r="C36" i="28"/>
  <c r="P31" i="15"/>
  <c r="M253" i="30"/>
  <c r="C21" i="20"/>
  <c r="M240" i="30"/>
  <c r="C20" i="20"/>
  <c r="N9" i="20"/>
  <c r="P149" i="11"/>
  <c r="M188" i="30"/>
  <c r="C11" i="20"/>
  <c r="M264" i="30"/>
  <c r="N21" i="20"/>
  <c r="P133" i="21"/>
  <c r="F19" i="20"/>
  <c r="R127" i="21"/>
  <c r="R29" i="21"/>
  <c r="R23" i="21"/>
  <c r="R17" i="21"/>
  <c r="R11" i="21"/>
  <c r="R153" i="21"/>
  <c r="R44" i="21"/>
  <c r="R20" i="21"/>
  <c r="R35" i="21"/>
  <c r="R26" i="21"/>
  <c r="R8" i="21"/>
  <c r="R32" i="21"/>
  <c r="R14" i="21"/>
  <c r="R151" i="21"/>
  <c r="R41" i="21"/>
  <c r="R38" i="21"/>
  <c r="N28" i="10"/>
  <c r="N26" i="10"/>
  <c r="N27" i="10"/>
  <c r="N29" i="10"/>
  <c r="N25" i="10"/>
  <c r="E9" i="20"/>
  <c r="P131" i="11"/>
  <c r="G19" i="20"/>
  <c r="P135" i="21"/>
  <c r="M266" i="30"/>
  <c r="C22" i="20"/>
  <c r="P15" i="10"/>
  <c r="P13" i="10"/>
  <c r="P12" i="10"/>
  <c r="P16" i="10"/>
  <c r="P14" i="10"/>
  <c r="E15" i="10"/>
  <c r="D9" i="20"/>
  <c r="P129" i="11"/>
  <c r="M303" i="30"/>
  <c r="N24" i="20"/>
  <c r="K32" i="8"/>
  <c r="M27" i="10"/>
  <c r="M25" i="10"/>
  <c r="M29" i="10"/>
  <c r="M26" i="10"/>
  <c r="M28" i="10"/>
  <c r="R154" i="21"/>
  <c r="R143" i="21"/>
  <c r="R147" i="21"/>
  <c r="R131" i="21"/>
  <c r="R27" i="21"/>
  <c r="R21" i="21"/>
  <c r="R15" i="21"/>
  <c r="R9" i="21"/>
  <c r="R129" i="21"/>
  <c r="R36" i="21"/>
  <c r="R135" i="21"/>
  <c r="R12" i="21"/>
  <c r="R149" i="21"/>
  <c r="R141" i="21"/>
  <c r="R42" i="21"/>
  <c r="R33" i="21"/>
  <c r="R18" i="21"/>
  <c r="R139" i="21"/>
  <c r="R39" i="21"/>
  <c r="R24" i="21"/>
  <c r="R137" i="21"/>
  <c r="R30" i="21"/>
  <c r="R133" i="21"/>
  <c r="R145" i="21"/>
  <c r="R45" i="21"/>
  <c r="K25" i="8"/>
  <c r="P145" i="21"/>
  <c r="L19" i="20"/>
  <c r="E27" i="12"/>
  <c r="M13" i="12"/>
  <c r="W13" i="12"/>
  <c r="H9" i="8"/>
  <c r="H8" i="8"/>
  <c r="R59" i="5"/>
  <c r="R43" i="5"/>
  <c r="R37" i="5"/>
  <c r="R47" i="5"/>
  <c r="R45" i="5"/>
  <c r="R40" i="5"/>
  <c r="R34" i="5"/>
  <c r="R13" i="6"/>
  <c r="W10" i="24" s="1"/>
  <c r="F27" i="8"/>
  <c r="E27" i="8"/>
  <c r="M277" i="30"/>
  <c r="N22" i="20"/>
  <c r="M291" i="30"/>
  <c r="O23" i="20"/>
  <c r="K26" i="10"/>
  <c r="K25" i="10"/>
  <c r="K27" i="10"/>
  <c r="K29" i="10"/>
  <c r="K28" i="10"/>
  <c r="K23" i="8"/>
  <c r="Q26" i="11"/>
  <c r="Q139" i="11"/>
  <c r="Q101" i="11"/>
  <c r="K11" i="10"/>
  <c r="Q53" i="11"/>
  <c r="Q117" i="11"/>
  <c r="Q85" i="11"/>
  <c r="Q69" i="11"/>
  <c r="K10" i="10"/>
  <c r="Q27" i="11"/>
  <c r="K9" i="10"/>
  <c r="M226" i="30"/>
  <c r="O13" i="20"/>
  <c r="P137" i="21"/>
  <c r="H19" i="20"/>
  <c r="M19" i="20"/>
  <c r="P147" i="21"/>
  <c r="Q41" i="17"/>
  <c r="Q45" i="17"/>
  <c r="Q49" i="17" s="1"/>
  <c r="Q46" i="17"/>
  <c r="K26" i="8"/>
  <c r="P139" i="21"/>
  <c r="I19" i="20"/>
  <c r="N14" i="6"/>
  <c r="N13" i="6"/>
  <c r="F30" i="8"/>
  <c r="E30" i="8"/>
  <c r="O12" i="24"/>
  <c r="O15" i="6"/>
  <c r="H12" i="24" s="1"/>
  <c r="J25" i="10"/>
  <c r="J29" i="10"/>
  <c r="J28" i="10"/>
  <c r="J27" i="10"/>
  <c r="J26" i="10"/>
  <c r="M9" i="12"/>
  <c r="W9" i="12"/>
  <c r="M20" i="12"/>
  <c r="F24" i="8"/>
  <c r="E24" i="8"/>
  <c r="G29" i="10"/>
  <c r="G26" i="10"/>
  <c r="G28" i="10"/>
  <c r="G25" i="10"/>
  <c r="G27" i="10"/>
  <c r="K28" i="8"/>
  <c r="O13" i="24"/>
  <c r="O16" i="6"/>
  <c r="H13" i="24" s="1"/>
  <c r="Q141" i="11"/>
  <c r="Q118" i="11"/>
  <c r="Q54" i="11"/>
  <c r="Q102" i="11"/>
  <c r="Q86" i="11"/>
  <c r="Q70" i="11"/>
  <c r="L11" i="10"/>
  <c r="Q30" i="11"/>
  <c r="L10" i="10"/>
  <c r="Q29" i="11"/>
  <c r="L9" i="10"/>
  <c r="E19" i="20"/>
  <c r="P131" i="21"/>
  <c r="R15" i="6"/>
  <c r="W12" i="24" s="1"/>
  <c r="W12" i="12"/>
  <c r="M12" i="12"/>
  <c r="E26" i="12"/>
  <c r="P141" i="21"/>
  <c r="J19" i="20"/>
  <c r="E33" i="8"/>
  <c r="F33" i="8"/>
  <c r="W10" i="12"/>
  <c r="M10" i="12"/>
  <c r="G14" i="10"/>
  <c r="G13" i="10"/>
  <c r="G15" i="10"/>
  <c r="G12" i="10"/>
  <c r="G16" i="10"/>
  <c r="J9" i="10"/>
  <c r="Q84" i="11"/>
  <c r="Q24" i="11"/>
  <c r="Q137" i="11"/>
  <c r="Q100" i="11"/>
  <c r="Q52" i="11"/>
  <c r="Q116" i="11"/>
  <c r="Q23" i="11"/>
  <c r="J11" i="10"/>
  <c r="Q68" i="11"/>
  <c r="J10" i="10"/>
  <c r="M251" i="30"/>
  <c r="N20" i="20"/>
  <c r="N11" i="12"/>
  <c r="D27" i="12"/>
  <c r="R16" i="6"/>
  <c r="W13" i="24" s="1"/>
  <c r="C134" i="30"/>
  <c r="E134" i="30" s="1"/>
  <c r="G134" i="30" s="1"/>
  <c r="D36" i="28"/>
  <c r="Q38" i="11"/>
  <c r="Q105" i="11"/>
  <c r="O11" i="10"/>
  <c r="Q147" i="11"/>
  <c r="O10" i="10"/>
  <c r="Q39" i="11"/>
  <c r="Q89" i="11"/>
  <c r="Q57" i="11"/>
  <c r="O9" i="10"/>
  <c r="Q121" i="11"/>
  <c r="Q73" i="11"/>
  <c r="M292" i="30"/>
  <c r="C24" i="20"/>
  <c r="M175" i="30"/>
  <c r="C10" i="20"/>
  <c r="R177" i="5"/>
  <c r="R171" i="5"/>
  <c r="R187" i="5"/>
  <c r="R72" i="5"/>
  <c r="R68" i="5"/>
  <c r="R191" i="5"/>
  <c r="P187" i="5"/>
  <c r="R71" i="5"/>
  <c r="R67" i="5"/>
  <c r="R69" i="5"/>
  <c r="R185" i="5"/>
  <c r="R66" i="5"/>
  <c r="R206" i="5"/>
  <c r="R70" i="5"/>
  <c r="R174" i="5"/>
  <c r="R183" i="5"/>
  <c r="R189" i="5"/>
  <c r="H11" i="10"/>
  <c r="Q114" i="11"/>
  <c r="Q50" i="11"/>
  <c r="H10" i="10"/>
  <c r="Q82" i="11"/>
  <c r="Q66" i="11"/>
  <c r="Q18" i="11"/>
  <c r="H9" i="10"/>
  <c r="Q17" i="11"/>
  <c r="Q133" i="11"/>
  <c r="Q98" i="11"/>
  <c r="F16" i="10"/>
  <c r="F13" i="10"/>
  <c r="F15" i="10"/>
  <c r="F12" i="10"/>
  <c r="F14" i="10"/>
  <c r="M290" i="30"/>
  <c r="N23" i="20"/>
  <c r="H27" i="10"/>
  <c r="H28" i="10"/>
  <c r="H25" i="10"/>
  <c r="H26" i="10"/>
  <c r="H29" i="10"/>
  <c r="W11" i="12"/>
  <c r="M11" i="12"/>
  <c r="P143" i="21"/>
  <c r="K19" i="20"/>
  <c r="K29" i="8"/>
  <c r="M8" i="12"/>
  <c r="W8" i="12"/>
  <c r="M19" i="12"/>
  <c r="L27" i="10"/>
  <c r="L29" i="10"/>
  <c r="L26" i="10"/>
  <c r="L25" i="10"/>
  <c r="L28" i="10"/>
  <c r="N10" i="12"/>
  <c r="D26" i="12"/>
  <c r="L27" i="12" l="1"/>
  <c r="C14" i="8"/>
  <c r="M202" i="30"/>
  <c r="D12" i="20"/>
  <c r="M295" i="30"/>
  <c r="F24" i="20"/>
  <c r="M260" i="30"/>
  <c r="J21" i="20"/>
  <c r="M269" i="30"/>
  <c r="F22" i="20"/>
  <c r="M216" i="30"/>
  <c r="E13" i="20"/>
  <c r="J9" i="20"/>
  <c r="P141" i="11"/>
  <c r="M242" i="30"/>
  <c r="E20" i="20"/>
  <c r="H30" i="8"/>
  <c r="G30" i="8"/>
  <c r="M298" i="30"/>
  <c r="I24" i="20"/>
  <c r="H27" i="8"/>
  <c r="G27" i="8"/>
  <c r="M248" i="30"/>
  <c r="K20" i="20"/>
  <c r="M214" i="30"/>
  <c r="C13" i="20"/>
  <c r="M288" i="30"/>
  <c r="L23" i="20"/>
  <c r="M296" i="30"/>
  <c r="G24" i="20"/>
  <c r="M280" i="30"/>
  <c r="D23" i="20"/>
  <c r="M250" i="30"/>
  <c r="M20" i="20"/>
  <c r="M299" i="30"/>
  <c r="J24" i="20"/>
  <c r="M190" i="30"/>
  <c r="E11" i="20"/>
  <c r="Q30" i="29"/>
  <c r="Q18" i="29"/>
  <c r="Q11" i="29"/>
  <c r="Q30" i="13"/>
  <c r="Q18" i="13"/>
  <c r="Q11" i="13"/>
  <c r="M281" i="30"/>
  <c r="E23" i="20"/>
  <c r="M258" i="30"/>
  <c r="H21" i="20"/>
  <c r="K30" i="8"/>
  <c r="K12" i="10"/>
  <c r="K14" i="10"/>
  <c r="K16" i="10"/>
  <c r="K13" i="10"/>
  <c r="K15" i="10"/>
  <c r="M272" i="30"/>
  <c r="I22" i="20"/>
  <c r="K27" i="8"/>
  <c r="M274" i="30"/>
  <c r="K22" i="20"/>
  <c r="M212" i="30"/>
  <c r="N12" i="20"/>
  <c r="M270" i="30"/>
  <c r="G22" i="20"/>
  <c r="L9" i="20"/>
  <c r="P145" i="11"/>
  <c r="M289" i="30"/>
  <c r="M23" i="20"/>
  <c r="M273" i="30"/>
  <c r="J22" i="20"/>
  <c r="M203" i="30"/>
  <c r="E12" i="20"/>
  <c r="M255" i="30"/>
  <c r="E21" i="20"/>
  <c r="M271" i="30"/>
  <c r="H22" i="20"/>
  <c r="O10" i="24"/>
  <c r="O13" i="6"/>
  <c r="H10" i="24" s="1"/>
  <c r="Q47" i="17"/>
  <c r="Q52" i="17"/>
  <c r="I9" i="20"/>
  <c r="P139" i="11"/>
  <c r="M246" i="30"/>
  <c r="I20" i="20"/>
  <c r="M238" i="30"/>
  <c r="N14" i="20"/>
  <c r="M15" i="10"/>
  <c r="M13" i="10"/>
  <c r="M14" i="10"/>
  <c r="M16" i="10"/>
  <c r="M12" i="10"/>
  <c r="M244" i="30"/>
  <c r="G20" i="20"/>
  <c r="M263" i="30"/>
  <c r="M21" i="20"/>
  <c r="F9" i="20"/>
  <c r="P133" i="11"/>
  <c r="M294" i="30"/>
  <c r="E24" i="20"/>
  <c r="M284" i="30"/>
  <c r="H23" i="20"/>
  <c r="O11" i="24"/>
  <c r="O14" i="6"/>
  <c r="H11" i="24" s="1"/>
  <c r="M259" i="30"/>
  <c r="I21" i="20"/>
  <c r="S13" i="6"/>
  <c r="M186" i="30"/>
  <c r="N10" i="20"/>
  <c r="M283" i="30"/>
  <c r="G23" i="20"/>
  <c r="M302" i="30"/>
  <c r="M24" i="20"/>
  <c r="H9" i="20"/>
  <c r="P137" i="11"/>
  <c r="L14" i="10"/>
  <c r="L12" i="10"/>
  <c r="L16" i="10"/>
  <c r="L13" i="10"/>
  <c r="L15" i="10"/>
  <c r="H24" i="8"/>
  <c r="G24" i="8"/>
  <c r="M297" i="30"/>
  <c r="H24" i="20"/>
  <c r="M199" i="30"/>
  <c r="N11" i="20"/>
  <c r="M249" i="30"/>
  <c r="L20" i="20"/>
  <c r="G9" i="20"/>
  <c r="P135" i="11"/>
  <c r="M267" i="30"/>
  <c r="D22" i="20"/>
  <c r="K33" i="8"/>
  <c r="S15" i="6"/>
  <c r="K24" i="8"/>
  <c r="M245" i="30"/>
  <c r="H20" i="20"/>
  <c r="M287" i="30"/>
  <c r="K23" i="20"/>
  <c r="M225" i="30"/>
  <c r="N13" i="20"/>
  <c r="M301" i="30"/>
  <c r="L24" i="20"/>
  <c r="K9" i="20"/>
  <c r="P143" i="11"/>
  <c r="M293" i="30"/>
  <c r="D24" i="20"/>
  <c r="S14" i="6"/>
  <c r="E14" i="8"/>
  <c r="J13" i="10"/>
  <c r="J12" i="10"/>
  <c r="J14" i="10"/>
  <c r="J16" i="10"/>
  <c r="J15" i="10"/>
  <c r="M256" i="30"/>
  <c r="F21" i="20"/>
  <c r="O14" i="10"/>
  <c r="O16" i="10"/>
  <c r="O13" i="10"/>
  <c r="O15" i="10"/>
  <c r="O12" i="10"/>
  <c r="M229" i="30"/>
  <c r="E14" i="20"/>
  <c r="H33" i="8"/>
  <c r="G33" i="8"/>
  <c r="M261" i="30"/>
  <c r="K21" i="20"/>
  <c r="M275" i="30"/>
  <c r="L22" i="20"/>
  <c r="E13" i="8"/>
  <c r="M241" i="30"/>
  <c r="D20" i="20"/>
  <c r="N16" i="10"/>
  <c r="N13" i="10"/>
  <c r="N15" i="10"/>
  <c r="N14" i="10"/>
  <c r="N12" i="10"/>
  <c r="E16" i="8"/>
  <c r="H15" i="10"/>
  <c r="H12" i="10"/>
  <c r="H14" i="10"/>
  <c r="H16" i="10"/>
  <c r="H13" i="10"/>
  <c r="Q10" i="29"/>
  <c r="Q17" i="29"/>
  <c r="Q28" i="29"/>
  <c r="Q28" i="13"/>
  <c r="Q17" i="13"/>
  <c r="Q10" i="13"/>
  <c r="L26" i="12"/>
  <c r="M176" i="30"/>
  <c r="D10" i="20"/>
  <c r="M215" i="30"/>
  <c r="D13" i="20"/>
  <c r="S16" i="6"/>
  <c r="M286" i="30"/>
  <c r="J23" i="20"/>
  <c r="M243" i="30"/>
  <c r="F20" i="20"/>
  <c r="M189" i="30"/>
  <c r="D11" i="20"/>
  <c r="M247" i="30"/>
  <c r="J20" i="20"/>
  <c r="M282" i="30"/>
  <c r="F23" i="20"/>
  <c r="M228" i="30"/>
  <c r="D14" i="20"/>
  <c r="M9" i="20"/>
  <c r="P147" i="11"/>
  <c r="M177" i="30"/>
  <c r="E10" i="20"/>
  <c r="M268" i="30"/>
  <c r="E22" i="20"/>
  <c r="M285" i="30"/>
  <c r="I23" i="20"/>
  <c r="M300" i="30"/>
  <c r="K24" i="20"/>
  <c r="M262" i="30"/>
  <c r="L21" i="20"/>
  <c r="E15" i="8"/>
  <c r="M257" i="30"/>
  <c r="G21" i="20"/>
  <c r="I12" i="10"/>
  <c r="I16" i="10"/>
  <c r="I15" i="10"/>
  <c r="I14" i="10"/>
  <c r="I13" i="10"/>
  <c r="M254" i="30"/>
  <c r="D21" i="20"/>
  <c r="M276" i="30"/>
  <c r="M22" i="20"/>
  <c r="M184" i="30" l="1"/>
  <c r="L10" i="20"/>
  <c r="M211" i="30"/>
  <c r="M12" i="20"/>
  <c r="C13" i="16"/>
  <c r="T13" i="6"/>
  <c r="U10" i="24" s="1"/>
  <c r="M192" i="30"/>
  <c r="G11" i="20"/>
  <c r="M217" i="30"/>
  <c r="F13" i="20"/>
  <c r="M198" i="30"/>
  <c r="M11" i="20"/>
  <c r="M210" i="30"/>
  <c r="L12" i="20"/>
  <c r="F38" i="8"/>
  <c r="H38" i="8" s="1"/>
  <c r="M183" i="30"/>
  <c r="K10" i="20"/>
  <c r="M191" i="30"/>
  <c r="F11" i="20"/>
  <c r="M223" i="30"/>
  <c r="L13" i="20"/>
  <c r="C14" i="16"/>
  <c r="T14" i="6"/>
  <c r="U11" i="24" s="1"/>
  <c r="C15" i="16"/>
  <c r="T15" i="6"/>
  <c r="U12" i="24" s="1"/>
  <c r="M221" i="30"/>
  <c r="J13" i="20"/>
  <c r="M235" i="30"/>
  <c r="K14" i="20"/>
  <c r="M220" i="30"/>
  <c r="I13" i="20"/>
  <c r="M230" i="30"/>
  <c r="F14" i="20"/>
  <c r="F41" i="8"/>
  <c r="H41" i="8" s="1"/>
  <c r="I12" i="22" s="1"/>
  <c r="M195" i="30"/>
  <c r="J11" i="20"/>
  <c r="M209" i="30"/>
  <c r="K12" i="20"/>
  <c r="M194" i="30"/>
  <c r="I11" i="20"/>
  <c r="M205" i="30"/>
  <c r="G12" i="20"/>
  <c r="C16" i="16"/>
  <c r="T16" i="6"/>
  <c r="U13" i="24" s="1"/>
  <c r="M204" i="30"/>
  <c r="F12" i="20"/>
  <c r="M236" i="30"/>
  <c r="L14" i="20"/>
  <c r="M185" i="30"/>
  <c r="M10" i="20"/>
  <c r="M232" i="30"/>
  <c r="H14" i="20"/>
  <c r="M234" i="30"/>
  <c r="J14" i="20"/>
  <c r="M196" i="30"/>
  <c r="K11" i="20"/>
  <c r="M233" i="30"/>
  <c r="I14" i="20"/>
  <c r="M197" i="30"/>
  <c r="L11" i="20"/>
  <c r="M219" i="30"/>
  <c r="H13" i="20"/>
  <c r="M218" i="30"/>
  <c r="G13" i="20"/>
  <c r="M178" i="30"/>
  <c r="F10" i="20"/>
  <c r="M224" i="30"/>
  <c r="M13" i="20"/>
  <c r="M206" i="30"/>
  <c r="H12" i="20"/>
  <c r="M182" i="30"/>
  <c r="J10" i="20"/>
  <c r="M222" i="30"/>
  <c r="K13" i="20"/>
  <c r="M207" i="30"/>
  <c r="I12" i="20"/>
  <c r="M231" i="30"/>
  <c r="G14" i="20"/>
  <c r="M180" i="30"/>
  <c r="H10" i="20"/>
  <c r="M208" i="30"/>
  <c r="J12" i="20"/>
  <c r="F39" i="8"/>
  <c r="H39" i="8" s="1"/>
  <c r="I10" i="22" s="1"/>
  <c r="M181" i="30"/>
  <c r="I10" i="20"/>
  <c r="M179" i="30"/>
  <c r="G10" i="20"/>
  <c r="E18" i="8"/>
  <c r="F15" i="8" s="1"/>
  <c r="M237" i="30"/>
  <c r="M14" i="20"/>
  <c r="M193" i="30"/>
  <c r="H11" i="20"/>
  <c r="F40" i="8"/>
  <c r="H40" i="8" s="1"/>
  <c r="I11" i="22" s="1"/>
  <c r="I30" i="8" l="1"/>
  <c r="J30" i="8" s="1"/>
  <c r="M30" i="8" s="1"/>
  <c r="C40" i="30" s="1"/>
  <c r="E40" i="30" s="1"/>
  <c r="G40" i="30" s="1"/>
  <c r="C175" i="30"/>
  <c r="G175" i="30" s="1"/>
  <c r="U15" i="6"/>
  <c r="V12" i="24" s="1"/>
  <c r="I33" i="8"/>
  <c r="J33" i="8" s="1"/>
  <c r="D15" i="16"/>
  <c r="P15" i="16"/>
  <c r="AJ12" i="24" s="1"/>
  <c r="S15" i="16"/>
  <c r="AO12" i="24" s="1"/>
  <c r="D13" i="16"/>
  <c r="S13" i="16"/>
  <c r="AO10" i="24" s="1"/>
  <c r="P13" i="16"/>
  <c r="AJ10" i="24" s="1"/>
  <c r="C8" i="30"/>
  <c r="E8" i="30" s="1"/>
  <c r="G8" i="30" s="1"/>
  <c r="R101" i="23"/>
  <c r="S56" i="9"/>
  <c r="R124" i="9"/>
  <c r="S56" i="23"/>
  <c r="R42" i="23"/>
  <c r="R8" i="9"/>
  <c r="R22" i="9"/>
  <c r="S165" i="9"/>
  <c r="S87" i="23"/>
  <c r="R15" i="9"/>
  <c r="R45" i="9"/>
  <c r="S190" i="9"/>
  <c r="R14" i="23"/>
  <c r="R16" i="9"/>
  <c r="S52" i="9"/>
  <c r="S181" i="9"/>
  <c r="R15" i="23"/>
  <c r="S82" i="9"/>
  <c r="R156" i="9"/>
  <c r="S77" i="23"/>
  <c r="S83" i="23"/>
  <c r="R20" i="19"/>
  <c r="R15" i="19"/>
  <c r="M170" i="18"/>
  <c r="P170" i="18" s="1"/>
  <c r="L166" i="18"/>
  <c r="O166" i="18" s="1"/>
  <c r="K166" i="18"/>
  <c r="N166" i="18" s="1"/>
  <c r="K150" i="18"/>
  <c r="N150" i="18" s="1"/>
  <c r="L149" i="18"/>
  <c r="O149" i="18" s="1"/>
  <c r="M163" i="18"/>
  <c r="P163" i="18" s="1"/>
  <c r="L136" i="18"/>
  <c r="O136" i="18" s="1"/>
  <c r="K140" i="18"/>
  <c r="N140" i="18" s="1"/>
  <c r="K124" i="18"/>
  <c r="N124" i="18" s="1"/>
  <c r="K147" i="18"/>
  <c r="N147" i="18" s="1"/>
  <c r="K139" i="18"/>
  <c r="N139" i="18" s="1"/>
  <c r="K148" i="18"/>
  <c r="N148" i="18" s="1"/>
  <c r="K161" i="18"/>
  <c r="N161" i="18" s="1"/>
  <c r="L133" i="18"/>
  <c r="O133" i="18" s="1"/>
  <c r="M129" i="18"/>
  <c r="P129" i="18" s="1"/>
  <c r="K126" i="18"/>
  <c r="N126" i="18" s="1"/>
  <c r="L142" i="18"/>
  <c r="O142" i="18" s="1"/>
  <c r="M140" i="18"/>
  <c r="P140" i="18" s="1"/>
  <c r="L128" i="18"/>
  <c r="O128" i="18" s="1"/>
  <c r="K122" i="18"/>
  <c r="N122" i="18" s="1"/>
  <c r="R200" i="9"/>
  <c r="R177" i="9"/>
  <c r="R174" i="9"/>
  <c r="R187" i="9"/>
  <c r="R172" i="9"/>
  <c r="R171" i="9"/>
  <c r="R190" i="9"/>
  <c r="S77" i="9"/>
  <c r="S70" i="9"/>
  <c r="S88" i="9"/>
  <c r="R30" i="23"/>
  <c r="R131" i="9"/>
  <c r="S75" i="9"/>
  <c r="R111" i="9"/>
  <c r="R35" i="23"/>
  <c r="R68" i="23"/>
  <c r="R86" i="23"/>
  <c r="R61" i="19"/>
  <c r="R110" i="23"/>
  <c r="R65" i="23"/>
  <c r="R50" i="23"/>
  <c r="K209" i="18"/>
  <c r="N209" i="18" s="1"/>
  <c r="R60" i="19"/>
  <c r="R79" i="23"/>
  <c r="K204" i="18"/>
  <c r="N204" i="18" s="1"/>
  <c r="R49" i="23"/>
  <c r="R56" i="23"/>
  <c r="L207" i="18"/>
  <c r="O207" i="18" s="1"/>
  <c r="K191" i="18"/>
  <c r="N191" i="18" s="1"/>
  <c r="K175" i="18"/>
  <c r="N175" i="18" s="1"/>
  <c r="L198" i="18"/>
  <c r="O198" i="18" s="1"/>
  <c r="L210" i="18"/>
  <c r="O210" i="18" s="1"/>
  <c r="M189" i="18"/>
  <c r="P189" i="18" s="1"/>
  <c r="M173" i="18"/>
  <c r="P173" i="18" s="1"/>
  <c r="L193" i="18"/>
  <c r="O193" i="18" s="1"/>
  <c r="L200" i="18"/>
  <c r="O200" i="18" s="1"/>
  <c r="K200" i="18"/>
  <c r="N200" i="18" s="1"/>
  <c r="L175" i="18"/>
  <c r="O175" i="18" s="1"/>
  <c r="R56" i="19"/>
  <c r="K197" i="18"/>
  <c r="N197" i="18" s="1"/>
  <c r="M179" i="18"/>
  <c r="P179" i="18" s="1"/>
  <c r="R85" i="23"/>
  <c r="R12" i="12"/>
  <c r="Q12" i="12"/>
  <c r="R50" i="9"/>
  <c r="R89" i="9"/>
  <c r="Q15" i="12"/>
  <c r="R56" i="9"/>
  <c r="S53" i="9"/>
  <c r="R33" i="9"/>
  <c r="S166" i="9"/>
  <c r="S79" i="23"/>
  <c r="K119" i="18"/>
  <c r="N119" i="18" s="1"/>
  <c r="R143" i="9"/>
  <c r="R30" i="9"/>
  <c r="S64" i="23"/>
  <c r="S51" i="23"/>
  <c r="S64" i="9"/>
  <c r="R135" i="9"/>
  <c r="R13" i="23"/>
  <c r="R47" i="23"/>
  <c r="R27" i="9"/>
  <c r="R150" i="9"/>
  <c r="R137" i="9"/>
  <c r="S72" i="23"/>
  <c r="S74" i="9"/>
  <c r="R151" i="9"/>
  <c r="R27" i="23"/>
  <c r="S66" i="23"/>
  <c r="S175" i="9"/>
  <c r="R46" i="9"/>
  <c r="S88" i="23"/>
  <c r="S89" i="23"/>
  <c r="R21" i="19"/>
  <c r="R16" i="19"/>
  <c r="R11" i="19"/>
  <c r="K167" i="18"/>
  <c r="N167" i="18" s="1"/>
  <c r="L162" i="18"/>
  <c r="O162" i="18" s="1"/>
  <c r="M165" i="18"/>
  <c r="P165" i="18" s="1"/>
  <c r="M149" i="18"/>
  <c r="P149" i="18" s="1"/>
  <c r="L145" i="18"/>
  <c r="O145" i="18" s="1"/>
  <c r="K156" i="18"/>
  <c r="N156" i="18" s="1"/>
  <c r="M164" i="18"/>
  <c r="P164" i="18" s="1"/>
  <c r="M139" i="18"/>
  <c r="P139" i="18" s="1"/>
  <c r="M123" i="18"/>
  <c r="P123" i="18" s="1"/>
  <c r="K144" i="18"/>
  <c r="N144" i="18" s="1"/>
  <c r="M138" i="18"/>
  <c r="P138" i="18" s="1"/>
  <c r="K145" i="18"/>
  <c r="N145" i="18" s="1"/>
  <c r="M155" i="18"/>
  <c r="P155" i="18" s="1"/>
  <c r="L129" i="18"/>
  <c r="O129" i="18" s="1"/>
  <c r="L126" i="18"/>
  <c r="O126" i="18" s="1"/>
  <c r="K123" i="18"/>
  <c r="N123" i="18" s="1"/>
  <c r="M133" i="18"/>
  <c r="P133" i="18" s="1"/>
  <c r="K133" i="18"/>
  <c r="N133" i="18" s="1"/>
  <c r="M125" i="18"/>
  <c r="P125" i="18" s="1"/>
  <c r="R192" i="9"/>
  <c r="R169" i="9"/>
  <c r="R167" i="9"/>
  <c r="R11" i="12"/>
  <c r="R180" i="9"/>
  <c r="R197" i="9"/>
  <c r="S50" i="9"/>
  <c r="R226" i="9"/>
  <c r="S73" i="9"/>
  <c r="R22" i="23"/>
  <c r="S57" i="23"/>
  <c r="R148" i="9"/>
  <c r="R34" i="9"/>
  <c r="S74" i="23"/>
  <c r="S59" i="23"/>
  <c r="R12" i="9"/>
  <c r="R26" i="9"/>
  <c r="S173" i="9"/>
  <c r="R10" i="23"/>
  <c r="S168" i="9"/>
  <c r="R42" i="9"/>
  <c r="R33" i="23"/>
  <c r="S75" i="23"/>
  <c r="S192" i="9"/>
  <c r="R21" i="9"/>
  <c r="R146" i="9"/>
  <c r="R28" i="23"/>
  <c r="R17" i="19"/>
  <c r="R40" i="19"/>
  <c r="M166" i="18"/>
  <c r="P166" i="18" s="1"/>
  <c r="L158" i="18"/>
  <c r="O158" i="18" s="1"/>
  <c r="K162" i="18"/>
  <c r="N162" i="18" s="1"/>
  <c r="R26" i="19"/>
  <c r="L168" i="18"/>
  <c r="O168" i="18" s="1"/>
  <c r="K155" i="18"/>
  <c r="N155" i="18" s="1"/>
  <c r="L163" i="18"/>
  <c r="O163" i="18" s="1"/>
  <c r="K136" i="18"/>
  <c r="N136" i="18" s="1"/>
  <c r="S84" i="9"/>
  <c r="S67" i="9"/>
  <c r="S195" i="9"/>
  <c r="R11" i="23"/>
  <c r="S71" i="9"/>
  <c r="R9" i="9"/>
  <c r="S81" i="9"/>
  <c r="S50" i="23"/>
  <c r="S65" i="23"/>
  <c r="S69" i="9"/>
  <c r="R140" i="9"/>
  <c r="R17" i="23"/>
  <c r="R94" i="23" s="1"/>
  <c r="S52" i="23"/>
  <c r="S204" i="9"/>
  <c r="R17" i="9"/>
  <c r="R94" i="9" s="1"/>
  <c r="R130" i="9"/>
  <c r="S70" i="23"/>
  <c r="S81" i="23"/>
  <c r="R32" i="9"/>
  <c r="R128" i="9"/>
  <c r="S79" i="9"/>
  <c r="R40" i="23"/>
  <c r="K163" i="18"/>
  <c r="N163" i="18" s="1"/>
  <c r="L154" i="18"/>
  <c r="O154" i="18" s="1"/>
  <c r="M161" i="18"/>
  <c r="P161" i="18" s="1"/>
  <c r="L169" i="18"/>
  <c r="O169" i="18" s="1"/>
  <c r="L164" i="18"/>
  <c r="O164" i="18" s="1"/>
  <c r="M154" i="18"/>
  <c r="P154" i="18" s="1"/>
  <c r="K157" i="18"/>
  <c r="N157" i="18" s="1"/>
  <c r="M135" i="18"/>
  <c r="P135" i="18" s="1"/>
  <c r="M119" i="18"/>
  <c r="P119" i="18" s="1"/>
  <c r="K165" i="18"/>
  <c r="N165" i="18" s="1"/>
  <c r="R36" i="19"/>
  <c r="L138" i="18"/>
  <c r="O138" i="18" s="1"/>
  <c r="M146" i="18"/>
  <c r="P146" i="18" s="1"/>
  <c r="L121" i="18"/>
  <c r="O121" i="18" s="1"/>
  <c r="M120" i="18"/>
  <c r="P120" i="18" s="1"/>
  <c r="K137" i="18"/>
  <c r="N137" i="18" s="1"/>
  <c r="K127" i="18"/>
  <c r="N127" i="18" s="1"/>
  <c r="K121" i="18"/>
  <c r="N121" i="18" s="1"/>
  <c r="K118" i="18"/>
  <c r="N118" i="18" s="1"/>
  <c r="M136" i="18"/>
  <c r="P136" i="18" s="1"/>
  <c r="R176" i="9"/>
  <c r="R189" i="9"/>
  <c r="R215" i="9"/>
  <c r="R191" i="9"/>
  <c r="R10" i="12"/>
  <c r="R203" i="9"/>
  <c r="R8" i="12"/>
  <c r="R103" i="9"/>
  <c r="S177" i="9"/>
  <c r="R16" i="23"/>
  <c r="S84" i="23"/>
  <c r="R127" i="9"/>
  <c r="S184" i="9"/>
  <c r="R29" i="23"/>
  <c r="R103" i="23"/>
  <c r="R74" i="19"/>
  <c r="R62" i="23"/>
  <c r="R63" i="23"/>
  <c r="R83" i="23"/>
  <c r="R63" i="19"/>
  <c r="R51" i="19"/>
  <c r="M204" i="18"/>
  <c r="P204" i="18" s="1"/>
  <c r="L216" i="18"/>
  <c r="O216" i="18" s="1"/>
  <c r="M215" i="18"/>
  <c r="P215" i="18" s="1"/>
  <c r="R71" i="19"/>
  <c r="R53" i="19"/>
  <c r="M217" i="18"/>
  <c r="P217" i="18" s="1"/>
  <c r="M202" i="18"/>
  <c r="P202" i="18" s="1"/>
  <c r="M186" i="18"/>
  <c r="P186" i="18" s="1"/>
  <c r="R74" i="23"/>
  <c r="L186" i="18"/>
  <c r="O186" i="18" s="1"/>
  <c r="K198" i="18"/>
  <c r="N198" i="18" s="1"/>
  <c r="K182" i="18"/>
  <c r="N182" i="18" s="1"/>
  <c r="K210" i="18"/>
  <c r="N210" i="18" s="1"/>
  <c r="L181" i="18"/>
  <c r="O181" i="18" s="1"/>
  <c r="L188" i="18"/>
  <c r="O188" i="18" s="1"/>
  <c r="K181" i="18"/>
  <c r="N181" i="18" s="1"/>
  <c r="M196" i="18"/>
  <c r="P196" i="18" s="1"/>
  <c r="K196" i="18"/>
  <c r="N196" i="18" s="1"/>
  <c r="M172" i="18"/>
  <c r="P172" i="18" s="1"/>
  <c r="L199" i="18"/>
  <c r="O199" i="18" s="1"/>
  <c r="S85" i="9"/>
  <c r="R160" i="9"/>
  <c r="S164" i="9"/>
  <c r="S78" i="23"/>
  <c r="R122" i="9"/>
  <c r="S72" i="9"/>
  <c r="S202" i="9"/>
  <c r="R39" i="23"/>
  <c r="R159" i="9"/>
  <c r="R38" i="9"/>
  <c r="R18" i="23"/>
  <c r="S67" i="23"/>
  <c r="R23" i="9"/>
  <c r="R123" i="9"/>
  <c r="R223" i="9"/>
  <c r="R12" i="23"/>
  <c r="R40" i="9"/>
  <c r="S201" i="9"/>
  <c r="S203" i="9"/>
  <c r="R25" i="23"/>
  <c r="R27" i="19"/>
  <c r="M162" i="18"/>
  <c r="P162" i="18" s="1"/>
  <c r="L150" i="18"/>
  <c r="O150" i="18" s="1"/>
  <c r="K158" i="18"/>
  <c r="N158" i="18" s="1"/>
  <c r="L165" i="18"/>
  <c r="O165" i="18" s="1"/>
  <c r="L160" i="18"/>
  <c r="O160" i="18" s="1"/>
  <c r="M147" i="18"/>
  <c r="P147" i="18" s="1"/>
  <c r="K153" i="18"/>
  <c r="N153" i="18" s="1"/>
  <c r="K132" i="18"/>
  <c r="N132" i="18" s="1"/>
  <c r="K164" i="18"/>
  <c r="N164" i="18" s="1"/>
  <c r="M159" i="18"/>
  <c r="P159" i="18" s="1"/>
  <c r="M160" i="18"/>
  <c r="P160" i="18" s="1"/>
  <c r="L134" i="18"/>
  <c r="O134" i="18" s="1"/>
  <c r="M143" i="18"/>
  <c r="P143" i="18" s="1"/>
  <c r="K168" i="18"/>
  <c r="N168" i="18" s="1"/>
  <c r="M167" i="18"/>
  <c r="P167" i="18" s="1"/>
  <c r="L131" i="18"/>
  <c r="O131" i="18" s="1"/>
  <c r="L124" i="18"/>
  <c r="O124" i="18" s="1"/>
  <c r="L118" i="18"/>
  <c r="O118" i="18" s="1"/>
  <c r="M141" i="18"/>
  <c r="P141" i="18" s="1"/>
  <c r="K130" i="18"/>
  <c r="N130" i="18" s="1"/>
  <c r="R168" i="9"/>
  <c r="Q8" i="12"/>
  <c r="R182" i="9"/>
  <c r="R202" i="9"/>
  <c r="R173" i="9"/>
  <c r="R196" i="9"/>
  <c r="S193" i="9"/>
  <c r="S55" i="9"/>
  <c r="R34" i="23"/>
  <c r="R106" i="23"/>
  <c r="R19" i="9"/>
  <c r="S76" i="9"/>
  <c r="R37" i="9"/>
  <c r="S174" i="9"/>
  <c r="S86" i="23"/>
  <c r="R101" i="9"/>
  <c r="S169" i="9"/>
  <c r="S171" i="9"/>
  <c r="S85" i="23"/>
  <c r="R138" i="9"/>
  <c r="R13" i="9"/>
  <c r="R108" i="9"/>
  <c r="S60" i="23"/>
  <c r="S73" i="23"/>
  <c r="S167" i="9"/>
  <c r="S183" i="9"/>
  <c r="S196" i="9"/>
  <c r="R24" i="23"/>
  <c r="S61" i="9"/>
  <c r="S57" i="9"/>
  <c r="R221" i="9"/>
  <c r="R20" i="23"/>
  <c r="R23" i="19"/>
  <c r="R32" i="19"/>
  <c r="R18" i="19"/>
  <c r="K159" i="18"/>
  <c r="N159" i="18" s="1"/>
  <c r="L146" i="18"/>
  <c r="O146" i="18" s="1"/>
  <c r="M157" i="18"/>
  <c r="P157" i="18" s="1"/>
  <c r="L161" i="18"/>
  <c r="O161" i="18" s="1"/>
  <c r="L156" i="18"/>
  <c r="O156" i="18" s="1"/>
  <c r="M144" i="18"/>
  <c r="P144" i="18" s="1"/>
  <c r="M152" i="18"/>
  <c r="P152" i="18" s="1"/>
  <c r="M131" i="18"/>
  <c r="P131" i="18" s="1"/>
  <c r="K152" i="18"/>
  <c r="N152" i="18" s="1"/>
  <c r="L151" i="18"/>
  <c r="O151" i="18" s="1"/>
  <c r="L159" i="18"/>
  <c r="O159" i="18" s="1"/>
  <c r="L130" i="18"/>
  <c r="O130" i="18" s="1"/>
  <c r="K142" i="18"/>
  <c r="N142" i="18" s="1"/>
  <c r="L143" i="18"/>
  <c r="O143" i="18" s="1"/>
  <c r="M137" i="18"/>
  <c r="P137" i="18" s="1"/>
  <c r="L127" i="18"/>
  <c r="O127" i="18" s="1"/>
  <c r="M121" i="18"/>
  <c r="P121" i="18" s="1"/>
  <c r="K160" i="18"/>
  <c r="N160" i="18" s="1"/>
  <c r="L135" i="18"/>
  <c r="O135" i="18" s="1"/>
  <c r="K125" i="18"/>
  <c r="N125" i="18" s="1"/>
  <c r="K146" i="18"/>
  <c r="N146" i="18" s="1"/>
  <c r="R201" i="9"/>
  <c r="R175" i="9"/>
  <c r="R195" i="9"/>
  <c r="R166" i="9"/>
  <c r="R204" i="9"/>
  <c r="Q75" i="5"/>
  <c r="R165" i="9"/>
  <c r="R11" i="9"/>
  <c r="R25" i="9"/>
  <c r="R162" i="9"/>
  <c r="R23" i="23"/>
  <c r="R113" i="23"/>
  <c r="R31" i="9"/>
  <c r="S54" i="9"/>
  <c r="S170" i="9"/>
  <c r="R38" i="23"/>
  <c r="R66" i="19"/>
  <c r="R73" i="19"/>
  <c r="R80" i="23"/>
  <c r="R55" i="23"/>
  <c r="R82" i="23"/>
  <c r="M216" i="18"/>
  <c r="P216" i="18" s="1"/>
  <c r="R71" i="23"/>
  <c r="L208" i="18"/>
  <c r="O208" i="18" s="1"/>
  <c r="M211" i="18"/>
  <c r="P211" i="18" s="1"/>
  <c r="R54" i="19"/>
  <c r="M214" i="18"/>
  <c r="P214" i="18" s="1"/>
  <c r="M213" i="18"/>
  <c r="P213" i="18" s="1"/>
  <c r="M198" i="18"/>
  <c r="P198" i="18" s="1"/>
  <c r="M182" i="18"/>
  <c r="P182" i="18" s="1"/>
  <c r="K207" i="18"/>
  <c r="N207" i="18" s="1"/>
  <c r="L178" i="18"/>
  <c r="O178" i="18" s="1"/>
  <c r="K194" i="18"/>
  <c r="N194" i="18" s="1"/>
  <c r="K178" i="18"/>
  <c r="N178" i="18" s="1"/>
  <c r="M206" i="18"/>
  <c r="P206" i="18" s="1"/>
  <c r="L173" i="18"/>
  <c r="O173" i="18" s="1"/>
  <c r="L180" i="18"/>
  <c r="O180" i="18" s="1"/>
  <c r="M195" i="18"/>
  <c r="P195" i="18" s="1"/>
  <c r="K189" i="18"/>
  <c r="N189" i="18" s="1"/>
  <c r="L183" i="18"/>
  <c r="O183" i="18" s="1"/>
  <c r="M192" i="18"/>
  <c r="P192" i="18" s="1"/>
  <c r="M187" i="18"/>
  <c r="P187" i="18" s="1"/>
  <c r="K173" i="18"/>
  <c r="N173" i="18" s="1"/>
  <c r="R110" i="9"/>
  <c r="R76" i="9"/>
  <c r="R63" i="9"/>
  <c r="R52" i="9"/>
  <c r="R49" i="9"/>
  <c r="R51" i="9"/>
  <c r="R54" i="9"/>
  <c r="R39" i="9"/>
  <c r="R218" i="9"/>
  <c r="S68" i="9"/>
  <c r="R7" i="23"/>
  <c r="S49" i="23"/>
  <c r="R64" i="23"/>
  <c r="R96" i="23" s="1"/>
  <c r="R49" i="19"/>
  <c r="K195" i="18"/>
  <c r="N195" i="18" s="1"/>
  <c r="K203" i="18"/>
  <c r="N203" i="18" s="1"/>
  <c r="M193" i="18"/>
  <c r="P193" i="18" s="1"/>
  <c r="L201" i="18"/>
  <c r="O201" i="18" s="1"/>
  <c r="L176" i="18"/>
  <c r="O176" i="18" s="1"/>
  <c r="M183" i="18"/>
  <c r="P183" i="18" s="1"/>
  <c r="L191" i="18"/>
  <c r="O191" i="18" s="1"/>
  <c r="P14" i="12"/>
  <c r="S185" i="9"/>
  <c r="R106" i="9"/>
  <c r="R129" i="9"/>
  <c r="R46" i="23"/>
  <c r="S87" i="9"/>
  <c r="R41" i="9"/>
  <c r="S182" i="9"/>
  <c r="R9" i="23"/>
  <c r="S179" i="9"/>
  <c r="S80" i="9"/>
  <c r="R216" i="9"/>
  <c r="S63" i="23"/>
  <c r="R35" i="9"/>
  <c r="S49" i="9"/>
  <c r="S198" i="9"/>
  <c r="R19" i="23"/>
  <c r="R154" i="9"/>
  <c r="S187" i="9"/>
  <c r="R145" i="9"/>
  <c r="R21" i="23"/>
  <c r="R14" i="19"/>
  <c r="M158" i="18"/>
  <c r="P158" i="18" s="1"/>
  <c r="K170" i="18"/>
  <c r="N170" i="18" s="1"/>
  <c r="K154" i="18"/>
  <c r="N154" i="18" s="1"/>
  <c r="L157" i="18"/>
  <c r="O157" i="18" s="1"/>
  <c r="L152" i="18"/>
  <c r="O152" i="18" s="1"/>
  <c r="K143" i="18"/>
  <c r="N143" i="18" s="1"/>
  <c r="L147" i="18"/>
  <c r="O147" i="18" s="1"/>
  <c r="K128" i="18"/>
  <c r="N128" i="18" s="1"/>
  <c r="M151" i="18"/>
  <c r="P151" i="18" s="1"/>
  <c r="L148" i="18"/>
  <c r="O148" i="18" s="1"/>
  <c r="K151" i="18"/>
  <c r="N151" i="18" s="1"/>
  <c r="M168" i="18"/>
  <c r="P168" i="18" s="1"/>
  <c r="L141" i="18"/>
  <c r="O141" i="18" s="1"/>
  <c r="K141" i="18"/>
  <c r="N141" i="18" s="1"/>
  <c r="K134" i="18"/>
  <c r="N134" i="18" s="1"/>
  <c r="M124" i="18"/>
  <c r="P124" i="18" s="1"/>
  <c r="M118" i="18"/>
  <c r="P118" i="18" s="1"/>
  <c r="K138" i="18"/>
  <c r="N138" i="18" s="1"/>
  <c r="L132" i="18"/>
  <c r="O132" i="18" s="1"/>
  <c r="L119" i="18"/>
  <c r="O119" i="18" s="1"/>
  <c r="M132" i="18"/>
  <c r="P132" i="18" s="1"/>
  <c r="R193" i="9"/>
  <c r="R199" i="9"/>
  <c r="R188" i="9"/>
  <c r="R186" i="9"/>
  <c r="R220" i="9"/>
  <c r="R178" i="9"/>
  <c r="R43" i="9"/>
  <c r="R139" i="9"/>
  <c r="R126" i="9"/>
  <c r="R44" i="23"/>
  <c r="S59" i="9"/>
  <c r="R144" i="9"/>
  <c r="R142" i="9"/>
  <c r="S53" i="23"/>
  <c r="R84" i="23"/>
  <c r="R62" i="19"/>
  <c r="R69" i="19"/>
  <c r="R73" i="23"/>
  <c r="R51" i="23"/>
  <c r="K213" i="18"/>
  <c r="N213" i="18" s="1"/>
  <c r="R61" i="23"/>
  <c r="L204" i="18"/>
  <c r="O204" i="18" s="1"/>
  <c r="K208" i="18"/>
  <c r="N208" i="18" s="1"/>
  <c r="K211" i="18"/>
  <c r="N211" i="18" s="1"/>
  <c r="R75" i="23"/>
  <c r="K179" i="18"/>
  <c r="N179" i="18" s="1"/>
  <c r="L174" i="18"/>
  <c r="O174" i="18" s="1"/>
  <c r="M177" i="18"/>
  <c r="P177" i="18" s="1"/>
  <c r="L215" i="18"/>
  <c r="O215" i="18" s="1"/>
  <c r="K188" i="18"/>
  <c r="N188" i="18" s="1"/>
  <c r="K177" i="18"/>
  <c r="N177" i="18" s="1"/>
  <c r="K180" i="18"/>
  <c r="N180" i="18" s="1"/>
  <c r="S189" i="9"/>
  <c r="R136" i="9"/>
  <c r="R18" i="9"/>
  <c r="R161" i="9"/>
  <c r="S69" i="23"/>
  <c r="S199" i="9"/>
  <c r="R134" i="9"/>
  <c r="R133" i="9"/>
  <c r="S58" i="23"/>
  <c r="R147" i="9"/>
  <c r="S176" i="9"/>
  <c r="S178" i="9"/>
  <c r="R8" i="23"/>
  <c r="R36" i="9"/>
  <c r="S180" i="9"/>
  <c r="R141" i="9"/>
  <c r="S76" i="23"/>
  <c r="R20" i="9"/>
  <c r="S60" i="9"/>
  <c r="R32" i="23"/>
  <c r="S80" i="23"/>
  <c r="R34" i="19"/>
  <c r="R29" i="19"/>
  <c r="R10" i="19"/>
  <c r="L170" i="18"/>
  <c r="O170" i="18" s="1"/>
  <c r="M169" i="18"/>
  <c r="P169" i="18" s="1"/>
  <c r="M153" i="18"/>
  <c r="P153" i="18" s="1"/>
  <c r="L153" i="18"/>
  <c r="O153" i="18" s="1"/>
  <c r="K169" i="18"/>
  <c r="N169" i="18" s="1"/>
  <c r="L140" i="18"/>
  <c r="O140" i="18" s="1"/>
  <c r="L144" i="18"/>
  <c r="O144" i="18" s="1"/>
  <c r="M127" i="18"/>
  <c r="P127" i="18" s="1"/>
  <c r="M148" i="18"/>
  <c r="P148" i="18" s="1"/>
  <c r="M145" i="18"/>
  <c r="P145" i="18" s="1"/>
  <c r="M150" i="18"/>
  <c r="P150" i="18" s="1"/>
  <c r="L167" i="18"/>
  <c r="O167" i="18" s="1"/>
  <c r="L137" i="18"/>
  <c r="O137" i="18" s="1"/>
  <c r="M134" i="18"/>
  <c r="P134" i="18" s="1"/>
  <c r="K129" i="18"/>
  <c r="N129" i="18" s="1"/>
  <c r="R35" i="19"/>
  <c r="M156" i="18"/>
  <c r="P156" i="18" s="1"/>
  <c r="M130" i="18"/>
  <c r="P130" i="18" s="1"/>
  <c r="M126" i="18"/>
  <c r="P126" i="18" s="1"/>
  <c r="R225" i="9"/>
  <c r="L122" i="18"/>
  <c r="O122" i="18" s="1"/>
  <c r="R185" i="9"/>
  <c r="R181" i="9"/>
  <c r="R170" i="9"/>
  <c r="R194" i="9"/>
  <c r="R179" i="9"/>
  <c r="R211" i="9" s="1"/>
  <c r="Q74" i="5"/>
  <c r="R164" i="9"/>
  <c r="S58" i="9"/>
  <c r="R228" i="9"/>
  <c r="S89" i="9"/>
  <c r="S54" i="23"/>
  <c r="R44" i="9"/>
  <c r="R29" i="9"/>
  <c r="R113" i="9"/>
  <c r="L123" i="18"/>
  <c r="O123" i="18" s="1"/>
  <c r="R149" i="9"/>
  <c r="S82" i="23"/>
  <c r="R60" i="23"/>
  <c r="R58" i="23"/>
  <c r="M208" i="18"/>
  <c r="P208" i="18" s="1"/>
  <c r="R50" i="19"/>
  <c r="R76" i="19"/>
  <c r="L205" i="18"/>
  <c r="O205" i="18" s="1"/>
  <c r="M174" i="18"/>
  <c r="P174" i="18" s="1"/>
  <c r="K202" i="18"/>
  <c r="N202" i="18" s="1"/>
  <c r="R47" i="19"/>
  <c r="L196" i="18"/>
  <c r="O196" i="18" s="1"/>
  <c r="R57" i="19"/>
  <c r="M191" i="18"/>
  <c r="P191" i="18" s="1"/>
  <c r="K192" i="18"/>
  <c r="N192" i="18" s="1"/>
  <c r="P15" i="12"/>
  <c r="S15" i="12" s="1"/>
  <c r="R58" i="9"/>
  <c r="R78" i="9"/>
  <c r="R57" i="9"/>
  <c r="R80" i="9"/>
  <c r="K184" i="18"/>
  <c r="N184" i="18" s="1"/>
  <c r="R79" i="9"/>
  <c r="L120" i="18"/>
  <c r="O120" i="18" s="1"/>
  <c r="Q9" i="12"/>
  <c r="S197" i="9"/>
  <c r="S186" i="9"/>
  <c r="S68" i="23"/>
  <c r="R52" i="23"/>
  <c r="R77" i="23"/>
  <c r="R68" i="19"/>
  <c r="K205" i="18"/>
  <c r="N205" i="18" s="1"/>
  <c r="K216" i="18"/>
  <c r="N216" i="18" s="1"/>
  <c r="R64" i="19"/>
  <c r="L203" i="18"/>
  <c r="O203" i="18" s="1"/>
  <c r="K171" i="18"/>
  <c r="N171" i="18" s="1"/>
  <c r="M201" i="18"/>
  <c r="P201" i="18" s="1"/>
  <c r="L213" i="18"/>
  <c r="O213" i="18" s="1"/>
  <c r="L192" i="18"/>
  <c r="O192" i="18" s="1"/>
  <c r="M175" i="18"/>
  <c r="P175" i="18" s="1"/>
  <c r="R65" i="9"/>
  <c r="S62" i="9"/>
  <c r="K120" i="18"/>
  <c r="N120" i="18" s="1"/>
  <c r="K131" i="18"/>
  <c r="N131" i="18" s="1"/>
  <c r="R36" i="23"/>
  <c r="R28" i="9"/>
  <c r="S61" i="23"/>
  <c r="R70" i="19"/>
  <c r="R59" i="23"/>
  <c r="R89" i="23"/>
  <c r="R81" i="23"/>
  <c r="K212" i="18"/>
  <c r="N212" i="18" s="1"/>
  <c r="K215" i="18"/>
  <c r="N215" i="18" s="1"/>
  <c r="K199" i="18"/>
  <c r="N199" i="18" s="1"/>
  <c r="L211" i="18"/>
  <c r="O211" i="18" s="1"/>
  <c r="M197" i="18"/>
  <c r="P197" i="18" s="1"/>
  <c r="M209" i="18"/>
  <c r="P209" i="18" s="1"/>
  <c r="L184" i="18"/>
  <c r="O184" i="18" s="1"/>
  <c r="L195" i="18"/>
  <c r="O195" i="18" s="1"/>
  <c r="L171" i="18"/>
  <c r="O171" i="18" s="1"/>
  <c r="M199" i="18"/>
  <c r="P199" i="18" s="1"/>
  <c r="R74" i="9"/>
  <c r="R81" i="9"/>
  <c r="R60" i="9"/>
  <c r="R69" i="9"/>
  <c r="R64" i="9"/>
  <c r="R96" i="9" s="1"/>
  <c r="R155" i="9"/>
  <c r="R157" i="9"/>
  <c r="R111" i="23"/>
  <c r="L197" i="18"/>
  <c r="O197" i="18" s="1"/>
  <c r="K176" i="18"/>
  <c r="N176" i="18" s="1"/>
  <c r="M180" i="18"/>
  <c r="P180" i="18" s="1"/>
  <c r="R73" i="9"/>
  <c r="R13" i="12"/>
  <c r="R62" i="9"/>
  <c r="S51" i="9"/>
  <c r="R45" i="23"/>
  <c r="R85" i="9"/>
  <c r="R46" i="19"/>
  <c r="L187" i="18"/>
  <c r="O187" i="18" s="1"/>
  <c r="R83" i="9"/>
  <c r="R152" i="9"/>
  <c r="L139" i="18"/>
  <c r="O139" i="18" s="1"/>
  <c r="M128" i="18"/>
  <c r="P128" i="18" s="1"/>
  <c r="R198" i="9"/>
  <c r="R26" i="23"/>
  <c r="S200" i="9"/>
  <c r="S55" i="23"/>
  <c r="R58" i="19"/>
  <c r="R66" i="23"/>
  <c r="R57" i="23"/>
  <c r="R72" i="19"/>
  <c r="M207" i="18"/>
  <c r="P207" i="18" s="1"/>
  <c r="M210" i="18"/>
  <c r="P210" i="18" s="1"/>
  <c r="M194" i="18"/>
  <c r="P194" i="18" s="1"/>
  <c r="L202" i="18"/>
  <c r="O202" i="18" s="1"/>
  <c r="K190" i="18"/>
  <c r="N190" i="18" s="1"/>
  <c r="L172" i="18"/>
  <c r="O172" i="18" s="1"/>
  <c r="K185" i="18"/>
  <c r="N185" i="18" s="1"/>
  <c r="R14" i="12"/>
  <c r="R88" i="9"/>
  <c r="S83" i="9"/>
  <c r="Q13" i="12"/>
  <c r="R68" i="9"/>
  <c r="S66" i="9"/>
  <c r="R43" i="23"/>
  <c r="R55" i="9"/>
  <c r="R108" i="23"/>
  <c r="K135" i="18"/>
  <c r="N135" i="18" s="1"/>
  <c r="M122" i="18"/>
  <c r="P122" i="18" s="1"/>
  <c r="S172" i="9"/>
  <c r="R10" i="9"/>
  <c r="R31" i="23"/>
  <c r="R78" i="23"/>
  <c r="R100" i="23"/>
  <c r="R53" i="23"/>
  <c r="R55" i="19"/>
  <c r="M203" i="18"/>
  <c r="P203" i="18" s="1"/>
  <c r="R75" i="19"/>
  <c r="M190" i="18"/>
  <c r="P190" i="18" s="1"/>
  <c r="L194" i="18"/>
  <c r="O194" i="18" s="1"/>
  <c r="K186" i="18"/>
  <c r="N186" i="18" s="1"/>
  <c r="L189" i="18"/>
  <c r="O189" i="18" s="1"/>
  <c r="M188" i="18"/>
  <c r="P188" i="18" s="1"/>
  <c r="L214" i="18"/>
  <c r="O214" i="18" s="1"/>
  <c r="K172" i="18"/>
  <c r="N172" i="18" s="1"/>
  <c r="R105" i="9"/>
  <c r="R14" i="9"/>
  <c r="R67" i="19"/>
  <c r="R52" i="19"/>
  <c r="L190" i="18"/>
  <c r="O190" i="18" s="1"/>
  <c r="L185" i="18"/>
  <c r="O185" i="18" s="1"/>
  <c r="M200" i="18"/>
  <c r="P200" i="18" s="1"/>
  <c r="R87" i="9"/>
  <c r="R67" i="9"/>
  <c r="M142" i="18"/>
  <c r="P142" i="18" s="1"/>
  <c r="L155" i="18"/>
  <c r="O155" i="18" s="1"/>
  <c r="R24" i="9"/>
  <c r="S78" i="9"/>
  <c r="R70" i="23"/>
  <c r="R87" i="23"/>
  <c r="R88" i="23"/>
  <c r="K187" i="18"/>
  <c r="N187" i="18" s="1"/>
  <c r="M185" i="18"/>
  <c r="P185" i="18" s="1"/>
  <c r="M205" i="18"/>
  <c r="P205" i="18" s="1"/>
  <c r="R100" i="9"/>
  <c r="R77" i="9"/>
  <c r="K149" i="18"/>
  <c r="N149" i="18" s="1"/>
  <c r="R184" i="9"/>
  <c r="S194" i="9"/>
  <c r="S63" i="9"/>
  <c r="R54" i="23"/>
  <c r="R69" i="23"/>
  <c r="K217" i="18"/>
  <c r="N217" i="18" s="1"/>
  <c r="L212" i="18"/>
  <c r="O212" i="18" s="1"/>
  <c r="R59" i="19"/>
  <c r="K214" i="18"/>
  <c r="N214" i="18" s="1"/>
  <c r="K183" i="18"/>
  <c r="N183" i="18" s="1"/>
  <c r="L182" i="18"/>
  <c r="O182" i="18" s="1"/>
  <c r="M181" i="18"/>
  <c r="P181" i="18" s="1"/>
  <c r="L177" i="18"/>
  <c r="O177" i="18" s="1"/>
  <c r="K201" i="18"/>
  <c r="N201" i="18" s="1"/>
  <c r="M184" i="18"/>
  <c r="P184" i="18" s="1"/>
  <c r="K193" i="18"/>
  <c r="N193" i="18" s="1"/>
  <c r="L179" i="18"/>
  <c r="O179" i="18" s="1"/>
  <c r="R84" i="9"/>
  <c r="R75" i="9"/>
  <c r="R59" i="9"/>
  <c r="R61" i="9"/>
  <c r="R7" i="9"/>
  <c r="S191" i="9"/>
  <c r="S71" i="23"/>
  <c r="M178" i="18"/>
  <c r="P178" i="18" s="1"/>
  <c r="K206" i="18"/>
  <c r="N206" i="18" s="1"/>
  <c r="M176" i="18"/>
  <c r="P176" i="18" s="1"/>
  <c r="L206" i="18"/>
  <c r="O206" i="18" s="1"/>
  <c r="R15" i="12"/>
  <c r="U15" i="12" s="1"/>
  <c r="R86" i="9"/>
  <c r="R47" i="9"/>
  <c r="R41" i="23"/>
  <c r="R132" i="9"/>
  <c r="R209" i="9" s="1"/>
  <c r="R158" i="9"/>
  <c r="R82" i="9"/>
  <c r="R125" i="9"/>
  <c r="L125" i="18"/>
  <c r="O125" i="18" s="1"/>
  <c r="R183" i="9"/>
  <c r="S65" i="9"/>
  <c r="R153" i="9"/>
  <c r="R76" i="23"/>
  <c r="R65" i="19"/>
  <c r="R72" i="23"/>
  <c r="M212" i="18"/>
  <c r="P212" i="18" s="1"/>
  <c r="R105" i="23"/>
  <c r="R67" i="23"/>
  <c r="L217" i="18"/>
  <c r="O217" i="18" s="1"/>
  <c r="R48" i="19"/>
  <c r="K174" i="18"/>
  <c r="N174" i="18" s="1"/>
  <c r="M171" i="18"/>
  <c r="P171" i="18" s="1"/>
  <c r="R71" i="9"/>
  <c r="R70" i="9"/>
  <c r="R53" i="9"/>
  <c r="S188" i="9"/>
  <c r="R66" i="9"/>
  <c r="S62" i="23"/>
  <c r="L209" i="18"/>
  <c r="O209" i="18" s="1"/>
  <c r="Q14" i="12"/>
  <c r="T14" i="12" s="1"/>
  <c r="R72" i="9"/>
  <c r="R37" i="23"/>
  <c r="S86" i="9"/>
  <c r="R9" i="12"/>
  <c r="R19" i="19"/>
  <c r="R39" i="19"/>
  <c r="I28" i="8"/>
  <c r="J28" i="8" s="1"/>
  <c r="R38" i="19"/>
  <c r="R13" i="19"/>
  <c r="R22" i="19"/>
  <c r="R31" i="19"/>
  <c r="I25" i="8"/>
  <c r="J25" i="8" s="1"/>
  <c r="R33" i="19"/>
  <c r="I26" i="8"/>
  <c r="J26" i="8" s="1"/>
  <c r="I32" i="8"/>
  <c r="J32" i="8" s="1"/>
  <c r="R12" i="19"/>
  <c r="R24" i="19"/>
  <c r="I23" i="8"/>
  <c r="J23" i="8" s="1"/>
  <c r="I34" i="8"/>
  <c r="J34" i="8" s="1"/>
  <c r="R25" i="19"/>
  <c r="I31" i="8"/>
  <c r="J31" i="8" s="1"/>
  <c r="I29" i="8"/>
  <c r="J29" i="8" s="1"/>
  <c r="R30" i="19"/>
  <c r="R28" i="19"/>
  <c r="R37" i="19"/>
  <c r="P12" i="12"/>
  <c r="P8" i="12"/>
  <c r="Q10" i="12"/>
  <c r="T10" i="12" s="1"/>
  <c r="Q11" i="12"/>
  <c r="P11" i="12"/>
  <c r="P13" i="12"/>
  <c r="S13" i="12" s="1"/>
  <c r="P9" i="12"/>
  <c r="S9" i="12" s="1"/>
  <c r="P10" i="12"/>
  <c r="I24" i="8"/>
  <c r="J24" i="8" s="1"/>
  <c r="U16" i="6"/>
  <c r="V13" i="24" s="1"/>
  <c r="L30" i="8"/>
  <c r="F13" i="8"/>
  <c r="S16" i="16"/>
  <c r="AO13" i="24" s="1"/>
  <c r="P16" i="16"/>
  <c r="AJ13" i="24" s="1"/>
  <c r="D16" i="16"/>
  <c r="U14" i="6"/>
  <c r="V11" i="24" s="1"/>
  <c r="F16" i="8"/>
  <c r="S14" i="16"/>
  <c r="AO11" i="24" s="1"/>
  <c r="P14" i="16"/>
  <c r="AJ11" i="24" s="1"/>
  <c r="D14" i="16"/>
  <c r="I9" i="22"/>
  <c r="B72" i="9"/>
  <c r="I27" i="8"/>
  <c r="J27" i="8" s="1"/>
  <c r="F14" i="8"/>
  <c r="U13" i="6"/>
  <c r="V10" i="24" s="1"/>
  <c r="S12" i="12" l="1"/>
  <c r="S11" i="12"/>
  <c r="R116" i="9"/>
  <c r="C111" i="30"/>
  <c r="E111" i="30" s="1"/>
  <c r="G111" i="30" s="1"/>
  <c r="I37" i="12"/>
  <c r="H37" i="12"/>
  <c r="G15" i="26" s="1"/>
  <c r="H21" i="12"/>
  <c r="Q171" i="18"/>
  <c r="S171" i="18" s="1"/>
  <c r="T171" i="18" s="1"/>
  <c r="Q203" i="18"/>
  <c r="S203" i="18" s="1"/>
  <c r="T203" i="18" s="1"/>
  <c r="U203" i="18" s="1"/>
  <c r="V203" i="18" s="1"/>
  <c r="Q122" i="18"/>
  <c r="S122" i="18" s="1"/>
  <c r="T122" i="18" s="1"/>
  <c r="Q210" i="18"/>
  <c r="S210" i="18" s="1"/>
  <c r="T210" i="18" s="1"/>
  <c r="Q208" i="18"/>
  <c r="S208" i="18" s="1"/>
  <c r="T208" i="18" s="1"/>
  <c r="Q156" i="18"/>
  <c r="S156" i="18" s="1"/>
  <c r="T156" i="18" s="1"/>
  <c r="U156" i="18" s="1"/>
  <c r="V156" i="18" s="1"/>
  <c r="R156" i="18"/>
  <c r="Q148" i="18"/>
  <c r="S148" i="18" s="1"/>
  <c r="T148" i="18" s="1"/>
  <c r="Q193" i="18"/>
  <c r="S193" i="18" s="1"/>
  <c r="T193" i="18" s="1"/>
  <c r="U193" i="18" s="1"/>
  <c r="V193" i="18" s="1"/>
  <c r="Q213" i="18"/>
  <c r="S213" i="18" s="1"/>
  <c r="T213" i="18" s="1"/>
  <c r="Q121" i="18"/>
  <c r="S121" i="18" s="1"/>
  <c r="T121" i="18" s="1"/>
  <c r="U121" i="18" s="1"/>
  <c r="V121" i="18" s="1"/>
  <c r="U132" i="18"/>
  <c r="V132" i="18" s="1"/>
  <c r="R231" i="9"/>
  <c r="Q196" i="18"/>
  <c r="S196" i="18" s="1"/>
  <c r="T196" i="18" s="1"/>
  <c r="Q204" i="18"/>
  <c r="S204" i="18" s="1"/>
  <c r="T204" i="18" s="1"/>
  <c r="U204" i="18" s="1"/>
  <c r="V204" i="18" s="1"/>
  <c r="Q139" i="18"/>
  <c r="S139" i="18" s="1"/>
  <c r="T139" i="18" s="1"/>
  <c r="U139" i="18" s="1"/>
  <c r="V139" i="18" s="1"/>
  <c r="T12" i="12"/>
  <c r="C66" i="30"/>
  <c r="E66" i="30" s="1"/>
  <c r="G66" i="30" s="1"/>
  <c r="V13" i="12"/>
  <c r="M32" i="8"/>
  <c r="C44" i="30" s="1"/>
  <c r="E44" i="30" s="1"/>
  <c r="G44" i="30" s="1"/>
  <c r="L32" i="8"/>
  <c r="M28" i="8"/>
  <c r="C36" i="30" s="1"/>
  <c r="E36" i="30" s="1"/>
  <c r="G36" i="30" s="1"/>
  <c r="L28" i="8"/>
  <c r="Q178" i="18"/>
  <c r="S178" i="18" s="1"/>
  <c r="T178" i="18" s="1"/>
  <c r="U178" i="18" s="1"/>
  <c r="V178" i="18" s="1"/>
  <c r="Q200" i="18"/>
  <c r="S200" i="18" s="1"/>
  <c r="T200" i="18" s="1"/>
  <c r="R200" i="18"/>
  <c r="Q207" i="18"/>
  <c r="S207" i="18" s="1"/>
  <c r="T207" i="18" s="1"/>
  <c r="R199" i="18"/>
  <c r="Q199" i="18"/>
  <c r="S199" i="18" s="1"/>
  <c r="T199" i="18" s="1"/>
  <c r="U199" i="18" s="1"/>
  <c r="V199" i="18" s="1"/>
  <c r="Q201" i="18"/>
  <c r="S201" i="18" s="1"/>
  <c r="T201" i="18" s="1"/>
  <c r="Q127" i="18"/>
  <c r="S127" i="18" s="1"/>
  <c r="T127" i="18" s="1"/>
  <c r="U127" i="18" s="1"/>
  <c r="V127" i="18" s="1"/>
  <c r="R101" i="19"/>
  <c r="R42" i="19"/>
  <c r="Q132" i="18"/>
  <c r="S132" i="18" s="1"/>
  <c r="T132" i="18" s="1"/>
  <c r="Q206" i="18"/>
  <c r="S206" i="18" s="1"/>
  <c r="T206" i="18" s="1"/>
  <c r="U206" i="18" s="1"/>
  <c r="V206" i="18" s="1"/>
  <c r="Q214" i="18"/>
  <c r="S214" i="18" s="1"/>
  <c r="T214" i="18" s="1"/>
  <c r="U214" i="18" s="1"/>
  <c r="V214" i="18" s="1"/>
  <c r="Q131" i="18"/>
  <c r="S131" i="18" s="1"/>
  <c r="T131" i="18" s="1"/>
  <c r="U131" i="18" s="1"/>
  <c r="V131" i="18" s="1"/>
  <c r="Q167" i="18"/>
  <c r="S167" i="18" s="1"/>
  <c r="T167" i="18" s="1"/>
  <c r="U167" i="18" s="1"/>
  <c r="V167" i="18" s="1"/>
  <c r="Q186" i="18"/>
  <c r="S186" i="18" s="1"/>
  <c r="T186" i="18" s="1"/>
  <c r="Q119" i="18"/>
  <c r="S119" i="18" s="1"/>
  <c r="T119" i="18" s="1"/>
  <c r="U11" i="12"/>
  <c r="Q164" i="18"/>
  <c r="S164" i="18" s="1"/>
  <c r="T164" i="18" s="1"/>
  <c r="U12" i="12"/>
  <c r="Q129" i="18"/>
  <c r="S129" i="18" s="1"/>
  <c r="T129" i="18" s="1"/>
  <c r="C93" i="30"/>
  <c r="E93" i="30" s="1"/>
  <c r="G93" i="30" s="1"/>
  <c r="P71" i="15"/>
  <c r="V9" i="12"/>
  <c r="P73" i="29"/>
  <c r="C58" i="30"/>
  <c r="E58" i="30" s="1"/>
  <c r="G58" i="30" s="1"/>
  <c r="P156" i="15"/>
  <c r="V11" i="12"/>
  <c r="M29" i="8"/>
  <c r="C38" i="30" s="1"/>
  <c r="E38" i="30" s="1"/>
  <c r="G38" i="30" s="1"/>
  <c r="L29" i="8"/>
  <c r="M26" i="8"/>
  <c r="C32" i="30" s="1"/>
  <c r="E32" i="30" s="1"/>
  <c r="G32" i="30" s="1"/>
  <c r="L26" i="8"/>
  <c r="Q188" i="18"/>
  <c r="S188" i="18" s="1"/>
  <c r="T188" i="18" s="1"/>
  <c r="U188" i="18" s="1"/>
  <c r="V188" i="18" s="1"/>
  <c r="R128" i="18"/>
  <c r="Q128" i="18"/>
  <c r="S128" i="18" s="1"/>
  <c r="T128" i="18" s="1"/>
  <c r="U171" i="18"/>
  <c r="V171" i="18" s="1"/>
  <c r="U129" i="18"/>
  <c r="V129" i="18" s="1"/>
  <c r="U208" i="18"/>
  <c r="V208" i="18" s="1"/>
  <c r="Q168" i="18"/>
  <c r="S168" i="18" s="1"/>
  <c r="T168" i="18" s="1"/>
  <c r="U168" i="18" s="1"/>
  <c r="V168" i="18" s="1"/>
  <c r="Q187" i="18"/>
  <c r="S187" i="18" s="1"/>
  <c r="T187" i="18" s="1"/>
  <c r="Q137" i="18"/>
  <c r="S137" i="18" s="1"/>
  <c r="T137" i="18" s="1"/>
  <c r="U137" i="18" s="1"/>
  <c r="V137" i="18" s="1"/>
  <c r="Q152" i="18"/>
  <c r="S152" i="18" s="1"/>
  <c r="T152" i="18" s="1"/>
  <c r="U152" i="18" s="1"/>
  <c r="V152" i="18" s="1"/>
  <c r="T8" i="12"/>
  <c r="Q147" i="18"/>
  <c r="S147" i="18" s="1"/>
  <c r="T147" i="18" s="1"/>
  <c r="U147" i="18" s="1"/>
  <c r="V147" i="18" s="1"/>
  <c r="Q202" i="18"/>
  <c r="S202" i="18" s="1"/>
  <c r="T202" i="18" s="1"/>
  <c r="Q135" i="18"/>
  <c r="S135" i="18" s="1"/>
  <c r="T135" i="18" s="1"/>
  <c r="U135" i="18" s="1"/>
  <c r="V135" i="18" s="1"/>
  <c r="R173" i="18"/>
  <c r="Q173" i="18"/>
  <c r="S173" i="18" s="1"/>
  <c r="T173" i="18" s="1"/>
  <c r="U173" i="18" s="1"/>
  <c r="V173" i="18" s="1"/>
  <c r="Q163" i="18"/>
  <c r="S163" i="18" s="1"/>
  <c r="T163" i="18" s="1"/>
  <c r="U163" i="18" s="1"/>
  <c r="V163" i="18" s="1"/>
  <c r="F14" i="16"/>
  <c r="G14" i="16" s="1"/>
  <c r="H14" i="16" s="1"/>
  <c r="E19" i="8"/>
  <c r="T11" i="12"/>
  <c r="M31" i="8"/>
  <c r="C42" i="30" s="1"/>
  <c r="E42" i="30" s="1"/>
  <c r="G42" i="30" s="1"/>
  <c r="L31" i="8"/>
  <c r="Q184" i="18"/>
  <c r="S184" i="18" s="1"/>
  <c r="T184" i="18" s="1"/>
  <c r="U184" i="18" s="1"/>
  <c r="V184" i="18" s="1"/>
  <c r="U202" i="18"/>
  <c r="V202" i="18" s="1"/>
  <c r="Q134" i="18"/>
  <c r="S134" i="18" s="1"/>
  <c r="T134" i="18" s="1"/>
  <c r="U134" i="18" s="1"/>
  <c r="V134" i="18" s="1"/>
  <c r="S14" i="12"/>
  <c r="U14" i="12" s="1"/>
  <c r="Q192" i="18"/>
  <c r="S192" i="18" s="1"/>
  <c r="T192" i="18" s="1"/>
  <c r="Q211" i="18"/>
  <c r="S211" i="18" s="1"/>
  <c r="T211" i="18" s="1"/>
  <c r="U211" i="18" s="1"/>
  <c r="V211" i="18" s="1"/>
  <c r="Q144" i="18"/>
  <c r="S144" i="18" s="1"/>
  <c r="T144" i="18" s="1"/>
  <c r="U144" i="18" s="1"/>
  <c r="V144" i="18" s="1"/>
  <c r="Q143" i="18"/>
  <c r="S143" i="18" s="1"/>
  <c r="T143" i="18" s="1"/>
  <c r="U143" i="18" s="1"/>
  <c r="V143" i="18" s="1"/>
  <c r="Q217" i="18"/>
  <c r="S217" i="18" s="1"/>
  <c r="T217" i="18" s="1"/>
  <c r="Q120" i="18"/>
  <c r="S120" i="18" s="1"/>
  <c r="T120" i="18" s="1"/>
  <c r="U120" i="18" s="1"/>
  <c r="V120" i="18" s="1"/>
  <c r="Q155" i="18"/>
  <c r="S155" i="18" s="1"/>
  <c r="T155" i="18" s="1"/>
  <c r="U155" i="18" s="1"/>
  <c r="V155" i="18" s="1"/>
  <c r="R179" i="18"/>
  <c r="Q179" i="18"/>
  <c r="S179" i="18" s="1"/>
  <c r="T179" i="18" s="1"/>
  <c r="Q189" i="18"/>
  <c r="S189" i="18" s="1"/>
  <c r="T189" i="18" s="1"/>
  <c r="U189" i="18" s="1"/>
  <c r="V189" i="18" s="1"/>
  <c r="F13" i="16"/>
  <c r="Q6" i="17"/>
  <c r="M27" i="8"/>
  <c r="C34" i="30" s="1"/>
  <c r="E34" i="30" s="1"/>
  <c r="G34" i="30" s="1"/>
  <c r="L27" i="8"/>
  <c r="C39" i="30"/>
  <c r="E39" i="30" s="1"/>
  <c r="G39" i="30" s="1"/>
  <c r="D40" i="8"/>
  <c r="M25" i="8"/>
  <c r="C30" i="30" s="1"/>
  <c r="E30" i="30" s="1"/>
  <c r="G30" i="30" s="1"/>
  <c r="L25" i="8"/>
  <c r="U9" i="12"/>
  <c r="U201" i="18"/>
  <c r="V201" i="18" s="1"/>
  <c r="U217" i="18"/>
  <c r="V217" i="18" s="1"/>
  <c r="U186" i="18"/>
  <c r="V186" i="18" s="1"/>
  <c r="U13" i="12"/>
  <c r="Q174" i="18"/>
  <c r="S174" i="18" s="1"/>
  <c r="T174" i="18" s="1"/>
  <c r="U174" i="18" s="1"/>
  <c r="V174" i="18" s="1"/>
  <c r="U210" i="18"/>
  <c r="V210" i="18" s="1"/>
  <c r="Q154" i="18"/>
  <c r="S154" i="18" s="1"/>
  <c r="T154" i="18" s="1"/>
  <c r="U154" i="18" s="1"/>
  <c r="V154" i="18" s="1"/>
  <c r="Q149" i="18"/>
  <c r="S149" i="18" s="1"/>
  <c r="T149" i="18" s="1"/>
  <c r="U149" i="18" s="1"/>
  <c r="V149" i="18" s="1"/>
  <c r="U122" i="18"/>
  <c r="V122" i="18" s="1"/>
  <c r="U148" i="18"/>
  <c r="V148" i="18" s="1"/>
  <c r="F16" i="16"/>
  <c r="G16" i="16" s="1"/>
  <c r="H16" i="16" s="1"/>
  <c r="C53" i="30"/>
  <c r="E53" i="30" s="1"/>
  <c r="G53" i="30" s="1"/>
  <c r="I33" i="12"/>
  <c r="H33" i="12"/>
  <c r="G11" i="26" s="1"/>
  <c r="S8" i="12"/>
  <c r="Q205" i="18"/>
  <c r="S205" i="18" s="1"/>
  <c r="T205" i="18" s="1"/>
  <c r="U205" i="18" s="1"/>
  <c r="V205" i="18" s="1"/>
  <c r="Q209" i="18"/>
  <c r="S209" i="18" s="1"/>
  <c r="T209" i="18" s="1"/>
  <c r="U209" i="18" s="1"/>
  <c r="V209" i="18" s="1"/>
  <c r="T9" i="12"/>
  <c r="P181" i="29"/>
  <c r="C116" i="30"/>
  <c r="E116" i="30" s="1"/>
  <c r="G116" i="30" s="1"/>
  <c r="V15" i="12"/>
  <c r="Q177" i="18"/>
  <c r="S177" i="18" s="1"/>
  <c r="T177" i="18" s="1"/>
  <c r="U177" i="18" s="1"/>
  <c r="V177" i="18" s="1"/>
  <c r="U213" i="18"/>
  <c r="V213" i="18" s="1"/>
  <c r="Q118" i="18"/>
  <c r="S118" i="18" s="1"/>
  <c r="T118" i="18" s="1"/>
  <c r="Q151" i="18"/>
  <c r="S151" i="18" s="1"/>
  <c r="T151" i="18" s="1"/>
  <c r="U151" i="18" s="1"/>
  <c r="V151" i="18" s="1"/>
  <c r="R158" i="18"/>
  <c r="Q158" i="18"/>
  <c r="S158" i="18" s="1"/>
  <c r="T158" i="18" s="1"/>
  <c r="Q183" i="18"/>
  <c r="S183" i="18" s="1"/>
  <c r="T183" i="18" s="1"/>
  <c r="U183" i="18" s="1"/>
  <c r="V183" i="18" s="1"/>
  <c r="U207" i="18"/>
  <c r="V207" i="18" s="1"/>
  <c r="Q141" i="18"/>
  <c r="S141" i="18" s="1"/>
  <c r="T141" i="18" s="1"/>
  <c r="U141" i="18" s="1"/>
  <c r="V141" i="18" s="1"/>
  <c r="Q160" i="18"/>
  <c r="S160" i="18" s="1"/>
  <c r="T160" i="18" s="1"/>
  <c r="R160" i="18"/>
  <c r="U158" i="18"/>
  <c r="V158" i="18" s="1"/>
  <c r="Q146" i="18"/>
  <c r="S146" i="18" s="1"/>
  <c r="T146" i="18" s="1"/>
  <c r="U146" i="18" s="1"/>
  <c r="V146" i="18" s="1"/>
  <c r="Q125" i="18"/>
  <c r="S125" i="18" s="1"/>
  <c r="T125" i="18" s="1"/>
  <c r="U125" i="18" s="1"/>
  <c r="V125" i="18" s="1"/>
  <c r="R138" i="18"/>
  <c r="Q138" i="18"/>
  <c r="S138" i="18" s="1"/>
  <c r="T138" i="18" s="1"/>
  <c r="U138" i="18" s="1"/>
  <c r="V138" i="18" s="1"/>
  <c r="Q165" i="18"/>
  <c r="S165" i="18" s="1"/>
  <c r="T165" i="18" s="1"/>
  <c r="U165" i="18" s="1"/>
  <c r="V165" i="18" s="1"/>
  <c r="T15" i="12"/>
  <c r="L34" i="8"/>
  <c r="M34" i="8"/>
  <c r="C48" i="30" s="1"/>
  <c r="E48" i="30" s="1"/>
  <c r="G48" i="30" s="1"/>
  <c r="C62" i="30"/>
  <c r="E62" i="30" s="1"/>
  <c r="G62" i="30" s="1"/>
  <c r="V12" i="12"/>
  <c r="M23" i="8"/>
  <c r="C26" i="30" s="1"/>
  <c r="E26" i="30" s="1"/>
  <c r="G26" i="30" s="1"/>
  <c r="L23" i="8"/>
  <c r="Q212" i="18"/>
  <c r="S212" i="18" s="1"/>
  <c r="T212" i="18" s="1"/>
  <c r="U212" i="18" s="1"/>
  <c r="V212" i="18" s="1"/>
  <c r="R212" i="18"/>
  <c r="Q181" i="18"/>
  <c r="S181" i="18" s="1"/>
  <c r="T181" i="18" s="1"/>
  <c r="U181" i="18" s="1"/>
  <c r="V181" i="18" s="1"/>
  <c r="Q185" i="18"/>
  <c r="S185" i="18" s="1"/>
  <c r="T185" i="18" s="1"/>
  <c r="U185" i="18" s="1"/>
  <c r="V185" i="18" s="1"/>
  <c r="Q142" i="18"/>
  <c r="S142" i="18" s="1"/>
  <c r="T142" i="18" s="1"/>
  <c r="U142" i="18" s="1"/>
  <c r="V142" i="18" s="1"/>
  <c r="Q190" i="18"/>
  <c r="S190" i="18" s="1"/>
  <c r="T190" i="18" s="1"/>
  <c r="U190" i="18" s="1"/>
  <c r="V190" i="18" s="1"/>
  <c r="Q180" i="18"/>
  <c r="S180" i="18" s="1"/>
  <c r="T180" i="18" s="1"/>
  <c r="U180" i="18" s="1"/>
  <c r="V180" i="18" s="1"/>
  <c r="R180" i="18"/>
  <c r="Q197" i="18"/>
  <c r="S197" i="18" s="1"/>
  <c r="T197" i="18" s="1"/>
  <c r="U197" i="18" s="1"/>
  <c r="V197" i="18" s="1"/>
  <c r="Q175" i="18"/>
  <c r="S175" i="18" s="1"/>
  <c r="T175" i="18" s="1"/>
  <c r="U175" i="18" s="1"/>
  <c r="V175" i="18" s="1"/>
  <c r="U192" i="18"/>
  <c r="V192" i="18" s="1"/>
  <c r="R161" i="5"/>
  <c r="R132" i="5"/>
  <c r="R124" i="5"/>
  <c r="R116" i="5"/>
  <c r="R108" i="5"/>
  <c r="R90" i="5"/>
  <c r="R86" i="5"/>
  <c r="R82" i="5"/>
  <c r="R78" i="5"/>
  <c r="R129" i="5"/>
  <c r="R160" i="5"/>
  <c r="R126" i="5"/>
  <c r="R118" i="5"/>
  <c r="R110" i="5"/>
  <c r="R89" i="5"/>
  <c r="R85" i="5"/>
  <c r="R81" i="5"/>
  <c r="R77" i="5"/>
  <c r="R179" i="5"/>
  <c r="R162" i="5"/>
  <c r="R112" i="5"/>
  <c r="R80" i="5"/>
  <c r="Q169" i="5"/>
  <c r="R131" i="5"/>
  <c r="R127" i="5"/>
  <c r="R119" i="5"/>
  <c r="R115" i="5"/>
  <c r="R122" i="5"/>
  <c r="R84" i="5"/>
  <c r="R79" i="5"/>
  <c r="R163" i="5"/>
  <c r="R120" i="5"/>
  <c r="R87" i="5"/>
  <c r="R111" i="5"/>
  <c r="R130" i="5"/>
  <c r="R125" i="5"/>
  <c r="R121" i="5"/>
  <c r="R114" i="5"/>
  <c r="R88" i="5"/>
  <c r="R83" i="5"/>
  <c r="R128" i="5"/>
  <c r="R113" i="5"/>
  <c r="R76" i="5"/>
  <c r="R117" i="5"/>
  <c r="R123" i="5"/>
  <c r="R109" i="5"/>
  <c r="S123" i="5"/>
  <c r="S120" i="5"/>
  <c r="S116" i="5"/>
  <c r="S126" i="5"/>
  <c r="S115" i="5"/>
  <c r="S112" i="5"/>
  <c r="S121" i="5"/>
  <c r="S110" i="5"/>
  <c r="S129" i="5"/>
  <c r="S122" i="5"/>
  <c r="S108" i="5"/>
  <c r="S117" i="5"/>
  <c r="P179" i="5"/>
  <c r="S130" i="5"/>
  <c r="S113" i="5"/>
  <c r="S132" i="5"/>
  <c r="S125" i="5"/>
  <c r="S124" i="5"/>
  <c r="S118" i="5"/>
  <c r="S114" i="5"/>
  <c r="S119" i="5"/>
  <c r="S111" i="5"/>
  <c r="S131" i="5"/>
  <c r="S109" i="5"/>
  <c r="S128" i="5"/>
  <c r="S127" i="5"/>
  <c r="Q126" i="18"/>
  <c r="S126" i="18" s="1"/>
  <c r="T126" i="18" s="1"/>
  <c r="U126" i="18" s="1"/>
  <c r="V126" i="18" s="1"/>
  <c r="Q150" i="18"/>
  <c r="S150" i="18" s="1"/>
  <c r="T150" i="18" s="1"/>
  <c r="U150" i="18" s="1"/>
  <c r="V150" i="18" s="1"/>
  <c r="Q153" i="18"/>
  <c r="S153" i="18" s="1"/>
  <c r="T153" i="18" s="1"/>
  <c r="U153" i="18" s="1"/>
  <c r="V153" i="18" s="1"/>
  <c r="Q124" i="18"/>
  <c r="S124" i="18" s="1"/>
  <c r="T124" i="18" s="1"/>
  <c r="U128" i="18"/>
  <c r="V128" i="18" s="1"/>
  <c r="R116" i="23"/>
  <c r="Q195" i="18"/>
  <c r="S195" i="18" s="1"/>
  <c r="T195" i="18" s="1"/>
  <c r="U195" i="18" s="1"/>
  <c r="V195" i="18" s="1"/>
  <c r="Q182" i="18"/>
  <c r="S182" i="18" s="1"/>
  <c r="T182" i="18" s="1"/>
  <c r="U182" i="18" s="1"/>
  <c r="V182" i="18" s="1"/>
  <c r="Q216" i="18"/>
  <c r="S216" i="18" s="1"/>
  <c r="T216" i="18" s="1"/>
  <c r="U216" i="18" s="1"/>
  <c r="V216" i="18" s="1"/>
  <c r="R216" i="18"/>
  <c r="R152" i="5"/>
  <c r="R144" i="5"/>
  <c r="R136" i="5"/>
  <c r="R165" i="5"/>
  <c r="R157" i="5"/>
  <c r="R149" i="5"/>
  <c r="R141" i="5"/>
  <c r="R103" i="5"/>
  <c r="R99" i="5"/>
  <c r="R95" i="5"/>
  <c r="R181" i="5"/>
  <c r="R154" i="5"/>
  <c r="R146" i="5"/>
  <c r="R138" i="5"/>
  <c r="R164" i="5"/>
  <c r="R151" i="5"/>
  <c r="R143" i="5"/>
  <c r="R135" i="5"/>
  <c r="R106" i="5"/>
  <c r="R102" i="5"/>
  <c r="R98" i="5"/>
  <c r="R94" i="5"/>
  <c r="R155" i="5"/>
  <c r="R139" i="5"/>
  <c r="R97" i="5"/>
  <c r="R92" i="5"/>
  <c r="R148" i="5"/>
  <c r="R167" i="5"/>
  <c r="R153" i="5"/>
  <c r="R137" i="5"/>
  <c r="R101" i="5"/>
  <c r="R96" i="5"/>
  <c r="R158" i="5"/>
  <c r="R142" i="5"/>
  <c r="R166" i="5"/>
  <c r="R147" i="5"/>
  <c r="R105" i="5"/>
  <c r="R100" i="5"/>
  <c r="R145" i="5"/>
  <c r="R104" i="5"/>
  <c r="R93" i="5"/>
  <c r="R156" i="5"/>
  <c r="R140" i="5"/>
  <c r="R150" i="5"/>
  <c r="R134" i="5"/>
  <c r="S138" i="5"/>
  <c r="S135" i="5"/>
  <c r="S137" i="5"/>
  <c r="S152" i="5"/>
  <c r="S157" i="5"/>
  <c r="S147" i="5"/>
  <c r="S150" i="5"/>
  <c r="S148" i="5"/>
  <c r="S136" i="5"/>
  <c r="S141" i="5"/>
  <c r="S158" i="5"/>
  <c r="S134" i="5"/>
  <c r="P181" i="5"/>
  <c r="S149" i="5"/>
  <c r="S156" i="5"/>
  <c r="S144" i="5"/>
  <c r="S142" i="5"/>
  <c r="S154" i="5"/>
  <c r="S151" i="5"/>
  <c r="S140" i="5"/>
  <c r="S145" i="5"/>
  <c r="S155" i="5"/>
  <c r="S146" i="5"/>
  <c r="S143" i="5"/>
  <c r="S153" i="5"/>
  <c r="S139" i="5"/>
  <c r="R157" i="18"/>
  <c r="Q157" i="18"/>
  <c r="S157" i="18" s="1"/>
  <c r="T157" i="18" s="1"/>
  <c r="U157" i="18" s="1"/>
  <c r="V157" i="18" s="1"/>
  <c r="Q159" i="18"/>
  <c r="S159" i="18" s="1"/>
  <c r="T159" i="18" s="1"/>
  <c r="U159" i="18" s="1"/>
  <c r="V159" i="18" s="1"/>
  <c r="Q172" i="18"/>
  <c r="S172" i="18" s="1"/>
  <c r="T172" i="18" s="1"/>
  <c r="U172" i="18" s="1"/>
  <c r="V172" i="18" s="1"/>
  <c r="Q215" i="18"/>
  <c r="S215" i="18" s="1"/>
  <c r="T215" i="18" s="1"/>
  <c r="U215" i="18" s="1"/>
  <c r="V215" i="18" s="1"/>
  <c r="R215" i="18"/>
  <c r="Q136" i="18"/>
  <c r="S136" i="18" s="1"/>
  <c r="T136" i="18" s="1"/>
  <c r="U136" i="18" s="1"/>
  <c r="V136" i="18" s="1"/>
  <c r="Q140" i="18"/>
  <c r="S140" i="18" s="1"/>
  <c r="T140" i="18" s="1"/>
  <c r="U140" i="18" s="1"/>
  <c r="V140" i="18" s="1"/>
  <c r="F15" i="16"/>
  <c r="M24" i="8"/>
  <c r="C28" i="30" s="1"/>
  <c r="E28" i="30" s="1"/>
  <c r="G28" i="30" s="1"/>
  <c r="L24" i="8"/>
  <c r="S10" i="12"/>
  <c r="Q176" i="18"/>
  <c r="S176" i="18" s="1"/>
  <c r="T176" i="18" s="1"/>
  <c r="U187" i="18"/>
  <c r="V187" i="18" s="1"/>
  <c r="T13" i="12"/>
  <c r="Q194" i="18"/>
  <c r="S194" i="18" s="1"/>
  <c r="T194" i="18" s="1"/>
  <c r="U194" i="18" s="1"/>
  <c r="V194" i="18" s="1"/>
  <c r="R78" i="19"/>
  <c r="U176" i="18"/>
  <c r="V176" i="18" s="1"/>
  <c r="Q191" i="18"/>
  <c r="S191" i="18" s="1"/>
  <c r="T191" i="18" s="1"/>
  <c r="U191" i="18" s="1"/>
  <c r="V191" i="18" s="1"/>
  <c r="Q130" i="18"/>
  <c r="S130" i="18" s="1"/>
  <c r="T130" i="18" s="1"/>
  <c r="U130" i="18" s="1"/>
  <c r="V130" i="18" s="1"/>
  <c r="Q145" i="18"/>
  <c r="S145" i="18" s="1"/>
  <c r="T145" i="18" s="1"/>
  <c r="U145" i="18" s="1"/>
  <c r="V145" i="18" s="1"/>
  <c r="Q169" i="18"/>
  <c r="S169" i="18" s="1"/>
  <c r="T169" i="18" s="1"/>
  <c r="U169" i="18" s="1"/>
  <c r="V169" i="18" s="1"/>
  <c r="U179" i="18"/>
  <c r="V179" i="18" s="1"/>
  <c r="Q198" i="18"/>
  <c r="S198" i="18" s="1"/>
  <c r="T198" i="18" s="1"/>
  <c r="U198" i="18" s="1"/>
  <c r="V198" i="18" s="1"/>
  <c r="U160" i="18"/>
  <c r="V160" i="18" s="1"/>
  <c r="U164" i="18"/>
  <c r="V164" i="18" s="1"/>
  <c r="Q162" i="18"/>
  <c r="S162" i="18" s="1"/>
  <c r="T162" i="18" s="1"/>
  <c r="U162" i="18" s="1"/>
  <c r="V162" i="18" s="1"/>
  <c r="U196" i="18"/>
  <c r="V196" i="18" s="1"/>
  <c r="U8" i="12"/>
  <c r="U118" i="18"/>
  <c r="Q161" i="18"/>
  <c r="S161" i="18" s="1"/>
  <c r="T161" i="18" s="1"/>
  <c r="U161" i="18" s="1"/>
  <c r="V161" i="18" s="1"/>
  <c r="Q166" i="18"/>
  <c r="S166" i="18" s="1"/>
  <c r="T166" i="18" s="1"/>
  <c r="U166" i="18" s="1"/>
  <c r="V166" i="18" s="1"/>
  <c r="Q133" i="18"/>
  <c r="S133" i="18" s="1"/>
  <c r="T133" i="18" s="1"/>
  <c r="U133" i="18" s="1"/>
  <c r="V133" i="18" s="1"/>
  <c r="R123" i="18"/>
  <c r="Q123" i="18"/>
  <c r="S123" i="18" s="1"/>
  <c r="T123" i="18" s="1"/>
  <c r="U123" i="18" s="1"/>
  <c r="V123" i="18" s="1"/>
  <c r="U119" i="18"/>
  <c r="V119" i="18" s="1"/>
  <c r="U200" i="18"/>
  <c r="V200" i="18" s="1"/>
  <c r="U124" i="18"/>
  <c r="V124" i="18" s="1"/>
  <c r="Q170" i="18"/>
  <c r="S170" i="18" s="1"/>
  <c r="T170" i="18" s="1"/>
  <c r="U170" i="18" s="1"/>
  <c r="V170" i="18" s="1"/>
  <c r="M33" i="8"/>
  <c r="C46" i="30" s="1"/>
  <c r="E46" i="30" s="1"/>
  <c r="G46" i="30" s="1"/>
  <c r="L33" i="8"/>
  <c r="R120" i="18" l="1"/>
  <c r="R197" i="18"/>
  <c r="R184" i="18"/>
  <c r="R206" i="18"/>
  <c r="R195" i="18"/>
  <c r="R194" i="18"/>
  <c r="R187" i="18"/>
  <c r="R202" i="18"/>
  <c r="R213" i="18"/>
  <c r="R122" i="18"/>
  <c r="R185" i="18"/>
  <c r="R183" i="18"/>
  <c r="R149" i="18"/>
  <c r="R155" i="18"/>
  <c r="R178" i="18"/>
  <c r="R176" i="18"/>
  <c r="R124" i="18"/>
  <c r="R211" i="18"/>
  <c r="R139" i="18"/>
  <c r="R208" i="18"/>
  <c r="R186" i="18"/>
  <c r="R151" i="18"/>
  <c r="R217" i="18"/>
  <c r="R137" i="18"/>
  <c r="R207" i="18"/>
  <c r="R204" i="18"/>
  <c r="R193" i="18"/>
  <c r="R150" i="18"/>
  <c r="R209" i="18"/>
  <c r="R174" i="18"/>
  <c r="R172" i="18"/>
  <c r="R144" i="18"/>
  <c r="R127" i="18"/>
  <c r="R203" i="18"/>
  <c r="AT10" i="24"/>
  <c r="P55" i="17"/>
  <c r="I13" i="16"/>
  <c r="AP10" i="24" s="1"/>
  <c r="Q51" i="17"/>
  <c r="C35" i="30"/>
  <c r="E35" i="30" s="1"/>
  <c r="G35" i="30" s="1"/>
  <c r="E39" i="8"/>
  <c r="E10" i="22" s="1"/>
  <c r="R170" i="18"/>
  <c r="R133" i="18"/>
  <c r="R191" i="18"/>
  <c r="R140" i="18"/>
  <c r="Q194" i="5"/>
  <c r="Q193" i="5"/>
  <c r="R176" i="5"/>
  <c r="R170" i="5"/>
  <c r="R173" i="5"/>
  <c r="R190" i="18"/>
  <c r="R141" i="18"/>
  <c r="R205" i="18"/>
  <c r="R154" i="18"/>
  <c r="R163" i="18"/>
  <c r="R129" i="18"/>
  <c r="R119" i="18"/>
  <c r="R167" i="18"/>
  <c r="R121" i="18"/>
  <c r="R148" i="18"/>
  <c r="R210" i="18"/>
  <c r="C37" i="30"/>
  <c r="E37" i="30" s="1"/>
  <c r="G37" i="30" s="1"/>
  <c r="C40" i="8"/>
  <c r="C54" i="30"/>
  <c r="E54" i="30" s="1"/>
  <c r="G54" i="30" s="1"/>
  <c r="P71" i="29"/>
  <c r="P154" i="15"/>
  <c r="V10" i="12"/>
  <c r="C25" i="30"/>
  <c r="E25" i="30" s="1"/>
  <c r="G25" i="30" s="1"/>
  <c r="C38" i="8"/>
  <c r="P108" i="23"/>
  <c r="D11" i="22"/>
  <c r="P108" i="9"/>
  <c r="C41" i="30"/>
  <c r="E41" i="30" s="1"/>
  <c r="G41" i="30" s="1"/>
  <c r="E40" i="8"/>
  <c r="R188" i="18"/>
  <c r="C56" i="30"/>
  <c r="E56" i="30" s="1"/>
  <c r="G56" i="30" s="1"/>
  <c r="H27" i="12"/>
  <c r="F19" i="14"/>
  <c r="G27" i="12"/>
  <c r="C43" i="30"/>
  <c r="E43" i="30" s="1"/>
  <c r="G43" i="30" s="1"/>
  <c r="C41" i="8"/>
  <c r="C12" i="22" s="1"/>
  <c r="C61" i="30"/>
  <c r="E61" i="30" s="1"/>
  <c r="G61" i="30" s="1"/>
  <c r="I35" i="12"/>
  <c r="H35" i="12"/>
  <c r="G13" i="26" s="1"/>
  <c r="R182" i="18"/>
  <c r="R153" i="18"/>
  <c r="R175" i="18"/>
  <c r="R142" i="18"/>
  <c r="R146" i="18"/>
  <c r="C92" i="30"/>
  <c r="E92" i="30" s="1"/>
  <c r="G92" i="30" s="1"/>
  <c r="I32" i="12"/>
  <c r="H32" i="12"/>
  <c r="G10" i="26" s="1"/>
  <c r="H20" i="12"/>
  <c r="C89" i="30"/>
  <c r="E89" i="30" s="1"/>
  <c r="G89" i="30" s="1"/>
  <c r="P69" i="15"/>
  <c r="V8" i="12"/>
  <c r="U10" i="12"/>
  <c r="R131" i="18"/>
  <c r="R132" i="18"/>
  <c r="R201" i="18"/>
  <c r="R196" i="18"/>
  <c r="R171" i="18"/>
  <c r="C29" i="30"/>
  <c r="E29" i="30" s="1"/>
  <c r="G29" i="30" s="1"/>
  <c r="E38" i="8"/>
  <c r="C115" i="30"/>
  <c r="E115" i="30" s="1"/>
  <c r="G115" i="30" s="1"/>
  <c r="I38" i="12"/>
  <c r="H38" i="12"/>
  <c r="G16" i="26" s="1"/>
  <c r="H22" i="12"/>
  <c r="R162" i="18"/>
  <c r="R169" i="18"/>
  <c r="C27" i="30"/>
  <c r="E27" i="30" s="1"/>
  <c r="G27" i="30" s="1"/>
  <c r="D38" i="8"/>
  <c r="R166" i="18"/>
  <c r="R145" i="18"/>
  <c r="C60" i="30"/>
  <c r="E60" i="30" s="1"/>
  <c r="G60" i="30" s="1"/>
  <c r="J26" i="12"/>
  <c r="F20" i="14"/>
  <c r="I26" i="12"/>
  <c r="R165" i="18"/>
  <c r="R118" i="18"/>
  <c r="C33" i="30"/>
  <c r="E33" i="30" s="1"/>
  <c r="G33" i="30" s="1"/>
  <c r="D39" i="8"/>
  <c r="D10" i="22" s="1"/>
  <c r="R189" i="18"/>
  <c r="R134" i="18"/>
  <c r="C57" i="30"/>
  <c r="E57" i="30" s="1"/>
  <c r="G57" i="30" s="1"/>
  <c r="I34" i="12"/>
  <c r="H34" i="12"/>
  <c r="G12" i="26" s="1"/>
  <c r="R147" i="18"/>
  <c r="R164" i="18"/>
  <c r="R214" i="18"/>
  <c r="C64" i="30"/>
  <c r="E64" i="30" s="1"/>
  <c r="G64" i="30" s="1"/>
  <c r="F21" i="14"/>
  <c r="J27" i="12"/>
  <c r="I27" i="12"/>
  <c r="AT12" i="24"/>
  <c r="I15" i="16"/>
  <c r="AP12" i="24" s="1"/>
  <c r="H11" i="26"/>
  <c r="L33" i="12"/>
  <c r="K11" i="26" s="1"/>
  <c r="J33" i="12"/>
  <c r="I11" i="26" s="1"/>
  <c r="K33" i="12"/>
  <c r="J11" i="26" s="1"/>
  <c r="R192" i="18"/>
  <c r="C24" i="30"/>
  <c r="E24" i="30" s="1"/>
  <c r="G24" i="30" s="1"/>
  <c r="F19" i="8"/>
  <c r="B29" i="9"/>
  <c r="C114" i="30"/>
  <c r="E114" i="30" s="1"/>
  <c r="G114" i="30" s="1"/>
  <c r="F23" i="14"/>
  <c r="G22" i="12"/>
  <c r="C45" i="30"/>
  <c r="E45" i="30" s="1"/>
  <c r="G45" i="30" s="1"/>
  <c r="D41" i="8"/>
  <c r="D12" i="22" s="1"/>
  <c r="R161" i="18"/>
  <c r="C65" i="30"/>
  <c r="E65" i="30" s="1"/>
  <c r="G65" i="30" s="1"/>
  <c r="I36" i="12"/>
  <c r="H36" i="12"/>
  <c r="G14" i="26" s="1"/>
  <c r="G15" i="16"/>
  <c r="H15" i="16" s="1"/>
  <c r="R159" i="18"/>
  <c r="Q9" i="17"/>
  <c r="Q58" i="17"/>
  <c r="Q15" i="17"/>
  <c r="Q14" i="17"/>
  <c r="Q19" i="17"/>
  <c r="C88" i="30"/>
  <c r="E88" i="30" s="1"/>
  <c r="G88" i="30" s="1"/>
  <c r="B71" i="13"/>
  <c r="I31" i="12"/>
  <c r="H19" i="12"/>
  <c r="H31" i="12"/>
  <c r="G9" i="26" s="1"/>
  <c r="C31" i="30"/>
  <c r="E31" i="30" s="1"/>
  <c r="G31" i="30" s="1"/>
  <c r="C39" i="8"/>
  <c r="C10" i="22" s="1"/>
  <c r="C91" i="30"/>
  <c r="E91" i="30" s="1"/>
  <c r="G91" i="30" s="1"/>
  <c r="F17" i="14"/>
  <c r="G20" i="12"/>
  <c r="H15" i="26"/>
  <c r="K37" i="12"/>
  <c r="J15" i="26" s="1"/>
  <c r="J37" i="12"/>
  <c r="I15" i="26" s="1"/>
  <c r="L37" i="12"/>
  <c r="K15" i="26" s="1"/>
  <c r="V118" i="18"/>
  <c r="F7" i="18"/>
  <c r="R198" i="18"/>
  <c r="R130" i="18"/>
  <c r="R136" i="18"/>
  <c r="R126" i="18"/>
  <c r="R181" i="18"/>
  <c r="C47" i="30"/>
  <c r="E47" i="30" s="1"/>
  <c r="G47" i="30" s="1"/>
  <c r="E41" i="8"/>
  <c r="E12" i="22" s="1"/>
  <c r="R125" i="18"/>
  <c r="R177" i="18"/>
  <c r="AT13" i="24"/>
  <c r="I16" i="16"/>
  <c r="AP13" i="24" s="1"/>
  <c r="G13" i="16"/>
  <c r="H13" i="16" s="1"/>
  <c r="R143" i="18"/>
  <c r="C112" i="30"/>
  <c r="E112" i="30" s="1"/>
  <c r="G112" i="30" s="1"/>
  <c r="P179" i="29"/>
  <c r="V14" i="12"/>
  <c r="AT11" i="24"/>
  <c r="I14" i="16"/>
  <c r="AP11" i="24" s="1"/>
  <c r="R135" i="18"/>
  <c r="R152" i="18"/>
  <c r="R168" i="18"/>
  <c r="C110" i="30" l="1"/>
  <c r="E110" i="30" s="1"/>
  <c r="G110" i="30" s="1"/>
  <c r="F22" i="14"/>
  <c r="G21" i="12"/>
  <c r="Q10" i="14"/>
  <c r="R10" i="14" s="1"/>
  <c r="H14" i="26"/>
  <c r="J36" i="12"/>
  <c r="I14" i="26" s="1"/>
  <c r="L36" i="12"/>
  <c r="K14" i="26" s="1"/>
  <c r="K36" i="12"/>
  <c r="J14" i="26" s="1"/>
  <c r="H9" i="26"/>
  <c r="L31" i="12"/>
  <c r="K9" i="26" s="1"/>
  <c r="J31" i="12"/>
  <c r="I9" i="26" s="1"/>
  <c r="K31" i="12"/>
  <c r="J9" i="26" s="1"/>
  <c r="J22" i="12"/>
  <c r="I22" i="12"/>
  <c r="H10" i="26"/>
  <c r="K32" i="12"/>
  <c r="J10" i="26" s="1"/>
  <c r="L32" i="12"/>
  <c r="K10" i="26" s="1"/>
  <c r="J32" i="12"/>
  <c r="I10" i="26" s="1"/>
  <c r="H13" i="26"/>
  <c r="L35" i="12"/>
  <c r="K13" i="26" s="1"/>
  <c r="K35" i="12"/>
  <c r="J13" i="26" s="1"/>
  <c r="J35" i="12"/>
  <c r="I13" i="26" s="1"/>
  <c r="C81" i="30"/>
  <c r="E81" i="30" s="1"/>
  <c r="G81" i="30" s="1"/>
  <c r="G17" i="28"/>
  <c r="K27" i="12"/>
  <c r="I17" i="28" s="1"/>
  <c r="C52" i="30"/>
  <c r="E52" i="30" s="1"/>
  <c r="G52" i="30" s="1"/>
  <c r="F18" i="14"/>
  <c r="Q8" i="14"/>
  <c r="R8" i="14" s="1"/>
  <c r="H26" i="12"/>
  <c r="G26" i="12"/>
  <c r="I20" i="12"/>
  <c r="J20" i="12"/>
  <c r="H16" i="26"/>
  <c r="L38" i="12"/>
  <c r="K38" i="12"/>
  <c r="J16" i="26" s="1"/>
  <c r="J38" i="12"/>
  <c r="I16" i="26" s="1"/>
  <c r="P113" i="23"/>
  <c r="E11" i="22"/>
  <c r="P113" i="9"/>
  <c r="D9" i="22"/>
  <c r="P223" i="9"/>
  <c r="E9" i="22"/>
  <c r="P228" i="9"/>
  <c r="C87" i="30"/>
  <c r="E87" i="30" s="1"/>
  <c r="G87" i="30" s="1"/>
  <c r="F16" i="14"/>
  <c r="Q9" i="14"/>
  <c r="R9" i="14" s="1"/>
  <c r="G19" i="12"/>
  <c r="C160" i="30"/>
  <c r="E160" i="30" s="1"/>
  <c r="G160" i="30" s="1"/>
  <c r="R96" i="19"/>
  <c r="R93" i="19"/>
  <c r="F12" i="18"/>
  <c r="G192" i="30" s="1"/>
  <c r="F10" i="18"/>
  <c r="F8" i="18"/>
  <c r="P98" i="19" s="1"/>
  <c r="E17" i="28"/>
  <c r="C80" i="30"/>
  <c r="E80" i="30" s="1"/>
  <c r="G80" i="30" s="1"/>
  <c r="C17" i="28"/>
  <c r="D28" i="14"/>
  <c r="P103" i="23"/>
  <c r="C11" i="22"/>
  <c r="P103" i="9"/>
  <c r="R198" i="5"/>
  <c r="R196" i="5"/>
  <c r="R195" i="5"/>
  <c r="Q53" i="17"/>
  <c r="Q55" i="17"/>
  <c r="C82" i="30"/>
  <c r="E82" i="30" s="1"/>
  <c r="G82" i="30" s="1"/>
  <c r="H17" i="28"/>
  <c r="H12" i="26"/>
  <c r="K34" i="12"/>
  <c r="J12" i="26" s="1"/>
  <c r="L34" i="12"/>
  <c r="K12" i="26" s="1"/>
  <c r="J34" i="12"/>
  <c r="I12" i="26" s="1"/>
  <c r="R11" i="29"/>
  <c r="R18" i="29"/>
  <c r="C78" i="30"/>
  <c r="E78" i="30" s="1"/>
  <c r="G78" i="30" s="1"/>
  <c r="R30" i="29"/>
  <c r="H16" i="28"/>
  <c r="P30" i="29"/>
  <c r="R30" i="13"/>
  <c r="P30" i="13"/>
  <c r="R11" i="13"/>
  <c r="R18" i="13"/>
  <c r="R200" i="5"/>
  <c r="R205" i="5"/>
  <c r="R203" i="5"/>
  <c r="R201" i="5"/>
  <c r="C83" i="30"/>
  <c r="E83" i="30" s="1"/>
  <c r="G83" i="30" s="1"/>
  <c r="F17" i="28"/>
  <c r="D17" i="28"/>
  <c r="C9" i="22"/>
  <c r="P218" i="9"/>
  <c r="R32" i="29"/>
  <c r="C79" i="30"/>
  <c r="E79" i="30" s="1"/>
  <c r="G79" i="30" s="1"/>
  <c r="R12" i="29"/>
  <c r="D16" i="28"/>
  <c r="R19" i="29"/>
  <c r="F16" i="28"/>
  <c r="P32" i="29"/>
  <c r="R19" i="13"/>
  <c r="R32" i="13"/>
  <c r="P32" i="13"/>
  <c r="R12" i="13"/>
  <c r="C77" i="30" l="1"/>
  <c r="E77" i="30" s="1"/>
  <c r="G77" i="30" s="1"/>
  <c r="P28" i="29"/>
  <c r="R17" i="29"/>
  <c r="R10" i="29"/>
  <c r="G16" i="28"/>
  <c r="R28" i="29"/>
  <c r="R28" i="13"/>
  <c r="R17" i="13"/>
  <c r="R10" i="13"/>
  <c r="P28" i="13"/>
  <c r="K26" i="12"/>
  <c r="I16" i="28" s="1"/>
  <c r="C49" i="30"/>
  <c r="E49" i="30" s="1"/>
  <c r="G49" i="30" s="1"/>
  <c r="P99" i="29"/>
  <c r="Q37" i="29"/>
  <c r="R41" i="29" s="1"/>
  <c r="R42" i="29"/>
  <c r="E37" i="14"/>
  <c r="G19" i="14"/>
  <c r="H19" i="14" s="1"/>
  <c r="P182" i="15"/>
  <c r="G52" i="14"/>
  <c r="E36" i="14"/>
  <c r="F28" i="14"/>
  <c r="G28" i="14" s="1"/>
  <c r="G53" i="14"/>
  <c r="G20" i="14"/>
  <c r="H20" i="14" s="1"/>
  <c r="B65" i="13"/>
  <c r="G18" i="14"/>
  <c r="S8" i="14"/>
  <c r="E38" i="14"/>
  <c r="F27" i="14"/>
  <c r="G21" i="14"/>
  <c r="H21" i="14" s="1"/>
  <c r="G54" i="14"/>
  <c r="E39" i="14"/>
  <c r="Q120" i="15"/>
  <c r="R158" i="15" s="1"/>
  <c r="G51" i="14"/>
  <c r="C128" i="30"/>
  <c r="E128" i="30" s="1"/>
  <c r="G128" i="30" s="1"/>
  <c r="C12" i="28"/>
  <c r="D32" i="14"/>
  <c r="K22" i="12"/>
  <c r="E12" i="28" s="1"/>
  <c r="K16" i="26"/>
  <c r="C129" i="30"/>
  <c r="E129" i="30" s="1"/>
  <c r="G129" i="30" s="1"/>
  <c r="D12" i="28"/>
  <c r="L22" i="12"/>
  <c r="F12" i="28" s="1"/>
  <c r="H18" i="14"/>
  <c r="C107" i="30"/>
  <c r="E107" i="30" s="1"/>
  <c r="G107" i="30" s="1"/>
  <c r="P207" i="29"/>
  <c r="Q116" i="29"/>
  <c r="R207" i="29" s="1"/>
  <c r="E45" i="14"/>
  <c r="G80" i="14"/>
  <c r="G60" i="14"/>
  <c r="E44" i="14"/>
  <c r="G61" i="14"/>
  <c r="F31" i="14"/>
  <c r="S10" i="14"/>
  <c r="P209" i="29" s="1"/>
  <c r="G78" i="14"/>
  <c r="E46" i="14"/>
  <c r="G22" i="14"/>
  <c r="H22" i="14" s="1"/>
  <c r="G59" i="14"/>
  <c r="F32" i="14"/>
  <c r="G23" i="14"/>
  <c r="H23" i="14" s="1"/>
  <c r="G79" i="14"/>
  <c r="G82" i="14" s="1"/>
  <c r="C150" i="30" s="1"/>
  <c r="E150" i="30" s="1"/>
  <c r="G150" i="30" s="1"/>
  <c r="G62" i="14"/>
  <c r="E47" i="14"/>
  <c r="C84" i="30"/>
  <c r="E84" i="30" s="1"/>
  <c r="G84" i="30" s="1"/>
  <c r="G58" i="14"/>
  <c r="E41" i="14"/>
  <c r="F30" i="14"/>
  <c r="P97" i="15"/>
  <c r="Q6" i="15"/>
  <c r="R83" i="15" s="1"/>
  <c r="E40" i="14"/>
  <c r="G17" i="14"/>
  <c r="H17" i="14" s="1"/>
  <c r="F80" i="14"/>
  <c r="F79" i="14"/>
  <c r="F82" i="14" s="1"/>
  <c r="C135" i="30" s="1"/>
  <c r="E135" i="30" s="1"/>
  <c r="G135" i="30" s="1"/>
  <c r="G55" i="14"/>
  <c r="F29" i="14"/>
  <c r="F78" i="14"/>
  <c r="G57" i="14"/>
  <c r="E43" i="14"/>
  <c r="G56" i="14"/>
  <c r="E42" i="14"/>
  <c r="S9" i="14"/>
  <c r="P99" i="15" s="1"/>
  <c r="G16" i="14"/>
  <c r="H16" i="14" s="1"/>
  <c r="C161" i="30"/>
  <c r="E161" i="30" s="1"/>
  <c r="G161" i="30" s="1"/>
  <c r="Q93" i="19"/>
  <c r="Q98" i="19"/>
  <c r="Q96" i="19"/>
  <c r="Q94" i="19"/>
  <c r="J21" i="12"/>
  <c r="I21" i="12"/>
  <c r="I19" i="12"/>
  <c r="J19" i="12"/>
  <c r="C106" i="30"/>
  <c r="E106" i="30" s="1"/>
  <c r="G106" i="30" s="1"/>
  <c r="D10" i="28"/>
  <c r="L20" i="12"/>
  <c r="F10" i="28" s="1"/>
  <c r="C105" i="30"/>
  <c r="E105" i="30" s="1"/>
  <c r="G105" i="30" s="1"/>
  <c r="C10" i="28"/>
  <c r="D30" i="14"/>
  <c r="G30" i="14" s="1"/>
  <c r="K20" i="12"/>
  <c r="E10" i="28" s="1"/>
  <c r="B31" i="19"/>
  <c r="R16" i="29"/>
  <c r="R26" i="29"/>
  <c r="E16" i="28"/>
  <c r="P26" i="29"/>
  <c r="Q7" i="29"/>
  <c r="C16" i="28"/>
  <c r="C76" i="30"/>
  <c r="E76" i="30" s="1"/>
  <c r="G76" i="30" s="1"/>
  <c r="R9" i="29"/>
  <c r="Q6" i="29"/>
  <c r="R26" i="13"/>
  <c r="R9" i="13"/>
  <c r="D27" i="14"/>
  <c r="Q6" i="13"/>
  <c r="R16" i="13"/>
  <c r="P26" i="13"/>
  <c r="Q7" i="13"/>
  <c r="R190" i="29" l="1"/>
  <c r="R209" i="29"/>
  <c r="R148" i="29"/>
  <c r="Q7" i="15"/>
  <c r="R183" i="29"/>
  <c r="R39" i="29"/>
  <c r="R193" i="29"/>
  <c r="R147" i="29"/>
  <c r="R187" i="29"/>
  <c r="R184" i="29"/>
  <c r="R189" i="29"/>
  <c r="C113" i="30"/>
  <c r="E113" i="30" s="1"/>
  <c r="G113" i="30" s="1"/>
  <c r="I22" i="14"/>
  <c r="R26" i="15"/>
  <c r="R35" i="15"/>
  <c r="R33" i="15"/>
  <c r="R19" i="15"/>
  <c r="R25" i="15"/>
  <c r="R20" i="15"/>
  <c r="R12" i="15"/>
  <c r="R11" i="15"/>
  <c r="R31" i="15"/>
  <c r="R10" i="15"/>
  <c r="R91" i="15"/>
  <c r="R81" i="15"/>
  <c r="R71" i="15"/>
  <c r="R92" i="15"/>
  <c r="R93" i="15"/>
  <c r="R82" i="15"/>
  <c r="R95" i="15"/>
  <c r="R94" i="15"/>
  <c r="R87" i="15"/>
  <c r="Q113" i="15"/>
  <c r="R115" i="15" s="1"/>
  <c r="R86" i="15"/>
  <c r="R76" i="15"/>
  <c r="R88" i="15"/>
  <c r="R89" i="15"/>
  <c r="R85" i="15"/>
  <c r="R75" i="15"/>
  <c r="R69" i="15"/>
  <c r="D30" i="28"/>
  <c r="H60" i="14"/>
  <c r="C104" i="30"/>
  <c r="E104" i="30" s="1"/>
  <c r="G104" i="30" s="1"/>
  <c r="D9" i="28"/>
  <c r="L19" i="12"/>
  <c r="F9" i="28" s="1"/>
  <c r="R126" i="15"/>
  <c r="R162" i="15"/>
  <c r="G32" i="14"/>
  <c r="R122" i="15"/>
  <c r="R168" i="15"/>
  <c r="Q38" i="29"/>
  <c r="Q103" i="29" s="1"/>
  <c r="R22" i="13"/>
  <c r="R24" i="13"/>
  <c r="R184" i="15"/>
  <c r="R79" i="15"/>
  <c r="R39" i="15"/>
  <c r="R94" i="29"/>
  <c r="R73" i="29"/>
  <c r="R84" i="29"/>
  <c r="R96" i="29"/>
  <c r="R93" i="29"/>
  <c r="R83" i="29"/>
  <c r="R97" i="29"/>
  <c r="R95" i="29"/>
  <c r="R78" i="29"/>
  <c r="R90" i="29"/>
  <c r="R89" i="29"/>
  <c r="R88" i="29"/>
  <c r="Q109" i="29"/>
  <c r="R111" i="29" s="1"/>
  <c r="R71" i="29"/>
  <c r="R91" i="29"/>
  <c r="R87" i="29"/>
  <c r="R77" i="29"/>
  <c r="R21" i="13"/>
  <c r="R14" i="13"/>
  <c r="R13" i="13"/>
  <c r="R8" i="13"/>
  <c r="C126" i="30"/>
  <c r="E126" i="30" s="1"/>
  <c r="G126" i="30" s="1"/>
  <c r="C11" i="28"/>
  <c r="D31" i="14"/>
  <c r="G31" i="14" s="1"/>
  <c r="K21" i="12"/>
  <c r="E11" i="28" s="1"/>
  <c r="R37" i="15"/>
  <c r="R80" i="15"/>
  <c r="R118" i="29"/>
  <c r="R123" i="29"/>
  <c r="G85" i="14"/>
  <c r="G93" i="14"/>
  <c r="G81" i="14"/>
  <c r="D11" i="28"/>
  <c r="C127" i="30"/>
  <c r="E127" i="30" s="1"/>
  <c r="G127" i="30" s="1"/>
  <c r="L21" i="12"/>
  <c r="F11" i="28" s="1"/>
  <c r="R74" i="15"/>
  <c r="D27" i="28"/>
  <c r="H57" i="14"/>
  <c r="R99" i="15"/>
  <c r="R77" i="15"/>
  <c r="D32" i="28"/>
  <c r="H62" i="14"/>
  <c r="Q117" i="29"/>
  <c r="R149" i="29"/>
  <c r="C55" i="30"/>
  <c r="E55" i="30" s="1"/>
  <c r="G55" i="30" s="1"/>
  <c r="I18" i="14"/>
  <c r="D24" i="28"/>
  <c r="H54" i="14"/>
  <c r="P101" i="29"/>
  <c r="P184" i="15"/>
  <c r="R124" i="15"/>
  <c r="R76" i="29"/>
  <c r="R75" i="29"/>
  <c r="Q107" i="15"/>
  <c r="Q101" i="15"/>
  <c r="R40" i="15"/>
  <c r="D25" i="28"/>
  <c r="H55" i="14"/>
  <c r="R97" i="15"/>
  <c r="R82" i="29"/>
  <c r="R13" i="15"/>
  <c r="F85" i="14"/>
  <c r="R8" i="15"/>
  <c r="F93" i="14"/>
  <c r="F81" i="14"/>
  <c r="R9" i="15"/>
  <c r="F86" i="14"/>
  <c r="F83" i="14"/>
  <c r="R151" i="29"/>
  <c r="R164" i="15"/>
  <c r="D22" i="28"/>
  <c r="H52" i="14"/>
  <c r="R182" i="15"/>
  <c r="R99" i="29"/>
  <c r="R79" i="29"/>
  <c r="C90" i="30"/>
  <c r="E90" i="30" s="1"/>
  <c r="G90" i="30" s="1"/>
  <c r="I16" i="14"/>
  <c r="D28" i="28"/>
  <c r="H58" i="14"/>
  <c r="R24" i="29"/>
  <c r="R22" i="29"/>
  <c r="C103" i="30"/>
  <c r="E103" i="30" s="1"/>
  <c r="G103" i="30" s="1"/>
  <c r="C9" i="28"/>
  <c r="K19" i="12"/>
  <c r="D29" i="14"/>
  <c r="G29" i="14" s="1"/>
  <c r="R41" i="15"/>
  <c r="R73" i="15"/>
  <c r="G27" i="14"/>
  <c r="R21" i="29"/>
  <c r="R8" i="29"/>
  <c r="R14" i="29"/>
  <c r="R13" i="29"/>
  <c r="R38" i="15"/>
  <c r="C94" i="30"/>
  <c r="E94" i="30" s="1"/>
  <c r="G94" i="30" s="1"/>
  <c r="I17" i="14"/>
  <c r="C117" i="30"/>
  <c r="E117" i="30" s="1"/>
  <c r="G117" i="30" s="1"/>
  <c r="I23" i="14"/>
  <c r="D31" i="28"/>
  <c r="H61" i="14"/>
  <c r="R136" i="29"/>
  <c r="R130" i="29"/>
  <c r="R145" i="29"/>
  <c r="R129" i="29"/>
  <c r="R143" i="29"/>
  <c r="R135" i="29"/>
  <c r="R120" i="29"/>
  <c r="R122" i="29"/>
  <c r="R121" i="29"/>
  <c r="R141" i="29"/>
  <c r="R203" i="29"/>
  <c r="R201" i="29"/>
  <c r="R191" i="29"/>
  <c r="R181" i="29"/>
  <c r="R202" i="29"/>
  <c r="R204" i="29"/>
  <c r="R192" i="29"/>
  <c r="R205" i="29"/>
  <c r="Q223" i="29"/>
  <c r="R225" i="29" s="1"/>
  <c r="R196" i="29"/>
  <c r="R186" i="29"/>
  <c r="R199" i="29"/>
  <c r="R195" i="29"/>
  <c r="R185" i="29"/>
  <c r="R179" i="29"/>
  <c r="R198" i="29"/>
  <c r="R197" i="29"/>
  <c r="R150" i="29"/>
  <c r="D21" i="28"/>
  <c r="H51" i="14"/>
  <c r="C67" i="30"/>
  <c r="E67" i="30" s="1"/>
  <c r="G67" i="30" s="1"/>
  <c r="I21" i="14"/>
  <c r="R165" i="15"/>
  <c r="R123" i="15"/>
  <c r="R81" i="29"/>
  <c r="R85" i="29"/>
  <c r="R159" i="15"/>
  <c r="R125" i="15"/>
  <c r="R40" i="29"/>
  <c r="R43" i="29"/>
  <c r="D26" i="28"/>
  <c r="H56" i="14"/>
  <c r="R179" i="15"/>
  <c r="R177" i="15"/>
  <c r="R167" i="15"/>
  <c r="R178" i="15"/>
  <c r="R180" i="15"/>
  <c r="R176" i="15"/>
  <c r="R166" i="15"/>
  <c r="R156" i="15"/>
  <c r="R170" i="15"/>
  <c r="R160" i="15"/>
  <c r="R154" i="15"/>
  <c r="Q192" i="15"/>
  <c r="R194" i="15" s="1"/>
  <c r="R172" i="15"/>
  <c r="R171" i="15"/>
  <c r="R173" i="15"/>
  <c r="R161" i="15"/>
  <c r="R174" i="15"/>
  <c r="D29" i="28"/>
  <c r="H59" i="14"/>
  <c r="R119" i="29"/>
  <c r="G86" i="14"/>
  <c r="G83" i="14"/>
  <c r="C63" i="30"/>
  <c r="E63" i="30" s="1"/>
  <c r="G63" i="30" s="1"/>
  <c r="I20" i="14"/>
  <c r="Q121" i="15"/>
  <c r="Q186" i="15" s="1"/>
  <c r="D23" i="28"/>
  <c r="H53" i="14"/>
  <c r="C59" i="30"/>
  <c r="E59" i="30" s="1"/>
  <c r="G59" i="30" s="1"/>
  <c r="I19" i="14"/>
  <c r="R101" i="29"/>
  <c r="F84" i="14" l="1"/>
  <c r="C136" i="30" s="1"/>
  <c r="E136" i="30" s="1"/>
  <c r="G136" i="30" s="1"/>
  <c r="R167" i="29"/>
  <c r="R168" i="29"/>
  <c r="E31" i="28"/>
  <c r="J61" i="14"/>
  <c r="C144" i="30"/>
  <c r="E144" i="30" s="1"/>
  <c r="G144" i="30" s="1"/>
  <c r="R28" i="15"/>
  <c r="F88" i="14"/>
  <c r="R27" i="15"/>
  <c r="F92" i="14"/>
  <c r="C142" i="30" s="1"/>
  <c r="E142" i="30" s="1"/>
  <c r="G142" i="30" s="1"/>
  <c r="Q217" i="29"/>
  <c r="Q211" i="29"/>
  <c r="R107" i="29"/>
  <c r="R110" i="29"/>
  <c r="R105" i="29"/>
  <c r="R104" i="29"/>
  <c r="R109" i="15"/>
  <c r="R114" i="15"/>
  <c r="R108" i="15"/>
  <c r="R111" i="15"/>
  <c r="R60" i="29"/>
  <c r="R59" i="29"/>
  <c r="E23" i="28"/>
  <c r="R143" i="15"/>
  <c r="J53" i="14"/>
  <c r="R142" i="15"/>
  <c r="E25" i="28"/>
  <c r="R45" i="15"/>
  <c r="J55" i="14"/>
  <c r="R46" i="15"/>
  <c r="R174" i="29"/>
  <c r="R173" i="29"/>
  <c r="E32" i="28"/>
  <c r="J62" i="14"/>
  <c r="R162" i="29"/>
  <c r="E30" i="28"/>
  <c r="R161" i="29"/>
  <c r="J60" i="14"/>
  <c r="E27" i="28"/>
  <c r="R58" i="15"/>
  <c r="R57" i="15"/>
  <c r="J57" i="14"/>
  <c r="R48" i="29"/>
  <c r="E21" i="28"/>
  <c r="R47" i="29"/>
  <c r="J51" i="14"/>
  <c r="R130" i="15"/>
  <c r="R131" i="15"/>
  <c r="R155" i="29"/>
  <c r="R156" i="29"/>
  <c r="E29" i="28"/>
  <c r="J59" i="14"/>
  <c r="R188" i="15"/>
  <c r="R193" i="15"/>
  <c r="R187" i="15"/>
  <c r="R190" i="15"/>
  <c r="R53" i="29"/>
  <c r="E22" i="28"/>
  <c r="R54" i="29"/>
  <c r="R137" i="15"/>
  <c r="J52" i="14"/>
  <c r="R136" i="15"/>
  <c r="R66" i="29"/>
  <c r="R65" i="29"/>
  <c r="E24" i="28"/>
  <c r="R148" i="15"/>
  <c r="J54" i="14"/>
  <c r="R149" i="15"/>
  <c r="G84" i="14"/>
  <c r="C151" i="30" s="1"/>
  <c r="E151" i="30" s="1"/>
  <c r="G151" i="30" s="1"/>
  <c r="C140" i="30"/>
  <c r="E140" i="30" s="1"/>
  <c r="G140" i="30" s="1"/>
  <c r="G36" i="28"/>
  <c r="R18" i="15"/>
  <c r="F87" i="14"/>
  <c r="R17" i="15"/>
  <c r="F91" i="14"/>
  <c r="C138" i="30" s="1"/>
  <c r="E138" i="30" s="1"/>
  <c r="G138" i="30" s="1"/>
  <c r="C155" i="30"/>
  <c r="E155" i="30" s="1"/>
  <c r="G155" i="30" s="1"/>
  <c r="R127" i="29"/>
  <c r="R128" i="29"/>
  <c r="G37" i="28"/>
  <c r="G91" i="14"/>
  <c r="C153" i="30" s="1"/>
  <c r="E153" i="30" s="1"/>
  <c r="G153" i="30" s="1"/>
  <c r="G87" i="14"/>
  <c r="E26" i="28"/>
  <c r="J56" i="14"/>
  <c r="R52" i="15"/>
  <c r="R51" i="15"/>
  <c r="E28" i="28"/>
  <c r="R64" i="15"/>
  <c r="R63" i="15"/>
  <c r="J58" i="14"/>
  <c r="R103" i="15"/>
  <c r="R102" i="15"/>
  <c r="R105" i="15"/>
  <c r="C159" i="30"/>
  <c r="E159" i="30" s="1"/>
  <c r="G159" i="30" s="1"/>
  <c r="R138" i="29"/>
  <c r="R137" i="29"/>
  <c r="G88" i="14"/>
  <c r="G92" i="14"/>
  <c r="C157" i="30" s="1"/>
  <c r="E157" i="30" s="1"/>
  <c r="G157" i="30" s="1"/>
  <c r="E9" i="28"/>
  <c r="C143" i="30" l="1"/>
  <c r="E143" i="30" s="1"/>
  <c r="G143" i="30" s="1"/>
  <c r="R24" i="15"/>
  <c r="R23" i="15"/>
  <c r="R29" i="15"/>
  <c r="R219" i="29"/>
  <c r="R224" i="29"/>
  <c r="R218" i="29"/>
  <c r="R221" i="29"/>
  <c r="R131" i="29"/>
  <c r="C154" i="30"/>
  <c r="E154" i="30" s="1"/>
  <c r="G154" i="30" s="1"/>
  <c r="R125" i="29"/>
  <c r="R126" i="29"/>
  <c r="H37" i="28"/>
  <c r="C69" i="30"/>
  <c r="E69" i="30" s="1"/>
  <c r="G69" i="30" s="1"/>
  <c r="R69" i="29"/>
  <c r="R46" i="29"/>
  <c r="P69" i="29"/>
  <c r="R45" i="29"/>
  <c r="F21" i="28"/>
  <c r="R49" i="29"/>
  <c r="R129" i="15"/>
  <c r="R152" i="15"/>
  <c r="R132" i="15"/>
  <c r="R128" i="15"/>
  <c r="P152" i="15"/>
  <c r="K51" i="14"/>
  <c r="G191" i="30" s="1"/>
  <c r="C195" i="30" s="1"/>
  <c r="R55" i="29"/>
  <c r="R51" i="29"/>
  <c r="C71" i="30"/>
  <c r="E71" i="30" s="1"/>
  <c r="G71" i="30" s="1"/>
  <c r="R52" i="29"/>
  <c r="F22" i="28"/>
  <c r="R138" i="15"/>
  <c r="R134" i="15"/>
  <c r="K52" i="14"/>
  <c r="R135" i="15"/>
  <c r="C121" i="30"/>
  <c r="E121" i="30" s="1"/>
  <c r="G121" i="30" s="1"/>
  <c r="R160" i="29"/>
  <c r="R163" i="29"/>
  <c r="R159" i="29"/>
  <c r="F30" i="28"/>
  <c r="K60" i="14"/>
  <c r="C139" i="30"/>
  <c r="E139" i="30" s="1"/>
  <c r="G139" i="30" s="1"/>
  <c r="H36" i="28"/>
  <c r="R15" i="15"/>
  <c r="R16" i="15"/>
  <c r="R21" i="15"/>
  <c r="C125" i="30"/>
  <c r="E125" i="30" s="1"/>
  <c r="G125" i="30" s="1"/>
  <c r="R172" i="29"/>
  <c r="R175" i="29"/>
  <c r="R171" i="29"/>
  <c r="F32" i="28"/>
  <c r="K62" i="14"/>
  <c r="C119" i="30"/>
  <c r="E119" i="30" s="1"/>
  <c r="G119" i="30" s="1"/>
  <c r="R157" i="29"/>
  <c r="R153" i="29"/>
  <c r="R154" i="29"/>
  <c r="R177" i="29"/>
  <c r="P177" i="29"/>
  <c r="F29" i="28"/>
  <c r="K59" i="14"/>
  <c r="C96" i="30"/>
  <c r="E96" i="30" s="1"/>
  <c r="G96" i="30" s="1"/>
  <c r="F25" i="28"/>
  <c r="R67" i="15"/>
  <c r="R44" i="15"/>
  <c r="R47" i="15"/>
  <c r="P67" i="15"/>
  <c r="R43" i="15"/>
  <c r="K55" i="14"/>
  <c r="C123" i="30"/>
  <c r="E123" i="30" s="1"/>
  <c r="G123" i="30" s="1"/>
  <c r="R169" i="29"/>
  <c r="R165" i="29"/>
  <c r="R166" i="29"/>
  <c r="F31" i="28"/>
  <c r="K61" i="14"/>
  <c r="C98" i="30"/>
  <c r="E98" i="30" s="1"/>
  <c r="G98" i="30" s="1"/>
  <c r="F26" i="28"/>
  <c r="R50" i="15"/>
  <c r="R53" i="15"/>
  <c r="R49" i="15"/>
  <c r="K56" i="14"/>
  <c r="C75" i="30"/>
  <c r="E75" i="30" s="1"/>
  <c r="G75" i="30" s="1"/>
  <c r="R67" i="29"/>
  <c r="R63" i="29"/>
  <c r="R64" i="29"/>
  <c r="F24" i="28"/>
  <c r="K54" i="14"/>
  <c r="R147" i="15"/>
  <c r="R150" i="15"/>
  <c r="R146" i="15"/>
  <c r="R215" i="29"/>
  <c r="R213" i="29"/>
  <c r="R212" i="29"/>
  <c r="C102" i="30"/>
  <c r="E102" i="30" s="1"/>
  <c r="G102" i="30" s="1"/>
  <c r="F28" i="28"/>
  <c r="R61" i="15"/>
  <c r="K58" i="14"/>
  <c r="R65" i="15"/>
  <c r="R62" i="15"/>
  <c r="C100" i="30"/>
  <c r="E100" i="30" s="1"/>
  <c r="G100" i="30" s="1"/>
  <c r="F27" i="28"/>
  <c r="R59" i="15"/>
  <c r="R55" i="15"/>
  <c r="K57" i="14"/>
  <c r="R56" i="15"/>
  <c r="C158" i="30"/>
  <c r="E158" i="30" s="1"/>
  <c r="G158" i="30" s="1"/>
  <c r="R139" i="29"/>
  <c r="R134" i="29"/>
  <c r="R133" i="29"/>
  <c r="C73" i="30"/>
  <c r="E73" i="30" s="1"/>
  <c r="G73" i="30" s="1"/>
  <c r="R58" i="29"/>
  <c r="F23" i="28"/>
  <c r="R57" i="29"/>
  <c r="R61" i="29"/>
  <c r="R141" i="15"/>
  <c r="R140" i="15"/>
  <c r="K53" i="14"/>
  <c r="R144" i="15"/>
  <c r="G195" i="30" l="1"/>
  <c r="C8" i="1" s="1"/>
</calcChain>
</file>

<file path=xl/sharedStrings.xml><?xml version="1.0" encoding="utf-8"?>
<sst xmlns="http://schemas.openxmlformats.org/spreadsheetml/2006/main" count="3686" uniqueCount="2713">
  <si>
    <t>B4 Pedestrian Bridge - Geometry and CAD Tables</t>
  </si>
  <si>
    <t>Geometry authority</t>
  </si>
  <si>
    <t>Colab geometry notebook Bridge_Geometry_2 Beam_V2.ipynb (CONFIG + BridgeModel). This workbook reproduces its equations in Excel; the CAD model and these CAD tables are built from it, never the reverse.</t>
  </si>
  <si>
    <t>Beam design data</t>
  </si>
  <si>
    <t>Saved results of the two registered Mathcad runs (Span 1, Span 2). Mathcad was not recalculated.</t>
  </si>
  <si>
    <t>Template methods</t>
  </si>
  <si>
    <t>Where the notebook is silent (Table of Beam Variables bar dimensions, Dim L/R, build-up case, beveled plates) the BCC example workbook's formulas are used and flagged on the Method tabs.</t>
  </si>
  <si>
    <t>QC status</t>
  </si>
  <si>
    <t>Input sync</t>
  </si>
  <si>
    <t>Rebuild</t>
  </si>
  <si>
    <t>C:\github\D2MPDB\.venv\Scripts\python.exe scripts\build_geometry_cad_tables.py   (rebuilds, recalculates in Excel, verifies)</t>
  </si>
  <si>
    <t>Build fingerprint</t>
  </si>
  <si>
    <t>Generator version</t>
  </si>
  <si>
    <t>Built</t>
  </si>
  <si>
    <t>Notebook model ID</t>
  </si>
  <si>
    <t>Sources</t>
  </si>
  <si>
    <t>Geometry notebook</t>
  </si>
  <si>
    <t>Roadway XML</t>
  </si>
  <si>
    <t>Geometry Report.xml   SHA-256 9880ef7adeeac4228666146f5d5bb4dd17ef93f66ffeaf465a2c813eb69489e4</t>
  </si>
  <si>
    <t>Mathcad Span 1</t>
  </si>
  <si>
    <t>project_current/mathcad/PrestressedBeamV6.2_Pedestrian_2Beam_Span1.xmcd   SHA-256 a6b0f967d271c193591d477e219ac66f98b72309d19958a04c6cd08e575a8dcd</t>
  </si>
  <si>
    <t>Mathcad Span 2</t>
  </si>
  <si>
    <t>project_current/mathcad/PrestressedBeamV6.2_Pedestrian_2Beam_Span2.xmcd   SHA-256 182e3471f169d3a379c437ad12f359d567813bd4631bcc0b82e78ad860fa91b8</t>
  </si>
  <si>
    <t>Tabs</t>
  </si>
  <si>
    <t>Inputs</t>
  </si>
  <si>
    <t>All inputs with provenance (notebook CONFIG, Mathcad saved results, designer/template constants).</t>
  </si>
  <si>
    <t>Inputs Method</t>
  </si>
  <si>
    <t>Method for Inputs: equations, explanation, schematics and live charts.</t>
  </si>
  <si>
    <t>Profile &amp; Deck</t>
  </si>
  <si>
    <t>PGL grades, deck edges, beam offsets and haunch check points.</t>
  </si>
  <si>
    <t>Profile &amp; Deck Method</t>
  </si>
  <si>
    <t>Method for Profile &amp; Deck: equations, explanation, schematics and live charts.</t>
  </si>
  <si>
    <t>Beam Geometry</t>
  </si>
  <si>
    <t>Physical beam ends, bearings, chords; Dims J, K, P, L and shortening R.</t>
  </si>
  <si>
    <t>Beam Geometry Method</t>
  </si>
  <si>
    <t>Method for Beam Geometry: equations, explanation, schematics and live charts.</t>
  </si>
  <si>
    <t>Camber &amp; Haunch</t>
  </si>
  <si>
    <t>Common support drop D, build-up Dims B/C/D, minimum haunch, Mathcad deflections.</t>
  </si>
  <si>
    <t>Camber &amp; Haunch Method</t>
  </si>
  <si>
    <t>Method for Camber &amp; Haunch: equations, explanation, schematics and live charts.</t>
  </si>
  <si>
    <t>FGE</t>
  </si>
  <si>
    <t>Finished grade elevations at every line and station.</t>
  </si>
  <si>
    <t>FGE Method</t>
  </si>
  <si>
    <t>Method for FGE: equations, explanation, schematics and live charts.</t>
  </si>
  <si>
    <t>Bearing Seats</t>
  </si>
  <si>
    <t>Seat planes, slopes, pedestal tops and corners, bearing plate data.</t>
  </si>
  <si>
    <t>Bearing Seats Method</t>
  </si>
  <si>
    <t>Method for Bearing Seats: equations, explanation, schematics and live charts.</t>
  </si>
  <si>
    <t>Substructure</t>
  </si>
  <si>
    <t>Cap tops, pedestal heights, cap corners and pile cutoffs.</t>
  </si>
  <si>
    <t>Substructure Method</t>
  </si>
  <si>
    <t>Method for Substructure: equations, explanation, schematics and live charts.</t>
  </si>
  <si>
    <t>Beam Data</t>
  </si>
  <si>
    <t>Bars 5K zones from Mathcad and FIB standard bar dimensions.</t>
  </si>
  <si>
    <t>Beam Data Method</t>
  </si>
  <si>
    <t>Method for Beam Data: equations, explanation, schematics and live charts.</t>
  </si>
  <si>
    <t>Clearance</t>
  </si>
  <si>
    <t>Exact minimum vertical clearance under the beams.</t>
  </si>
  <si>
    <t>Clearance Method</t>
  </si>
  <si>
    <t>Method for Clearance: equations, explanation, schematics and live charts.</t>
  </si>
  <si>
    <t>CAD FGE</t>
  </si>
  <si>
    <t>CAD table: Finish Grade Elevations by span.</t>
  </si>
  <si>
    <t>CAD FGE Method</t>
  </si>
  <si>
    <t>Method for CAD FGE: equations, explanation, schematics and live charts.</t>
  </si>
  <si>
    <t>CAD Build-Up</t>
  </si>
  <si>
    <t>CAD table: Build-Up &amp; Deflection Data.</t>
  </si>
  <si>
    <t>CAD Build-Up Method</t>
  </si>
  <si>
    <t>Method for CAD Build-Up: equations, explanation, schematics and live charts.</t>
  </si>
  <si>
    <t>CAD Beam Variables</t>
  </si>
  <si>
    <t>CAD table: Florida-I Beam Table of Beam Variables.</t>
  </si>
  <si>
    <t>CAD Beam Variables Method</t>
  </si>
  <si>
    <t>Method for CAD Beam Variables: equations, explanation, schematics and live charts.</t>
  </si>
  <si>
    <t>CAD Bearing Plates</t>
  </si>
  <si>
    <t>CAD table: Bearing Plate Data, Type 2.</t>
  </si>
  <si>
    <t>CAD Bearing Plates Method</t>
  </si>
  <si>
    <t>Method for CAD Bearing Plates: equations, explanation, schematics and live charts.</t>
  </si>
  <si>
    <t>CAD Pedestal Elevs</t>
  </si>
  <si>
    <t>CAD tables: top of pedestal, cap and pile cutoff elevations.</t>
  </si>
  <si>
    <t>CAD Pedestal Elevs Method</t>
  </si>
  <si>
    <t>Method for CAD Pedestal Elevs: equations, explanation, schematics and live charts.</t>
  </si>
  <si>
    <t>QC</t>
  </si>
  <si>
    <t>Every key result compared with the notebook; validity checks.</t>
  </si>
  <si>
    <t>QC Method</t>
  </si>
  <si>
    <t>Method for QC: equations, explanation, schematics and live charts.</t>
  </si>
  <si>
    <t>Cell legend</t>
  </si>
  <si>
    <t>Input (generated from notebook / Mathcad)</t>
  </si>
  <si>
    <t>Calculated in this tab</t>
  </si>
  <si>
    <t>Linked from another tab</t>
  </si>
  <si>
    <t>PASS</t>
  </si>
  <si>
    <t>FAIL</t>
  </si>
  <si>
    <t>CHECK / review</t>
  </si>
  <si>
    <t>Open items</t>
  </si>
  <si>
    <t>- Cheek tops are the four D-033 MSE barrier-return base elevations, entered as notebook inputs.</t>
  </si>
  <si>
    <t>- Deck barrier (D-031, 12 ft clear) is not in the notebook, so no barrier-face FGE line is tabulated.</t>
  </si>
  <si>
    <t>- Job number, calculated/checked by and dates are blank on the Inputs tab.</t>
  </si>
  <si>
    <t>- Strand pattern type, concrete class and pad type are designer assignments (Inputs tab).</t>
  </si>
  <si>
    <t>- Dim L includes R per the BCC template - confirm against the FDOT Table of Beam Variables instructions.</t>
  </si>
  <si>
    <t>- Mathcad .dat inputs are missing from the project record; values are the worksheets' saved results.</t>
  </si>
  <si>
    <t>- The roadway XML ends about 5 ft before End Bent 2, so clearance is reported for the covered region only.</t>
  </si>
  <si>
    <t>Blue values on yellow are inputs. Every geometry input is generated from the Colab geometry notebook CONFIG (the geometry authority); beam-design inputs come from the saved Mathcad runs. Edit the notebook and rebuild rather than editing these cells: the tables and Method-tab charts follow any edit, and the banner on every Method tab and QC report that inputs no longer match the notebook build.</t>
  </si>
  <si>
    <t>Title block (fill in)</t>
  </si>
  <si>
    <t>Parameter</t>
  </si>
  <si>
    <t>Symbol</t>
  </si>
  <si>
    <t>Value</t>
  </si>
  <si>
    <t>Unit</t>
  </si>
  <si>
    <t>Workbook name</t>
  </si>
  <si>
    <t>Source / note</t>
  </si>
  <si>
    <t>Project</t>
  </si>
  <si>
    <t>D2 I-95 Pedestrian Bridge</t>
  </si>
  <si>
    <t>TB_Project</t>
  </si>
  <si>
    <t>Project journal name; edit as needed</t>
  </si>
  <si>
    <t>Structure</t>
  </si>
  <si>
    <t>B4 pedestrian bridge - 2 x FIB-36, two simple spans</t>
  </si>
  <si>
    <t>TB_Structure</t>
  </si>
  <si>
    <t>FreeCAD model / Mathcad beam type; edit as needed</t>
  </si>
  <si>
    <t>Job No.</t>
  </si>
  <si>
    <t>TB_JobNo</t>
  </si>
  <si>
    <t>Not in project sources - enter</t>
  </si>
  <si>
    <t>Calculated by</t>
  </si>
  <si>
    <t>TB_CalcBy</t>
  </si>
  <si>
    <t>Enter</t>
  </si>
  <si>
    <t>Date (calculated)</t>
  </si>
  <si>
    <t>TB_CalcDate</t>
  </si>
  <si>
    <t>Checked by</t>
  </si>
  <si>
    <t>TB_CheckBy</t>
  </si>
  <si>
    <t>Date (checked)</t>
  </si>
  <si>
    <t>TB_CheckDate</t>
  </si>
  <si>
    <t>Profile - CONFIG['profile']</t>
  </si>
  <si>
    <t>Profile mode (brokeback or parabolic)</t>
  </si>
  <si>
    <t>mode</t>
  </si>
  <si>
    <t>brokeback</t>
  </si>
  <si>
    <t>Prof_Mode</t>
  </si>
  <si>
    <t>Notebook CONFIG profile.mode</t>
  </si>
  <si>
    <t>Profile start station (FFBW End Bent 1)</t>
  </si>
  <si>
    <t>s0</t>
  </si>
  <si>
    <t>ft</t>
  </si>
  <si>
    <t>Prof_Sta0</t>
  </si>
  <si>
    <t>Notebook CONFIG profile.start_sta_ft</t>
  </si>
  <si>
    <t>Profile end station (FFBW End Bent 2)</t>
  </si>
  <si>
    <t>s1</t>
  </si>
  <si>
    <t>Prof_Sta1</t>
  </si>
  <si>
    <t>Notebook CONFIG profile.end_sta_ft</t>
  </si>
  <si>
    <t>Start elevation</t>
  </si>
  <si>
    <t>z0</t>
  </si>
  <si>
    <t>Prof_Z0</t>
  </si>
  <si>
    <t>Notebook CONFIG profile.start_elev_ft</t>
  </si>
  <si>
    <t>End elevation</t>
  </si>
  <si>
    <t>z1</t>
  </si>
  <si>
    <t>Prof_Z1</t>
  </si>
  <si>
    <t>Notebook CONFIG profile.end_elev_ft</t>
  </si>
  <si>
    <t>Tangent intersection station (PI)</t>
  </si>
  <si>
    <t>sPI</t>
  </si>
  <si>
    <t>Prof_PISta</t>
  </si>
  <si>
    <t>Notebook CONFIG profile.intersection_sta_ft</t>
  </si>
  <si>
    <t>Nominal tangent grade (brokeback)</t>
  </si>
  <si>
    <t>g</t>
  </si>
  <si>
    <t>ft/ft</t>
  </si>
  <si>
    <t>Prof_Gnom</t>
  </si>
  <si>
    <t>Notebook CONFIG profile.nominal_grade</t>
  </si>
  <si>
    <t>Grade change (parabolic mode only)</t>
  </si>
  <si>
    <t>dg</t>
  </si>
  <si>
    <t>Prof_dG</t>
  </si>
  <si>
    <t>Notebook CONFIG profile.parabolic_grade_change</t>
  </si>
  <si>
    <t>Deck - CONFIG['deck']</t>
  </si>
  <si>
    <t>Deck mode (crowned or uniform)</t>
  </si>
  <si>
    <t>crowned</t>
  </si>
  <si>
    <t>Deck_Mode</t>
  </si>
  <si>
    <t>Notebook CONFIG deck.mode. Transition mode is not implemented in this workbook (QC fails).</t>
  </si>
  <si>
    <t>Deck width</t>
  </si>
  <si>
    <t>W</t>
  </si>
  <si>
    <t>Deck_W</t>
  </si>
  <si>
    <t>Notebook CONFIG deck.width_ft (13 ft 7 in from DXF *D5380)</t>
  </si>
  <si>
    <t>Deck center offset from PGL</t>
  </si>
  <si>
    <t>yc</t>
  </si>
  <si>
    <t>Deck_C</t>
  </si>
  <si>
    <t>Notebook CONFIG deck.center_offset_ft</t>
  </si>
  <si>
    <t>Deck thickness</t>
  </si>
  <si>
    <t>td</t>
  </si>
  <si>
    <t>Deck_T</t>
  </si>
  <si>
    <t>Notebook CONFIG deck.thickness_ft</t>
  </si>
  <si>
    <t>Crown slope (each side, away from PGL)</t>
  </si>
  <si>
    <t>sc</t>
  </si>
  <si>
    <t>Deck_Crown</t>
  </si>
  <si>
    <t>Notebook CONFIG deck.crown_slope</t>
  </si>
  <si>
    <t>Uniform cross slope (uniform mode only)</t>
  </si>
  <si>
    <t>su</t>
  </si>
  <si>
    <t>Deck_Uni</t>
  </si>
  <si>
    <t>Notebook CONFIG deck.uniform_slope</t>
  </si>
  <si>
    <t>Beams - CONFIG['beams']</t>
  </si>
  <si>
    <t>Beam type</t>
  </si>
  <si>
    <t>FIB-36</t>
  </si>
  <si>
    <t>Bm_Type</t>
  </si>
  <si>
    <t>Mathcad BeamType (notebook models the FIB-36 outline)</t>
  </si>
  <si>
    <t>Number of beams</t>
  </si>
  <si>
    <t>N</t>
  </si>
  <si>
    <t>Bm_N</t>
  </si>
  <si>
    <t>Notebook CONFIG beams.count (table layout is generated for this count)</t>
  </si>
  <si>
    <t>Beam spacing</t>
  </si>
  <si>
    <t>S</t>
  </si>
  <si>
    <t>Bm_S</t>
  </si>
  <si>
    <t>Notebook CONFIG beams.spacing_ft</t>
  </si>
  <si>
    <t>First beam offset (blank = centered on PGL)</t>
  </si>
  <si>
    <t>y1</t>
  </si>
  <si>
    <t>Bm_First</t>
  </si>
  <si>
    <t>Notebook CONFIG beams.first_offset_ft</t>
  </si>
  <si>
    <t>Beam depth</t>
  </si>
  <si>
    <t>db</t>
  </si>
  <si>
    <t>Bm_D</t>
  </si>
  <si>
    <t>Notebook CONFIG beams.depth_ft</t>
  </si>
  <si>
    <t>Top flange width</t>
  </si>
  <si>
    <t>bf</t>
  </si>
  <si>
    <t>in</t>
  </si>
  <si>
    <t>Bm_Bf</t>
  </si>
  <si>
    <t>Notebook CONFIG beams.top_flange_width_in</t>
  </si>
  <si>
    <t>Minimum haunch (at any flange point)</t>
  </si>
  <si>
    <t>hmin</t>
  </si>
  <si>
    <t>Bm_Hmin</t>
  </si>
  <si>
    <t>Notebook CONFIG beams.minimum_haunch_in</t>
  </si>
  <si>
    <t>Beam 1 vertical raise</t>
  </si>
  <si>
    <t>r1</t>
  </si>
  <si>
    <t>Bm1_Raise</t>
  </si>
  <si>
    <t>Notebook CONFIG beams.raise_in</t>
  </si>
  <si>
    <t>Beam 2 vertical raise</t>
  </si>
  <si>
    <t>r2</t>
  </si>
  <si>
    <t>Bm2_Raise</t>
  </si>
  <si>
    <t>Gap beam 1 to 2</t>
  </si>
  <si>
    <t>Bm_Gap1</t>
  </si>
  <si>
    <t>Equal spacing (CONFIG gaps_ft = None)</t>
  </si>
  <si>
    <t>Spans and cambers - CONFIG['spans'] (camber = Mathcad saved NetCamber)</t>
  </si>
  <si>
    <t>Span 1 start station (datum)</t>
  </si>
  <si>
    <t>Sp1_Sta0</t>
  </si>
  <si>
    <t>Notebook CONFIG spans[0].start_ft</t>
  </si>
  <si>
    <t>Span 1 end station (datum)</t>
  </si>
  <si>
    <t>Sp1_Sta1</t>
  </si>
  <si>
    <t>Notebook CONFIG spans[0].end_ft</t>
  </si>
  <si>
    <t>Span 1 net camber at 120 days</t>
  </si>
  <si>
    <t>C</t>
  </si>
  <si>
    <t>Sp1_C</t>
  </si>
  <si>
    <t>Notebook CONFIG spans[0].camber_in; basis NetCamber = max(Defl_120day) + min(Defl_dl.nc) + min(Defl_dl.c)</t>
  </si>
  <si>
    <t>Span 2 start station (datum)</t>
  </si>
  <si>
    <t>Sp2_Sta0</t>
  </si>
  <si>
    <t>Notebook CONFIG spans[1].start_ft</t>
  </si>
  <si>
    <t>Span 2 end station (datum)</t>
  </si>
  <si>
    <t>Sp2_Sta1</t>
  </si>
  <si>
    <t>Notebook CONFIG spans[1].end_ft</t>
  </si>
  <si>
    <t>Span 2 net camber at 120 days</t>
  </si>
  <si>
    <t>Sp2_C</t>
  </si>
  <si>
    <t>Notebook CONFIG spans[1].camber_in; basis NetCamber = max(Defl_120day) + min(Defl_dl.nc) + min(Defl_dl.c)</t>
  </si>
  <si>
    <t>Physical beam / bearing geometry - CONFIG['physical_geometry']</t>
  </si>
  <si>
    <t>Beam end clearance to FFBW</t>
  </si>
  <si>
    <t>Phys_EndClr</t>
  </si>
  <si>
    <t>Notebook CONFIG physical_geometry.beam_end_clear_in</t>
  </si>
  <si>
    <t>Pier beam gap (total, beam end to beam end)</t>
  </si>
  <si>
    <t>Phys_PierGap</t>
  </si>
  <si>
    <t>Notebook CONFIG physical_geometry.pier_beam_gap_in</t>
  </si>
  <si>
    <t>Bearing setback (beam end to CL bearing)</t>
  </si>
  <si>
    <t>Phys_Setback</t>
  </si>
  <si>
    <t>Notebook CONFIG physical_geometry.bearing_setback_in</t>
  </si>
  <si>
    <t>Deck end clearance to FFBW</t>
  </si>
  <si>
    <t>Phys_DeckClr</t>
  </si>
  <si>
    <t>Notebook CONFIG physical_geometry.deck_end_clear_in</t>
  </si>
  <si>
    <t>Trial pile length (stored)</t>
  </si>
  <si>
    <t>Phys_TrialPile</t>
  </si>
  <si>
    <t>Notebook CONFIG physical_geometry.trial_pile_length_ft (trial only)</t>
  </si>
  <si>
    <t>Pier - CONFIG['pier']</t>
  </si>
  <si>
    <t>Pier station (CL pier)</t>
  </si>
  <si>
    <t>Pier_Sta</t>
  </si>
  <si>
    <t>Notebook CONFIG pier.station_ft</t>
  </si>
  <si>
    <t>Bearing pad thickness</t>
  </si>
  <si>
    <t>Pier_Pad</t>
  </si>
  <si>
    <t>Notebook CONFIG pier.pad_height_in</t>
  </si>
  <si>
    <t>Bearing pad length (longitudinal)</t>
  </si>
  <si>
    <t>Pier_PadL</t>
  </si>
  <si>
    <t>Notebook CONFIG pier.pad_length_in</t>
  </si>
  <si>
    <t>Bearing pad width (transverse)</t>
  </si>
  <si>
    <t>Pier_PadW</t>
  </si>
  <si>
    <t>Notebook CONFIG pier.pad_width_in</t>
  </si>
  <si>
    <t>Cap depth</t>
  </si>
  <si>
    <t>Pier_Depth</t>
  </si>
  <si>
    <t>Notebook CONFIG pier.depth_ft</t>
  </si>
  <si>
    <t>Cap width (longitudinal)</t>
  </si>
  <si>
    <t>Pier_Width</t>
  </si>
  <si>
    <t>Notebook CONFIG pier.width_ft</t>
  </si>
  <si>
    <t>Fixed cap length (blank = derive from piles)</t>
  </si>
  <si>
    <t>Pier_LenFix</t>
  </si>
  <si>
    <t>Notebook CONFIG pier.length_ft</t>
  </si>
  <si>
    <t>Pile count</t>
  </si>
  <si>
    <t>Pier_NPile</t>
  </si>
  <si>
    <t>Notebook CONFIG pier.pile_count</t>
  </si>
  <si>
    <t>Pile diameter</t>
  </si>
  <si>
    <t>Pier_PileD</t>
  </si>
  <si>
    <t>Notebook CONFIG pier.pile_diameter_in (hollow pipe)</t>
  </si>
  <si>
    <t>Pipe wall thickness</t>
  </si>
  <si>
    <t>Pier_PileWall</t>
  </si>
  <si>
    <t>Notebook CONFIG pier.pile_wall_in</t>
  </si>
  <si>
    <t>Pile spacing in diameters</t>
  </si>
  <si>
    <t>Pier_PileSpD</t>
  </si>
  <si>
    <t>Notebook CONFIG pier.pile_spacing_diameters</t>
  </si>
  <si>
    <t>Clear distance, outer pile face to cap end</t>
  </si>
  <si>
    <t>Pier_PileClr</t>
  </si>
  <si>
    <t>Notebook CONFIG pier.pile_end_clear_in</t>
  </si>
  <si>
    <t>Pile embedment above cap underside</t>
  </si>
  <si>
    <t>Pier_Emb</t>
  </si>
  <si>
    <t>Notebook CONFIG pier.pile_embedment_in</t>
  </si>
  <si>
    <t>Minimum pedestal height at CL bearing</t>
  </si>
  <si>
    <t>Pier_Reveal</t>
  </si>
  <si>
    <t>Notebook CONFIG pier.minimum_pedestal_cl_in</t>
  </si>
  <si>
    <t>Fixed cap top (blank = pedestal rule)</t>
  </si>
  <si>
    <t>Pier_TopFix</t>
  </si>
  <si>
    <t>Notebook CONFIG pier.top_center_ft</t>
  </si>
  <si>
    <t>Cap center offset</t>
  </si>
  <si>
    <t>Pier_Ctr</t>
  </si>
  <si>
    <t>Notebook CONFIG pier.center_offset_ft</t>
  </si>
  <si>
    <t>Cap cross slope</t>
  </si>
  <si>
    <t>Pier_Slope</t>
  </si>
  <si>
    <t>Notebook CONFIG pier.cross_slope</t>
  </si>
  <si>
    <t>Pedestal width (transverse)</t>
  </si>
  <si>
    <t>Pier_PedW</t>
  </si>
  <si>
    <t>Notebook CONFIG pier.pedestal_width_in</t>
  </si>
  <si>
    <t>Pedestal length (longitudinal)</t>
  </si>
  <si>
    <t>Pier_PedL</t>
  </si>
  <si>
    <t>Notebook CONFIG pier.pedestal_length_in</t>
  </si>
  <si>
    <t>Pedestal top transverse chamfer</t>
  </si>
  <si>
    <t>Pier_Chamf</t>
  </si>
  <si>
    <t>Notebook CONFIG pier.pedestal_chamfer_in</t>
  </si>
  <si>
    <t>End Bent 1 - CONFIG['end_bents']['start']</t>
  </si>
  <si>
    <t>EB1_Width</t>
  </si>
  <si>
    <t>Notebook CONFIG end_bents.start.width_ft</t>
  </si>
  <si>
    <t>EB1_Depth</t>
  </si>
  <si>
    <t>Notebook CONFIG end_bents.start.depth_ft</t>
  </si>
  <si>
    <t>EB1_LenFix</t>
  </si>
  <si>
    <t>Notebook CONFIG end_bents.start.length_ft (the 235-in D-026 cap body is derived from the pile layout)</t>
  </si>
  <si>
    <t>EB1_NPile</t>
  </si>
  <si>
    <t>Notebook CONFIG end_bents.start.pile_count</t>
  </si>
  <si>
    <t>Square pile width</t>
  </si>
  <si>
    <t>EB1_PileW</t>
  </si>
  <si>
    <t>Notebook CONFIG end_bents.start.pile_width_in</t>
  </si>
  <si>
    <t>Pile spacing</t>
  </si>
  <si>
    <t>EB1_PileSp</t>
  </si>
  <si>
    <t>Notebook CONFIG end_bents.start.pile_spacing_in</t>
  </si>
  <si>
    <t>EB1_PileClr</t>
  </si>
  <si>
    <t>Notebook CONFIG end_bents.start.pile_end_clear_in</t>
  </si>
  <si>
    <t>EB1_Emb</t>
  </si>
  <si>
    <t>Notebook CONFIG end_bents.start.pile_embedment_in</t>
  </si>
  <si>
    <t>EB1_Pad</t>
  </si>
  <si>
    <t>Notebook CONFIG end_bents.start.pad_height_in</t>
  </si>
  <si>
    <t>EB1_PadL</t>
  </si>
  <si>
    <t>Notebook CONFIG end_bents.start.pad_length_in</t>
  </si>
  <si>
    <t>EB1_PadW</t>
  </si>
  <si>
    <t>Notebook CONFIG end_bents.start.pad_width_in</t>
  </si>
  <si>
    <t>EB1_Reveal</t>
  </si>
  <si>
    <t>Notebook CONFIG end_bents.start.minimum_pedestal_cl_in</t>
  </si>
  <si>
    <t>EB1_TopFix</t>
  </si>
  <si>
    <t>Notebook CONFIG end_bents.start.top_center_ft</t>
  </si>
  <si>
    <t>EB1_Ctr</t>
  </si>
  <si>
    <t>Notebook CONFIG end_bents.start.center_offset_ft</t>
  </si>
  <si>
    <t>EB1_Slope</t>
  </si>
  <si>
    <t>Notebook CONFIG end_bents.start.cross_slope</t>
  </si>
  <si>
    <t>EB1_PedW</t>
  </si>
  <si>
    <t>Notebook CONFIG end_bents.start.pedestal_width_in</t>
  </si>
  <si>
    <t>Pedestal length (longitudinal, from FFBW)</t>
  </si>
  <si>
    <t>EB1_PedL</t>
  </si>
  <si>
    <t>Notebook CONFIG end_bents.start.pedestal_length_in</t>
  </si>
  <si>
    <t>EB1_Chamf</t>
  </si>
  <si>
    <t>Notebook CONFIG end_bents.start.pedestal_chamfer_in</t>
  </si>
  <si>
    <t>Backwall thickness</t>
  </si>
  <si>
    <t>EB1_BW</t>
  </si>
  <si>
    <t>Notebook CONFIG end_bents.start.backwall_thickness_in</t>
  </si>
  <si>
    <t>Backwall rear-face inset</t>
  </si>
  <si>
    <t>EB1_Inset</t>
  </si>
  <si>
    <t>Notebook CONFIG end_bents.start.rear_face_inset_in</t>
  </si>
  <si>
    <t>Beam end clearance (end-bent record)</t>
  </si>
  <si>
    <t>EB1_BmClr</t>
  </si>
  <si>
    <t>Notebook CONFIG end_bents.start.beam_end_clear_in (QC: equals physical value)</t>
  </si>
  <si>
    <t>Beam end to CL bearing (end-bent record)</t>
  </si>
  <si>
    <t>EB1_BmBrg</t>
  </si>
  <si>
    <t>Notebook CONFIG end_bents.start.beam_end_to_bearing_in (QC: equals physical value)</t>
  </si>
  <si>
    <t>Backwall top below the deck-top line at FFBW</t>
  </si>
  <si>
    <t>EB1_BwDrop</t>
  </si>
  <si>
    <t>Cheek web thickness (outside each cap end)</t>
  </si>
  <si>
    <t>EB1_CkT</t>
  </si>
  <si>
    <t>Notebook CONFIG end_bents.start.cheek_thickness_in (D-026)</t>
  </si>
  <si>
    <t>Lug projection (bottom and rear)</t>
  </si>
  <si>
    <t>EB1_LugP</t>
  </si>
  <si>
    <t>Notebook CONFIG end_bents.start.lug_projection_in (D-026 DXF)</t>
  </si>
  <si>
    <t>Lug width on the cheek outer face</t>
  </si>
  <si>
    <t>EB1_LugW</t>
  </si>
  <si>
    <t>Notebook CONFIG end_bents.start.lug_width_in (D-026 DXF)</t>
  </si>
  <si>
    <t>MSE panel joint to cheek and lug faces</t>
  </si>
  <si>
    <t>EB1_Joint</t>
  </si>
  <si>
    <t>Notebook CONFIG end_bents.start.mse_joint_in (D-026)</t>
  </si>
  <si>
    <t>Cheek top, left (blank = deck edge at FFBW)</t>
  </si>
  <si>
    <t>EB1_CkTopL</t>
  </si>
  <si>
    <t>Notebook CONFIG end_bents.start.cheek_top_ft[0]: D-033 barrier-return base (MSE interface input)</t>
  </si>
  <si>
    <t>Cheek top, right (blank = deck edge at FFBW)</t>
  </si>
  <si>
    <t>EB1_CkTopR</t>
  </si>
  <si>
    <t>Notebook CONFIG end_bents.start.cheek_top_ft[1]: D-033 barrier-return base (MSE interface input)</t>
  </si>
  <si>
    <t>End Bent 2 - CONFIG['end_bents']['end']</t>
  </si>
  <si>
    <t>EB2_Width</t>
  </si>
  <si>
    <t>Notebook CONFIG end_bents.end.width_ft</t>
  </si>
  <si>
    <t>EB2_Depth</t>
  </si>
  <si>
    <t>Notebook CONFIG end_bents.end.depth_ft</t>
  </si>
  <si>
    <t>EB2_LenFix</t>
  </si>
  <si>
    <t>Notebook CONFIG end_bents.end.length_ft (the 235-in D-026 cap body is derived from the pile layout)</t>
  </si>
  <si>
    <t>EB2_NPile</t>
  </si>
  <si>
    <t>Notebook CONFIG end_bents.end.pile_count</t>
  </si>
  <si>
    <t>EB2_PileW</t>
  </si>
  <si>
    <t>Notebook CONFIG end_bents.end.pile_width_in</t>
  </si>
  <si>
    <t>EB2_PileSp</t>
  </si>
  <si>
    <t>Notebook CONFIG end_bents.end.pile_spacing_in</t>
  </si>
  <si>
    <t>EB2_PileClr</t>
  </si>
  <si>
    <t>Notebook CONFIG end_bents.end.pile_end_clear_in</t>
  </si>
  <si>
    <t>EB2_Emb</t>
  </si>
  <si>
    <t>Notebook CONFIG end_bents.end.pile_embedment_in</t>
  </si>
  <si>
    <t>EB2_Pad</t>
  </si>
  <si>
    <t>Notebook CONFIG end_bents.end.pad_height_in</t>
  </si>
  <si>
    <t>EB2_PadL</t>
  </si>
  <si>
    <t>Notebook CONFIG end_bents.end.pad_length_in</t>
  </si>
  <si>
    <t>EB2_PadW</t>
  </si>
  <si>
    <t>Notebook CONFIG end_bents.end.pad_width_in</t>
  </si>
  <si>
    <t>EB2_Reveal</t>
  </si>
  <si>
    <t>Notebook CONFIG end_bents.end.minimum_pedestal_cl_in</t>
  </si>
  <si>
    <t>EB2_TopFix</t>
  </si>
  <si>
    <t>Notebook CONFIG end_bents.end.top_center_ft</t>
  </si>
  <si>
    <t>EB2_Ctr</t>
  </si>
  <si>
    <t>Notebook CONFIG end_bents.end.center_offset_ft</t>
  </si>
  <si>
    <t>EB2_Slope</t>
  </si>
  <si>
    <t>Notebook CONFIG end_bents.end.cross_slope</t>
  </si>
  <si>
    <t>EB2_PedW</t>
  </si>
  <si>
    <t>Notebook CONFIG end_bents.end.pedestal_width_in</t>
  </si>
  <si>
    <t>EB2_PedL</t>
  </si>
  <si>
    <t>Notebook CONFIG end_bents.end.pedestal_length_in</t>
  </si>
  <si>
    <t>EB2_Chamf</t>
  </si>
  <si>
    <t>Notebook CONFIG end_bents.end.pedestal_chamfer_in</t>
  </si>
  <si>
    <t>EB2_BW</t>
  </si>
  <si>
    <t>Notebook CONFIG end_bents.end.backwall_thickness_in</t>
  </si>
  <si>
    <t>EB2_Inset</t>
  </si>
  <si>
    <t>Notebook CONFIG end_bents.end.rear_face_inset_in</t>
  </si>
  <si>
    <t>EB2_BmClr</t>
  </si>
  <si>
    <t>Notebook CONFIG end_bents.end.beam_end_clear_in (QC: equals physical value)</t>
  </si>
  <si>
    <t>EB2_BmBrg</t>
  </si>
  <si>
    <t>Notebook CONFIG end_bents.end.beam_end_to_bearing_in (QC: equals physical value)</t>
  </si>
  <si>
    <t>EB2_BwDrop</t>
  </si>
  <si>
    <t>EB2_CkT</t>
  </si>
  <si>
    <t>Notebook CONFIG end_bents.end.cheek_thickness_in (D-026)</t>
  </si>
  <si>
    <t>EB2_LugP</t>
  </si>
  <si>
    <t>Notebook CONFIG end_bents.end.lug_projection_in (D-026 DXF)</t>
  </si>
  <si>
    <t>EB2_LugW</t>
  </si>
  <si>
    <t>Notebook CONFIG end_bents.end.lug_width_in (D-026 DXF)</t>
  </si>
  <si>
    <t>EB2_Joint</t>
  </si>
  <si>
    <t>Notebook CONFIG end_bents.end.mse_joint_in (D-026)</t>
  </si>
  <si>
    <t>EB2_CkTopL</t>
  </si>
  <si>
    <t>Notebook CONFIG end_bents.end.cheek_top_ft[0]: D-033 barrier-return base (MSE interface input)</t>
  </si>
  <si>
    <t>EB2_CkTopR</t>
  </si>
  <si>
    <t>Notebook CONFIG end_bents.end.cheek_top_ft[1]: D-033 barrier-return base (MSE interface input)</t>
  </si>
  <si>
    <t>Roadway / clearance - CONFIG['roadway']</t>
  </si>
  <si>
    <t>Required vertical clearance</t>
  </si>
  <si>
    <t>Rd_Req</t>
  </si>
  <si>
    <t>Notebook CONFIG roadway.clearance_required_ft</t>
  </si>
  <si>
    <t>Bridge station at XML station 0</t>
  </si>
  <si>
    <t>Rd_Shift</t>
  </si>
  <si>
    <t>Notebook CONFIG roadway.bridge_station_at_xml_zero_ft (explicit project assumption)</t>
  </si>
  <si>
    <t>Roadway XML file</t>
  </si>
  <si>
    <t>Geometry Report.xml</t>
  </si>
  <si>
    <t>Rd_File</t>
  </si>
  <si>
    <t>SHA-256 9880ef7adeeac4228666146f5d5bb4dd17ef93f66ffeaf465a2c813eb69489e4</t>
  </si>
  <si>
    <t>Beam design - Mathcad saved results (no Mathcad recalculation)</t>
  </si>
  <si>
    <t>Mathcad variable</t>
  </si>
  <si>
    <t>Span 1</t>
  </si>
  <si>
    <t>Span 2</t>
  </si>
  <si>
    <t>Workbook names</t>
  </si>
  <si>
    <t>Input data file named in worksheet</t>
  </si>
  <si>
    <t>InputDataFile</t>
  </si>
  <si>
    <t>PedestrianBridge2Beam_Span1.dat</t>
  </si>
  <si>
    <t>PedestrianBridge2Beam_Span2.dat</t>
  </si>
  <si>
    <t>MC1_File, MC2_File</t>
  </si>
  <si>
    <t>BeamType</t>
  </si>
  <si>
    <t>FIB36</t>
  </si>
  <si>
    <t>MC1_Type, MC2_Type</t>
  </si>
  <si>
    <t>Beam length</t>
  </si>
  <si>
    <t>L.beam</t>
  </si>
  <si>
    <t>MC1_Lbeam, MC2_Lbeam</t>
  </si>
  <si>
    <t>Bearing distance (beam end to CL bearing)</t>
  </si>
  <si>
    <t>BearingDistance</t>
  </si>
  <si>
    <t>MC1_BrgDist, MC2_BrgDist</t>
  </si>
  <si>
    <t>Pad width (longitudinal)</t>
  </si>
  <si>
    <t>PadWidth</t>
  </si>
  <si>
    <t>MC1_PadW, MC2_PadW</t>
  </si>
  <si>
    <t>BeamSpacing</t>
  </si>
  <si>
    <t>MC1_Spacing, MC2_Spacing</t>
  </si>
  <si>
    <t>t.deck</t>
  </si>
  <si>
    <t>MC1_Tdeck, MC2_Tdeck</t>
  </si>
  <si>
    <t>Design build-up</t>
  </si>
  <si>
    <t>h.buildup</t>
  </si>
  <si>
    <t>MC1_Hbu, MC2_Hbu</t>
  </si>
  <si>
    <t>Skew</t>
  </si>
  <si>
    <t>deg</t>
  </si>
  <si>
    <t>MC1_Skew, MC2_Skew</t>
  </si>
  <si>
    <t>Beam f'c (28 day)</t>
  </si>
  <si>
    <t>f.c.beam</t>
  </si>
  <si>
    <t>ksi</t>
  </si>
  <si>
    <t>MC1_fc, MC2_fc</t>
  </si>
  <si>
    <t>Beam f'ci (release)</t>
  </si>
  <si>
    <t>f.ci.beam</t>
  </si>
  <si>
    <t>MC1_fci, MC2_fci</t>
  </si>
  <si>
    <t>Eci</t>
  </si>
  <si>
    <t>E.ci</t>
  </si>
  <si>
    <t>MC1_Eci, MC2_Eci</t>
  </si>
  <si>
    <t>Ec</t>
  </si>
  <si>
    <t>E.c</t>
  </si>
  <si>
    <t>MC1_Ec, MC2_Ec</t>
  </si>
  <si>
    <t>Relative humidity</t>
  </si>
  <si>
    <t>H</t>
  </si>
  <si>
    <t>%</t>
  </si>
  <si>
    <t>MC1_H, MC2_H</t>
  </si>
  <si>
    <t>Environment</t>
  </si>
  <si>
    <t>Moderately</t>
  </si>
  <si>
    <t>MC1_Env, MC2_Env</t>
  </si>
  <si>
    <t>Strand type</t>
  </si>
  <si>
    <t>StrandType</t>
  </si>
  <si>
    <t>Carbon Steel - Low Lax</t>
  </si>
  <si>
    <t>MC1_StrType, MC2_StrType</t>
  </si>
  <si>
    <t>Strand area</t>
  </si>
  <si>
    <t>A.strand</t>
  </si>
  <si>
    <t>in2</t>
  </si>
  <si>
    <t>MC1_Astr, MC2_Astr</t>
  </si>
  <si>
    <t>Number of strands</t>
  </si>
  <si>
    <t>#Strands</t>
  </si>
  <si>
    <t>MC1_NStr, MC2_NStr</t>
  </si>
  <si>
    <t>Number of debonded strands</t>
  </si>
  <si>
    <t>NumberOfDebondedTendons</t>
  </si>
  <si>
    <t>MC1_NDeb, MC2_NDeb</t>
  </si>
  <si>
    <t>Jacking force per strand</t>
  </si>
  <si>
    <t>JackingForce.per.strand</t>
  </si>
  <si>
    <t>kip</t>
  </si>
  <si>
    <t>MC1_Pj, MC2_Pj</t>
  </si>
  <si>
    <t>Top (partial) strands</t>
  </si>
  <si>
    <t>NoStrands.partial.ps</t>
  </si>
  <si>
    <t>MC1_NTop, MC2_NTop</t>
  </si>
  <si>
    <t>Top strand force each</t>
  </si>
  <si>
    <t>Force.strand.partial.ps</t>
  </si>
  <si>
    <t>MC1_PTop, MC2_PTop</t>
  </si>
  <si>
    <t>Top strand diameter</t>
  </si>
  <si>
    <t>Dia.strand.partial.ps</t>
  </si>
  <si>
    <t>MC1_DTop, MC2_DTop</t>
  </si>
  <si>
    <t>Creep coefficient at 120 days</t>
  </si>
  <si>
    <t>Cr.120day</t>
  </si>
  <si>
    <t>MC1_Psi, MC2_Psi</t>
  </si>
  <si>
    <t>Shrinkage strain at 120 days</t>
  </si>
  <si>
    <t>eps.sh.120</t>
  </si>
  <si>
    <t>MC1_Esh, MC2_Esh</t>
  </si>
  <si>
    <t>Release deflection, max</t>
  </si>
  <si>
    <t>max(Defl.release)</t>
  </si>
  <si>
    <t>MC1_Drel, MC2_Drel</t>
  </si>
  <si>
    <t>120-day deflection, max</t>
  </si>
  <si>
    <t>max(Defl.120day)</t>
  </si>
  <si>
    <t>MC1_D120, MC2_D120</t>
  </si>
  <si>
    <t>Non-composite DL deflection, min</t>
  </si>
  <si>
    <t>min(Defl.dl.nc)</t>
  </si>
  <si>
    <t>MC1_Dnc, MC2_Dnc</t>
  </si>
  <si>
    <t>Composite DL deflection, min</t>
  </si>
  <si>
    <t>min(Defl.dl.c)</t>
  </si>
  <si>
    <t>MC1_Dc, MC2_Dc</t>
  </si>
  <si>
    <t>Net camber at 120 days</t>
  </si>
  <si>
    <t>NetCamber</t>
  </si>
  <si>
    <t>MC1_Net, MC2_Net</t>
  </si>
  <si>
    <t>First stirrup from beam end</t>
  </si>
  <si>
    <t>EndSpace</t>
  </si>
  <si>
    <t>MC1_EndSp, MC2_EndSp</t>
  </si>
  <si>
    <t>Stirrup zone A1 spacing</t>
  </si>
  <si>
    <t>StirrupSpacing.A1</t>
  </si>
  <si>
    <t>MC1_A1_s, MC2_A1_s</t>
  </si>
  <si>
    <t>Stirrup zone A1 spaces</t>
  </si>
  <si>
    <t>NumberOfStirrupSpaces.A1</t>
  </si>
  <si>
    <t>MC1_A1_n, MC2_A1_n</t>
  </si>
  <si>
    <t>Stirrup zone A1 Av</t>
  </si>
  <si>
    <t>StirrupArea.A1</t>
  </si>
  <si>
    <t>MC1_A1_A, MC2_A1_A</t>
  </si>
  <si>
    <t>Stirrup zone A2 spacing</t>
  </si>
  <si>
    <t>StirrupSpacing.A2</t>
  </si>
  <si>
    <t>MC1_A2_s, MC2_A2_s</t>
  </si>
  <si>
    <t>Stirrup zone A2 spaces</t>
  </si>
  <si>
    <t>NumberOfStirrupSpaces.A2</t>
  </si>
  <si>
    <t>MC1_A2_n, MC2_A2_n</t>
  </si>
  <si>
    <t>Stirrup zone A2 Av</t>
  </si>
  <si>
    <t>StirrupArea.A2</t>
  </si>
  <si>
    <t>MC1_A2_A, MC2_A2_A</t>
  </si>
  <si>
    <t>Stirrup zone A3 spacing</t>
  </si>
  <si>
    <t>StirrupSpacing.A3</t>
  </si>
  <si>
    <t>MC1_A3_s, MC2_A3_s</t>
  </si>
  <si>
    <t>Stirrup zone A3 spaces</t>
  </si>
  <si>
    <t>NumberOfStirrupSpaces.A3</t>
  </si>
  <si>
    <t>MC1_A3_n, MC2_A3_n</t>
  </si>
  <si>
    <t>Stirrup zone A3 Av</t>
  </si>
  <si>
    <t>StirrupArea.A3</t>
  </si>
  <si>
    <t>MC1_A3_A, MC2_A3_A</t>
  </si>
  <si>
    <t>Stirrup zone S1 spacing</t>
  </si>
  <si>
    <t>StirrupSpacing.S1</t>
  </si>
  <si>
    <t>MC1_S1_s, MC2_S1_s</t>
  </si>
  <si>
    <t>Stirrup zone S1 spaces</t>
  </si>
  <si>
    <t>NumberOfStirrupSpaces.S1</t>
  </si>
  <si>
    <t>MC1_S1_n, MC2_S1_n</t>
  </si>
  <si>
    <t>Stirrup zone S1 Av</t>
  </si>
  <si>
    <t>StirrupArea.S1</t>
  </si>
  <si>
    <t>MC1_S1_A, MC2_S1_A</t>
  </si>
  <si>
    <t>Stirrup zone S2 spacing</t>
  </si>
  <si>
    <t>StirrupSpacing.S2</t>
  </si>
  <si>
    <t>MC1_S2_s, MC2_S2_s</t>
  </si>
  <si>
    <t>Stirrup zone S2 spaces</t>
  </si>
  <si>
    <t>NumberOfStirrupSpaces.S2</t>
  </si>
  <si>
    <t>MC1_S2_n, MC2_S2_n</t>
  </si>
  <si>
    <t>Stirrup zone S2 Av</t>
  </si>
  <si>
    <t>StirrupArea.S2</t>
  </si>
  <si>
    <t>MC1_S2_A, MC2_S2_A</t>
  </si>
  <si>
    <t>Stirrup zone S3 spacing</t>
  </si>
  <si>
    <t>StirrupSpacing.S3</t>
  </si>
  <si>
    <t>MC1_S3_s, MC2_S3_s</t>
  </si>
  <si>
    <t>Stirrup zone S3 spaces</t>
  </si>
  <si>
    <t>NumberOfStirrupSpaces.S3</t>
  </si>
  <si>
    <t>MC1_S3_n, MC2_S3_n</t>
  </si>
  <si>
    <t>Stirrup zone S3 Av</t>
  </si>
  <si>
    <t>StirrupArea.S3</t>
  </si>
  <si>
    <t>MC1_S3_A, MC2_S3_A</t>
  </si>
  <si>
    <t>Stirrup zone S4 spacing</t>
  </si>
  <si>
    <t>StirrupSpacing.S4</t>
  </si>
  <si>
    <t>MC1_S4_s, MC2_S4_s</t>
  </si>
  <si>
    <t>Stirrup zone S4 spaces</t>
  </si>
  <si>
    <t>NumberOfStirrupSpaces.S4</t>
  </si>
  <si>
    <t>MC1_S4_n, MC2_S4_n</t>
  </si>
  <si>
    <t>Stirrup zone S4 Av</t>
  </si>
  <si>
    <t>StirrupArea.S4</t>
  </si>
  <si>
    <t>MC1_S4_A, MC2_S4_A</t>
  </si>
  <si>
    <t>Span 1 source: project_current/mathcad/PrestressedBeamV6.2_Pedestrian_2Beam_Span1.xmcd</t>
  </si>
  <si>
    <t>SHA-256 a6b0f967d271c193591d477e219ac66f98b72309d19958a04c6cd08e575a8dcd</t>
  </si>
  <si>
    <t>Span 2 source: project_current/mathcad/PrestressedBeamV6.2_Pedestrian_2Beam_Span2.xmcd</t>
  </si>
  <si>
    <t>SHA-256 182e3471f169d3a379c437ad12f359d567813bd4631bcc0b82e78ad860fa91b8</t>
  </si>
  <si>
    <t>Designer assignments and BCC-template method constants (not in the notebook or Mathcad)</t>
  </si>
  <si>
    <t>Concrete class (beam)</t>
  </si>
  <si>
    <t>VI</t>
  </si>
  <si>
    <t>Des_ConcClass</t>
  </si>
  <si>
    <t>Designer input: FDOT Class VI for f'c = 8.5 ksi</t>
  </si>
  <si>
    <t>Standard strand pattern type (table)</t>
  </si>
  <si>
    <t>Des_Pattern</t>
  </si>
  <si>
    <t>Designer input: strand-pattern detail number shown on the plans (Mathcad: 39 strands, 8 debonded)</t>
  </si>
  <si>
    <t>Plan view case (zero skew)</t>
  </si>
  <si>
    <t>Des_PlanCase</t>
  </si>
  <si>
    <t>Template convention: Case 1 = square end (notebook supports are normal to the tangent alignment)</t>
  </si>
  <si>
    <t>Bearing pad type</t>
  </si>
  <si>
    <t>F</t>
  </si>
  <si>
    <t>Des_PadType</t>
  </si>
  <si>
    <t>Notebook CONFIG comment: "Type F pads: 10 x 32 x 2-9/16 in" (QC checks the dimensions)</t>
  </si>
  <si>
    <t>Beveled bearing plate limit |slope| &gt;</t>
  </si>
  <si>
    <t>Des_BevelLimit</t>
  </si>
  <si>
    <t>BCC template rule</t>
  </si>
  <si>
    <t>Dim P threshold (|grade x depth| below this -&gt; 0)</t>
  </si>
  <si>
    <t>Des_DimP</t>
  </si>
  <si>
    <t>FIB-36 gross section area</t>
  </si>
  <si>
    <t>Bm_Area</t>
  </si>
  <si>
    <t>FDOT FIB-36 section property (BCC template BeamProp table)</t>
  </si>
  <si>
    <t>FGE increments between CL bearings</t>
  </si>
  <si>
    <t>Des_FGEInc</t>
  </si>
  <si>
    <t>Generator constant (sets the table column count)</t>
  </si>
  <si>
    <t>Bar 3C1/3C2 dimension C (square end)</t>
  </si>
  <si>
    <t>Bar_C</t>
  </si>
  <si>
    <t>BCC template Reinforcing formulas (FIB standard bar bending)</t>
  </si>
  <si>
    <t>Bar 3D1/3D2 dimension A (square end)</t>
  </si>
  <si>
    <t>Bar_DA</t>
  </si>
  <si>
    <t>BCC template Reinforcing formulas</t>
  </si>
  <si>
    <t>Bar 3D1/3D2 dimension B (square end)</t>
  </si>
  <si>
    <t>Bar_DB</t>
  </si>
  <si>
    <t>Bar 4M1/4M2 dimension D (square end)</t>
  </si>
  <si>
    <t>Bar_MD</t>
  </si>
  <si>
    <t>Bar 3D3 spacing</t>
  </si>
  <si>
    <t>Bar_D3s</t>
  </si>
  <si>
    <t>FIB-36 4M3 constant (template BeamProp column H)</t>
  </si>
  <si>
    <t>Bar_Mk</t>
  </si>
  <si>
    <t>BCC template BeamProp (FIB 36 -&gt; 6)</t>
  </si>
  <si>
    <t>Reference: FDOT composite elastomeric bearing pad types (BCC template BeamProp)</t>
  </si>
  <si>
    <t>Pad type</t>
  </si>
  <si>
    <t>L (in)</t>
  </si>
  <si>
    <t>W (in)</t>
  </si>
  <si>
    <t>T (in)</t>
  </si>
  <si>
    <t>D</t>
  </si>
  <si>
    <t>E</t>
  </si>
  <si>
    <t>G</t>
  </si>
  <si>
    <t>J</t>
  </si>
  <si>
    <t>K</t>
  </si>
  <si>
    <t>Inputs - Method</t>
  </si>
  <si>
    <t>Where every input comes from and how the workbook is kept consistent with the notebook</t>
  </si>
  <si>
    <t>1. Authority and data flow</t>
  </si>
  <si>
    <t>The Colab geometry notebook (Bridge_Geometry_2 Beam_V2.ipynb) is the source of truth for all bridge geometry. Its CONFIG dictionary and BridgeModel equations define the profile, deck, beam layout, bearings, caps, pedestals and piles. The FreeCAD model and these CAD tables are built from the notebook, never the reverse. The generator executes the notebook cells, writes CONFIG into this tab, and writes every calculation as an Excel formula.</t>
  </si>
  <si>
    <t>Figure 1. Source-to-table flow. Each arrow is a formula chain you can trace with Excel "Trace Precedents".</t>
  </si>
  <si>
    <t>2. Sign conventions and units</t>
  </si>
  <si>
    <t>•  Stations s increase from End Bent 1 to End Bent 2 (ft). Offsets y are measured from the PGL, positive to the right looking up-station (ft).</t>
  </si>
  <si>
    <t>•  Elevations z are in feet on the project datum. Inputs ending in "in" are inches; slopes and grades are ft/ft.</t>
  </si>
  <si>
    <t>•  Deflections and camber are in inches, positive upward (Mathcad convention). The camber C is the peak upward value at midspan.</t>
  </si>
  <si>
    <t>•  Workbook names (Formulas &gt; Name Manager) mirror the notebook keys, for example Prof_Sta0 = CONFIG["profile"]["start_sta_ft"].</t>
  </si>
  <si>
    <t>3. Mathcad beam-design values</t>
  </si>
  <si>
    <t>Beam-design inputs are the saved results stored in the two registered Mathcad runs. The generator parses the worksheet XML and reads each result by variable name; Mathcad is not recalculated. The notebook camber input equals the Mathcad NetCamber:</t>
  </si>
  <si>
    <t>Meaning</t>
  </si>
  <si>
    <t>Workbook name / location</t>
  </si>
  <si>
    <t>Units / value</t>
  </si>
  <si>
    <t>Net camber at 120 days after all dead load</t>
  </si>
  <si>
    <t>Sp1_C, Sp2_C (Inputs)</t>
  </si>
  <si>
    <t>Δ120</t>
  </si>
  <si>
    <t>120-day prestress + beam weight deflection (max)</t>
  </si>
  <si>
    <t>ΔDL,nc</t>
  </si>
  <si>
    <t>Non-composite dead load (deck pour) deflection (min)</t>
  </si>
  <si>
    <t>ΔDL,c</t>
  </si>
  <si>
    <t>Composite dead load (barrier) deflection (min)</t>
  </si>
  <si>
    <t>ψ, εsh</t>
  </si>
  <si>
    <t>Creep coefficient and shrinkage strain at 120 days</t>
  </si>
  <si>
    <t>MC1_Psi, MC1_Esh ...</t>
  </si>
  <si>
    <t>-</t>
  </si>
  <si>
    <t>4. Designer assignments and template constants</t>
  </si>
  <si>
    <t>A few table entries are not geometry and are not in Mathcad: concrete class, strand pattern number, plan view case and pad type. They are explicit inputs at the bottom of the Inputs tab. Standard bar-bending constants for the Table of Beam Variables are taken from the BCC example workbook formulas so the tables are produced the same way as before.</t>
  </si>
  <si>
    <t>5. Keeping it current</t>
  </si>
  <si>
    <t>•  Change geometry in the notebook CONFIG, then run: .venv\Scripts\python.exe scripts\build_geometry_cad_tables.py</t>
  </si>
  <si>
    <t>•  The script rebuilds every tab, has Excel recalculate, and verifies the results against the notebook before saving.</t>
  </si>
  <si>
    <t>•  Every figure that shows project values is a live Excel chart of the workbook cells; its figure data (formulas) sits to the right of the text on each Method tab. Pictures are limited to equations and label-only schematics.</t>
  </si>
  <si>
    <t>•  Editing a blue input here recalculates the tables and charts. The banner at the top of every Method tab, the Cover and the QC tab then report that inputs differ from the notebook build, and QC flags any result that no longer matches the notebook.</t>
  </si>
  <si>
    <t>PGL profile, deck cross slope, beam offsets and haunch check points</t>
  </si>
  <si>
    <t>Calc. by / date</t>
  </si>
  <si>
    <t>Check. by / date</t>
  </si>
  <si>
    <t>Profile constants</t>
  </si>
  <si>
    <t>Profile length</t>
  </si>
  <si>
    <t>L</t>
  </si>
  <si>
    <t>Prof_L</t>
  </si>
  <si>
    <t>s1 - s0</t>
  </si>
  <si>
    <t>PI elevation (brokeback)</t>
  </si>
  <si>
    <t>zPI</t>
  </si>
  <si>
    <t>Prof_PIZ</t>
  </si>
  <si>
    <t>Average of the two tangents projected to the PI</t>
  </si>
  <si>
    <t>Grade 1 (entering)</t>
  </si>
  <si>
    <t>g1</t>
  </si>
  <si>
    <t>Prof_G1</t>
  </si>
  <si>
    <t>Notebook BridgeModel.__init__</t>
  </si>
  <si>
    <t>Grade 2 (leaving)</t>
  </si>
  <si>
    <t>g2</t>
  </si>
  <si>
    <t>Prof_G2</t>
  </si>
  <si>
    <t>Parabolic coefficient (0 for brokeback)</t>
  </si>
  <si>
    <t>kq</t>
  </si>
  <si>
    <t>1/ft</t>
  </si>
  <si>
    <t>Prof_Kq</t>
  </si>
  <si>
    <t>z = z0 + g1 x + kq x^2</t>
  </si>
  <si>
    <t>PGL at control stations</t>
  </si>
  <si>
    <t>Control point</t>
  </si>
  <si>
    <t>Station (ft)</t>
  </si>
  <si>
    <t>PGL (ft)</t>
  </si>
  <si>
    <t>Station label</t>
  </si>
  <si>
    <t>FFBW End Bent 1 (profile start)</t>
  </si>
  <si>
    <t>Tangent intersection (PI)</t>
  </si>
  <si>
    <t>FFBW End Bent 2 (profile end)</t>
  </si>
  <si>
    <t>Deck edges</t>
  </si>
  <si>
    <t>Left deck edge (coping) offset</t>
  </si>
  <si>
    <t>Deck_YL</t>
  </si>
  <si>
    <t>Offsets measured from the PGL, + to the right looking up-station</t>
  </si>
  <si>
    <t>Right deck edge (coping) offset</t>
  </si>
  <si>
    <t>Deck_YR</t>
  </si>
  <si>
    <t>Deck cross-slope drop at left edge</t>
  </si>
  <si>
    <t>Deck_dL</t>
  </si>
  <si>
    <t>delta(y)</t>
  </si>
  <si>
    <t>Deck cross-slope drop at right edge</t>
  </si>
  <si>
    <t>Deck_dR</t>
  </si>
  <si>
    <t>Beam lines and haunch check points (flange edges, CL and any crown point on the flange)</t>
  </si>
  <si>
    <t>Beam</t>
  </si>
  <si>
    <t>Offset y (ft)</t>
  </si>
  <si>
    <t>Left flange edge</t>
  </si>
  <si>
    <t>CL</t>
  </si>
  <si>
    <t>Right flange edge</t>
  </si>
  <si>
    <t>Crown point on flange</t>
  </si>
  <si>
    <t>delta left (ft)</t>
  </si>
  <si>
    <t>delta CL (ft)</t>
  </si>
  <si>
    <t>delta right (ft)</t>
  </si>
  <si>
    <t>delta crown pt (ft)</t>
  </si>
  <si>
    <t>delta min (ft)</t>
  </si>
  <si>
    <t>Beam 1</t>
  </si>
  <si>
    <t>Beam 2</t>
  </si>
  <si>
    <t>Layout checks</t>
  </si>
  <si>
    <t>Beam flanges inside the deck width</t>
  </si>
  <si>
    <t>Flanges do not overlap</t>
  </si>
  <si>
    <t>Deck mode implemented (crowned or uniform)</t>
  </si>
  <si>
    <t>Profile mode implemented (brokeback or parabolic)</t>
  </si>
  <si>
    <t>PI inside the profile</t>
  </si>
  <si>
    <t>Profile &amp; Deck - Method</t>
  </si>
  <si>
    <t>Figure data</t>
  </si>
  <si>
    <t>Profile grade line, deck cross slope, beam offsets and haunch check points</t>
  </si>
  <si>
    <t>Live formulas that draw the charts on this tab. Do not edit; change the notebook CONFIG and rebuild.</t>
  </si>
  <si>
    <t>Profile along the bridge</t>
  </si>
  <si>
    <t>1. Profile grade line (PGL)</t>
  </si>
  <si>
    <t>Series / label text</t>
  </si>
  <si>
    <t>x</t>
  </si>
  <si>
    <t>y</t>
  </si>
  <si>
    <t>error +</t>
  </si>
  <si>
    <t>PGL</t>
  </si>
  <si>
    <t>Parabolic mode (also in the notebook) keeps both end elevations and the entered grade change Δg, with x = s - s0 and L = s1 - s0:</t>
  </si>
  <si>
    <t>Lowest PGL less 0.25 ft</t>
  </si>
  <si>
    <t>Highest PGL plus 0.1 ft</t>
  </si>
  <si>
    <t>Span datums</t>
  </si>
  <si>
    <t>Figure 1. Profile along the bridge, drawn from the PGL formulas (vertical scale exaggerated by the chart shape).</t>
  </si>
  <si>
    <t>2. Deck surface</t>
  </si>
  <si>
    <t>The deck top at offset y adds a cross-slope term to the PGL. Crowned mode slopes both sides away from the PGL; uniform mode applies one slope across the deck. (The notebook transition mode is not implemented in this workbook; QC fails if it is selected.)</t>
  </si>
  <si>
    <t>frame (invisible, sets the chart window)</t>
  </si>
  <si>
    <t>Section at Span 1 midspan (true scale)</t>
  </si>
  <si>
    <t>PGL at Span 1 midspan (ft)</t>
  </si>
  <si>
    <t>Deck</t>
  </si>
  <si>
    <t>3. Beam offsets and haunch check points</t>
  </si>
  <si>
    <t>The haunch is checked at four transverse points on each top flange: both flange edges, the beam centerline, and the crown point clipped onto the flange (it captures a crown break that falls on the flange). The lowest deck point over the flange governs:</t>
  </si>
  <si>
    <t>Beam 1 bottom at midspan (ft)</t>
  </si>
  <si>
    <t>Beam 2 bottom at midspan (ft)</t>
  </si>
  <si>
    <t>FIB-36 beams</t>
  </si>
  <si>
    <t>s0, s1, sPI</t>
  </si>
  <si>
    <t>Profile start, end and tangent-intersection stations</t>
  </si>
  <si>
    <t>Prof_Sta0, Prof_Sta1, Prof_PISta</t>
  </si>
  <si>
    <t>z0, z1</t>
  </si>
  <si>
    <t>Profile end elevations</t>
  </si>
  <si>
    <t>Prof_Z0, Prof_Z1</t>
  </si>
  <si>
    <t>g1, g2</t>
  </si>
  <si>
    <t>Tangent grades</t>
  </si>
  <si>
    <t>Prof_G1, Prof_G2</t>
  </si>
  <si>
    <t>Parabolic coefficient (0 in brokeback mode)</t>
  </si>
  <si>
    <t>sc, su</t>
  </si>
  <si>
    <t>Crown slope, uniform slope</t>
  </si>
  <si>
    <t>Deck_Crown, Deck_Uni</t>
  </si>
  <si>
    <t>yk</t>
  </si>
  <si>
    <t>Beam k centerline offset</t>
  </si>
  <si>
    <t>Bm1_Off, Bm2_Off</t>
  </si>
  <si>
    <t>δmin,k</t>
  </si>
  <si>
    <t>Lowest cross-slope drop over beam k flange</t>
  </si>
  <si>
    <t>Bm1_dMin, Bm2_dMin</t>
  </si>
  <si>
    <t>Haunch over beam 1</t>
  </si>
  <si>
    <t>Haunch over beam 2</t>
  </si>
  <si>
    <t>Haunch check points</t>
  </si>
  <si>
    <t>Lowest beam bottom (ft)</t>
  </si>
  <si>
    <t>Beam centerlines</t>
  </si>
  <si>
    <t>Spacing dimension line (ft)</t>
  </si>
  <si>
    <t>Deck-width dimension line (ft)</t>
  </si>
  <si>
    <t>Spacing 1</t>
  </si>
  <si>
    <t>Physical beam ends, bearings, deck limits, bearing chords and Table of Beam Variables dimensions</t>
  </si>
  <si>
    <t>Span layout (stations in ft)</t>
  </si>
  <si>
    <t>Span</t>
  </si>
  <si>
    <t>Datum start</t>
  </si>
  <si>
    <t>Datum end</t>
  </si>
  <si>
    <t>Start support</t>
  </si>
  <si>
    <t>End support</t>
  </si>
  <si>
    <t>Beam start</t>
  </si>
  <si>
    <t>Beam end</t>
  </si>
  <si>
    <t>CL brg A (start)</t>
  </si>
  <si>
    <t>CL brg B (end)</t>
  </si>
  <si>
    <t>Deck start</t>
  </si>
  <si>
    <t>Deck end</t>
  </si>
  <si>
    <t>Brg span Lb</t>
  </si>
  <si>
    <t>Brg midpoint</t>
  </si>
  <si>
    <t>PGL at A</t>
  </si>
  <si>
    <t>PGL at B</t>
  </si>
  <si>
    <t>Chord grade</t>
  </si>
  <si>
    <t>Layout check</t>
  </si>
  <si>
    <t>Mathcad L.beam</t>
  </si>
  <si>
    <t>Beam length - Mathcad</t>
  </si>
  <si>
    <t>End Bent 1</t>
  </si>
  <si>
    <t>Pier</t>
  </si>
  <si>
    <t>End Bent 2</t>
  </si>
  <si>
    <t>Beam dimensions for the Table of Beam Variables (template method, notebook geometry)</t>
  </si>
  <si>
    <t>Offset (ft)</t>
  </si>
  <si>
    <t>Raise (in)</t>
  </si>
  <si>
    <t>Horizontal length (ft)</t>
  </si>
  <si>
    <t>Sloped length Ls (ft)</t>
  </si>
  <si>
    <t>Skew (deg)</t>
  </si>
  <si>
    <t>Angle phi End 1</t>
  </si>
  <si>
    <t>Angle phi End 2</t>
  </si>
  <si>
    <t>Dim J (in)</t>
  </si>
  <si>
    <t>Dim K1 (in)</t>
  </si>
  <si>
    <t>Dim K2 (in)</t>
  </si>
  <si>
    <t>Dim P (in)</t>
  </si>
  <si>
    <t>End elev. cond.</t>
  </si>
  <si>
    <t>Prestress P (kip)</t>
  </si>
  <si>
    <t>Creep factor C1</t>
  </si>
  <si>
    <t>Shortening R (in)</t>
  </si>
  <si>
    <t>Dim L incl. R (ft)</t>
  </si>
  <si>
    <t>Dim L ft</t>
  </si>
  <si>
    <t>Dim L in</t>
  </si>
  <si>
    <t>1-1</t>
  </si>
  <si>
    <t>1-2</t>
  </si>
  <si>
    <t>2-1</t>
  </si>
  <si>
    <t>2-2</t>
  </si>
  <si>
    <t>Dim L follows the BCC template (sloped beam length + shortening R). Confirm against the current FDOT instructions for the Table of Beam Variables before issue; the sloped length without R is column G.</t>
  </si>
  <si>
    <t>Beam Geometry - Method</t>
  </si>
  <si>
    <t>Physical beam ends, bearings and the Table of Beam Variables dimensions</t>
  </si>
  <si>
    <t>1. Physical beam ends and bearings</t>
  </si>
  <si>
    <t>Spans run between datums: the front face of backwall (FFBW) at end bents and the pier centerline. Beams stop short of each datum by the beam-end clearance e at an end bent, or by half the pier gap g at the pier. Bearings sit a setback j inside each beam end. The deck stops a clearance cd inside each FFBW and is continuous over the pier:</t>
  </si>
  <si>
    <t>Figure 1. Beam-end, bearing and pier-joint dimensions (elevation, not to scale). Current values are in the table below.</t>
  </si>
  <si>
    <t>e</t>
  </si>
  <si>
    <t>Beam end clearance to the FFBW</t>
  </si>
  <si>
    <t>Bearing setback, beam end to CL bearing (Dim J)</t>
  </si>
  <si>
    <t>K1 = e + J</t>
  </si>
  <si>
    <t>FFBW to CL bearing at an end bent (Dim K1 / K2)</t>
  </si>
  <si>
    <t>Beam Geometry cols L, M</t>
  </si>
  <si>
    <t>Pier beam gap, beam end to beam end</t>
  </si>
  <si>
    <t>K = g/2 + J</t>
  </si>
  <si>
    <t>CL pier to CL bearing</t>
  </si>
  <si>
    <t>2. Bearing chord and sloped length</t>
  </si>
  <si>
    <t>The beam soffit chord between bearings is parallel to the PGL chord (the notebook drops all bearings by the same D; see Camber &amp; Haunch). QC compares the horizontal beam length with the Mathcad L.beam.</t>
  </si>
  <si>
    <t>3. Table of Beam Variables dimensions (BCC template method)</t>
  </si>
  <si>
    <t>Elastic plus time-dependent shortening R uses the template expression with the Mathcad prestress, creep and shrinkage values:</t>
  </si>
  <si>
    <t>Dim L adds R to the sloped length, exactly as the BCC template did. Confirm against the current FDOT Table of Beam Variables instructions before issue; the sloped length without R is shown in the Ls column.</t>
  </si>
  <si>
    <t>Figure 2. End-of-beam dimensions used in the Table of Beam Variables.</t>
  </si>
  <si>
    <t>sa, sb</t>
  </si>
  <si>
    <t>Span datum stations (FFBW or CL pier)</t>
  </si>
  <si>
    <t>Sp1_Sta0, Sp1_Sta1 ...</t>
  </si>
  <si>
    <t>sA, sB</t>
  </si>
  <si>
    <t>Bearing stations</t>
  </si>
  <si>
    <t>Sp1_BrgA, Sp1_BrgB ...</t>
  </si>
  <si>
    <t>Lb, gc</t>
  </si>
  <si>
    <t>Bearing span and chord grade</t>
  </si>
  <si>
    <t>Sp1_Lb, Sp1_Gc ...</t>
  </si>
  <si>
    <t>ft, ft/ft</t>
  </si>
  <si>
    <t>P</t>
  </si>
  <si>
    <t>Total prestress force at jacking</t>
  </si>
  <si>
    <t>Beam Geometry col P</t>
  </si>
  <si>
    <t>Ag, Eci</t>
  </si>
  <si>
    <t>FIB-36 gross area; release modulus (Mathcad)</t>
  </si>
  <si>
    <t>Bm_Area, MC1_Eci</t>
  </si>
  <si>
    <t>in2, ksi</t>
  </si>
  <si>
    <t>Common support drop, build-up (Dims B, C, D) and minimum flange haunch</t>
  </si>
  <si>
    <t>A. Haunch shape per span: h(t) = K - m t(1-t), with t = (s - brg A)/Lb</t>
  </si>
  <si>
    <t>Camber C (in)</t>
  </si>
  <si>
    <t>Lb (ft)</t>
  </si>
  <si>
    <t>t at beam start</t>
  </si>
  <si>
    <t>t at beam end</t>
  </si>
  <si>
    <t>m (ft)</t>
  </si>
  <si>
    <t>max of m t(1-t) on beam</t>
  </si>
  <si>
    <t>Mathcad NetCamber (in)</t>
  </si>
  <si>
    <t>C - Mathcad (in)</t>
  </si>
  <si>
    <t>B. Minimum uncorrected haunch per beam and the common support drop D</t>
  </si>
  <si>
    <t>Min haunch with D = 0 (ft)</t>
  </si>
  <si>
    <t>Min flange haunch (in)</t>
  </si>
  <si>
    <t>Common support drop D (ft)</t>
  </si>
  <si>
    <t>D = h_min,req - min over every beam and flange point of the haunch with D = 0</t>
  </si>
  <si>
    <t>Minimum flange haunch, whole bridge (in)</t>
  </si>
  <si>
    <t>C. Haunch over each beam at the bearings and midspan</t>
  </si>
  <si>
    <t>Location</t>
  </si>
  <si>
    <t>Station s (ft)</t>
  </si>
  <si>
    <t>t</t>
  </si>
  <si>
    <t>Chord (ft)</t>
  </si>
  <si>
    <t>Camber (ft)</t>
  </si>
  <si>
    <t>Beam bottom (ft)</t>
  </si>
  <si>
    <t>Beam top (ft)</t>
  </si>
  <si>
    <t>Deck @ CL beam (ft)</t>
  </si>
  <si>
    <t>Haunch @ CL (in)</t>
  </si>
  <si>
    <t>Begin brg</t>
  </si>
  <si>
    <t>Midspan</t>
  </si>
  <si>
    <t>End brg</t>
  </si>
  <si>
    <t>D. Build-up summary (FDOT Build-Up &amp; Deflection table)</t>
  </si>
  <si>
    <t>Dim B begin (in)</t>
  </si>
  <si>
    <t>Dim C CL span (in)</t>
  </si>
  <si>
    <t>Dim D end (in)</t>
  </si>
  <si>
    <t>Mid-ordinate R (in)</t>
  </si>
  <si>
    <t>Net camber C (in)</t>
  </si>
  <si>
    <t>Build-up case</t>
  </si>
  <si>
    <t>E. Mathcad deflections by span (in, + up)</t>
  </si>
  <si>
    <t>Release (max)</t>
  </si>
  <si>
    <t>120 day (max)</t>
  </si>
  <si>
    <t>Non-comp. DL (min)</t>
  </si>
  <si>
    <t>Composite DL (min)</t>
  </si>
  <si>
    <t>Sum = NetCamber</t>
  </si>
  <si>
    <t>Mathcad NetCamber</t>
  </si>
  <si>
    <t>CONFIG camber</t>
  </si>
  <si>
    <t>Check</t>
  </si>
  <si>
    <t>Camber &amp; Haunch - Method</t>
  </si>
  <si>
    <t>Common support drop D, build-up dimensions and the minimum haunch</t>
  </si>
  <si>
    <t>Span 2: camber and haunch over CL beam 1</t>
  </si>
  <si>
    <t>1. Beam soffit with camber</t>
  </si>
  <si>
    <t>Within a span, t runs from 0 at bearing A to 1 at bearing B. The soffit follows the PGL chord between bearings, dropped by one common distance D for every support, plus the Mathcad camber as an upward parabola and any entered beam raise r:</t>
  </si>
  <si>
    <t>Vertical exaggeration</t>
  </si>
  <si>
    <t>Deck soffit over CL beam 1</t>
  </si>
  <si>
    <t>2. Haunch and the exact minimum</t>
  </si>
  <si>
    <t>Because the PGL is straight (brokeback) or a single parabola over each beam, z_PGL - q is itself -k_q L_b^2 t(1-t). The haunch over a beam is therefore an exact quadratic in t, and its minimum on the beam (t from t_lo to t_hi) has a closed form:</t>
  </si>
  <si>
    <t>t = 1/2 always lies on the beam, so m/4 covers upward camber; the end terms cover a net sag. The notebook finds the same minimum by locating every quadratic extremum between breakpoints. One common drop then enforces the required minimum haunch everywhere:</t>
  </si>
  <si>
    <t>Cambered beam top</t>
  </si>
  <si>
    <t>3. Build-up dimensions and case</t>
  </si>
  <si>
    <t>Dims B, C and D are the haunch over the beam centerline at the begin bearing, midspan and end bearing. The build-up case follows the BCC template rule using the vertical-curve mid-ordinate of the FGE over the beam centerline:</t>
  </si>
  <si>
    <t>Net camber (Mathcad NetCamber)</t>
  </si>
  <si>
    <t>Sp1_C, Sp2_C</t>
  </si>
  <si>
    <t>Common support drop</t>
  </si>
  <si>
    <t>Sup_Drop</t>
  </si>
  <si>
    <t>td, db, hreq</t>
  </si>
  <si>
    <t>Deck thickness, beam depth, minimum haunch</t>
  </si>
  <si>
    <t>Deck_T, Bm_D, Bm_Hmin</t>
  </si>
  <si>
    <t>ft, ft, in</t>
  </si>
  <si>
    <t>m, W</t>
  </si>
  <si>
    <t>Haunch curvature term and its maximum on the beam</t>
  </si>
  <si>
    <t>Sp1_m, Sp1_W ...</t>
  </si>
  <si>
    <t>B, C, D dims</t>
  </si>
  <si>
    <t>Build-up over CL beam at begin, mid, end</t>
  </si>
  <si>
    <t>Camber &amp; Haunch section D</t>
  </si>
  <si>
    <t>Beam top with zero camber</t>
  </si>
  <si>
    <t>deck soffit over CL beam 1</t>
  </si>
  <si>
    <t>beam top with zero camber (chord less D)</t>
  </si>
  <si>
    <t>Dim B arrow</t>
  </si>
  <si>
    <t>Dim C arrow</t>
  </si>
  <si>
    <t>Dim D arrow</t>
  </si>
  <si>
    <t>Span 1: camber and haunch over CL beam 1</t>
  </si>
  <si>
    <t>Finished Grade Elevations</t>
  </si>
  <si>
    <t>FGE = PGL(s) + delta(y) at every line and station (top of deck)</t>
  </si>
  <si>
    <t>delta(y) (ft)</t>
  </si>
  <si>
    <t>FFBW EB 1</t>
  </si>
  <si>
    <t>CL Brg</t>
  </si>
  <si>
    <t>1</t>
  </si>
  <si>
    <t>2</t>
  </si>
  <si>
    <t>3</t>
  </si>
  <si>
    <t>4</t>
  </si>
  <si>
    <t>5</t>
  </si>
  <si>
    <t>6</t>
  </si>
  <si>
    <t>7</t>
  </si>
  <si>
    <t>8</t>
  </si>
  <si>
    <t>9</t>
  </si>
  <si>
    <t>CL Pier</t>
  </si>
  <si>
    <t>Deck present?</t>
  </si>
  <si>
    <t>PGL elevation (ft)</t>
  </si>
  <si>
    <t>Left coping (deck edge)</t>
  </si>
  <si>
    <t>CL Beam 1-1</t>
  </si>
  <si>
    <t>CL Beam 1-2</t>
  </si>
  <si>
    <t>Right coping (deck edge)</t>
  </si>
  <si>
    <t>Increment (ft)</t>
  </si>
  <si>
    <t>FFBW EB 2</t>
  </si>
  <si>
    <t>CL Beam 2-1</t>
  </si>
  <si>
    <t>CL Beam 2-2</t>
  </si>
  <si>
    <t>FGE - Method</t>
  </si>
  <si>
    <t>Finished grade elevations at every line and station</t>
  </si>
  <si>
    <t>FGE grid, Span 1 (plan)</t>
  </si>
  <si>
    <t>1. Stations</t>
  </si>
  <si>
    <t>Each span lists its datum, the two CL bearings and equal increments between bearings (tenth points with the default 10 increments):</t>
  </si>
  <si>
    <t>Lowest line offset (ft)</t>
  </si>
  <si>
    <t>Highest line offset (ft)</t>
  </si>
  <si>
    <t>Station lines</t>
  </si>
  <si>
    <t>2. Elevations</t>
  </si>
  <si>
    <t>Figure 1. FGE grid for Span 1 in plan, read from the FGE table: every red point is one finished-grade elevation.</t>
  </si>
  <si>
    <t>A barrier-face (gutter) line is not tabulated: the notebook does not define the barrier. Add the barrier to the notebook CONFIG first if that line is wanted.</t>
  </si>
  <si>
    <t>Increments between bearings</t>
  </si>
  <si>
    <t>10</t>
  </si>
  <si>
    <t>W, yc</t>
  </si>
  <si>
    <t>Deck width and center offset</t>
  </si>
  <si>
    <t>Deck_W, Deck_C</t>
  </si>
  <si>
    <t>δ(y)</t>
  </si>
  <si>
    <t>Cross-slope drop at the line offset</t>
  </si>
  <si>
    <t>FGE column D</t>
  </si>
  <si>
    <t>Pad-top planes, bearing slopes, pedestal tops and pedestal corner elevations</t>
  </si>
  <si>
    <t>A. Seat plane at each bearing (soffit chord over the pad length)</t>
  </si>
  <si>
    <t>Support</t>
  </si>
  <si>
    <t>Face</t>
  </si>
  <si>
    <t>Beam ID</t>
  </si>
  <si>
    <t>CL brg s (ft)</t>
  </si>
  <si>
    <t>Pad L (in)</t>
  </si>
  <si>
    <t>Pad T (in)</t>
  </si>
  <si>
    <t>s lo (ft)</t>
  </si>
  <si>
    <t>s hi (ft)</t>
  </si>
  <si>
    <t>t lo</t>
  </si>
  <si>
    <t>t hi</t>
  </si>
  <si>
    <t>t brg</t>
  </si>
  <si>
    <t>Soffit @ s lo</t>
  </si>
  <si>
    <t>Soffit @ s hi</t>
  </si>
  <si>
    <t>Soffit @ CL brg</t>
  </si>
  <si>
    <t>Pad-top plane (ft)</t>
  </si>
  <si>
    <t>Bearing slope</t>
  </si>
  <si>
    <t>Chord gap (in)</t>
  </si>
  <si>
    <t>Pedestal top @ CL brg (ft)</t>
  </si>
  <si>
    <t>Pad on beam</t>
  </si>
  <si>
    <t>Start</t>
  </si>
  <si>
    <t>End</t>
  </si>
  <si>
    <t>B. End-bent pedestal tops: plane of the seat, level transversely (A/C back edge at FFBW, B/D span-side edge)</t>
  </si>
  <si>
    <t>Back edge s (ft)</t>
  </si>
  <si>
    <t>Front edge s (ft)</t>
  </si>
  <si>
    <t>Ped. top @ CL brg</t>
  </si>
  <si>
    <t>Slope</t>
  </si>
  <si>
    <t>EL A</t>
  </si>
  <si>
    <t>EL B</t>
  </si>
  <si>
    <t>EL C</t>
  </si>
  <si>
    <t>EL D</t>
  </si>
  <si>
    <t>Pad inside pedestal</t>
  </si>
  <si>
    <t>C. Pier pedestal tops: Span 1 seat plane, straight transition between pad ends (E to F), Span 2 seat plane</t>
  </si>
  <si>
    <t>s A/C face (ft)</t>
  </si>
  <si>
    <t>s E pad end (ft)</t>
  </si>
  <si>
    <t>s F pad start (ft)</t>
  </si>
  <si>
    <t>s B/D face (ft)</t>
  </si>
  <si>
    <t>EL A = EL C</t>
  </si>
  <si>
    <t>EL E</t>
  </si>
  <si>
    <t>EL F</t>
  </si>
  <si>
    <t>EL B = EL D</t>
  </si>
  <si>
    <t>EL @ CL pier</t>
  </si>
  <si>
    <t>Order check</t>
  </si>
  <si>
    <t>Beam line 1</t>
  </si>
  <si>
    <t>Beam line 2</t>
  </si>
  <si>
    <t>D. Bearing plate data (template method; slope from the notebook seat plane)</t>
  </si>
  <si>
    <t>Brg plate mark</t>
  </si>
  <si>
    <t>Plan view case</t>
  </si>
  <si>
    <t>Slope (%)</t>
  </si>
  <si>
    <t>Beveled plate req.</t>
  </si>
  <si>
    <t>C (in)</t>
  </si>
  <si>
    <t>X (in)</t>
  </si>
  <si>
    <t>Y (in)</t>
  </si>
  <si>
    <t>Pad dims match type</t>
  </si>
  <si>
    <t>1-1-1</t>
  </si>
  <si>
    <t>1-2-1</t>
  </si>
  <si>
    <t>1-1-2</t>
  </si>
  <si>
    <t>1-2-2</t>
  </si>
  <si>
    <t>2-1-1</t>
  </si>
  <si>
    <t>2-2-1</t>
  </si>
  <si>
    <t>2-1-2</t>
  </si>
  <si>
    <t>2-2-2</t>
  </si>
  <si>
    <t>Bearing Seats - Method</t>
  </si>
  <si>
    <t>Seat planes, bearing slopes, pedestal tops and bearing plate data</t>
  </si>
  <si>
    <t>Pier pedestal top along beam line 1</t>
  </si>
  <si>
    <t>1. Seat plane over the pad</t>
  </si>
  <si>
    <t>The pad top is the chord of the cambered soffit between the pad ends, so the pad bears on a plane rather than a point. The chord gap at the bearing centerline is reported (it is a few millionths of an inch):</t>
  </si>
  <si>
    <t>Window bottom (ft)</t>
  </si>
  <si>
    <t>Window top (ft)</t>
  </si>
  <si>
    <t>Pedestal outline</t>
  </si>
  <si>
    <t>Pedestal top</t>
  </si>
  <si>
    <t>CL pier</t>
  </si>
  <si>
    <t>Figure 1. Pad-top plane chords the soffit (curvature exaggerated).</t>
  </si>
  <si>
    <t>2. Pedestal tops</t>
  </si>
  <si>
    <t>Each pedestal top is the seat plane extended longitudinally and level transversely (with bevels at the transverse edges). End-bent pedestals run from the FFBW (corners A, C) to the span-side face (corners B, D). The pier carries one pedestal per beam line: Span 1 seat plane up to the Span 1 pad end (E), a straight transition to the Span 2 pad start (F), then the Span 2 seat plane.</t>
  </si>
  <si>
    <t>Figure 2. Corner letters used in the CAD pedestal tables.</t>
  </si>
  <si>
    <t>3. Bearing plate data (BCC template rule)</t>
  </si>
  <si>
    <t>Lp, tp</t>
  </si>
  <si>
    <t>Pad length and thickness</t>
  </si>
  <si>
    <t>EB1_PadL, EB1_Pad, Pier_PadL, Pier_Pad</t>
  </si>
  <si>
    <t>β</t>
  </si>
  <si>
    <t>Bearing (seat) slope, + up-station</t>
  </si>
  <si>
    <t>Bearing Seats col T</t>
  </si>
  <si>
    <t>zped</t>
  </si>
  <si>
    <t>Pedestal top at CL bearing</t>
  </si>
  <si>
    <t>Bearing Seats col V</t>
  </si>
  <si>
    <t>Cap tops from the lowest pedestal, pedestal heights, cap corners and pile cutoffs</t>
  </si>
  <si>
    <t>A. Cap placement</t>
  </si>
  <si>
    <t>Datum station</t>
  </si>
  <si>
    <t>Cap CL station</t>
  </si>
  <si>
    <t>Cap width (ft)</t>
  </si>
  <si>
    <t>Cap depth (ft)</t>
  </si>
  <si>
    <t>Piles</t>
  </si>
  <si>
    <t>Pile size (in)</t>
  </si>
  <si>
    <t>Pile spacing (ft)</t>
  </si>
  <si>
    <t>Pile end clear (in)</t>
  </si>
  <si>
    <t>Cap length (ft)</t>
  </si>
  <si>
    <t>Length check</t>
  </si>
  <si>
    <t>Center offset</t>
  </si>
  <si>
    <t>Cross slope</t>
  </si>
  <si>
    <t>Min ped. (in)</t>
  </si>
  <si>
    <t>Fixed top</t>
  </si>
  <si>
    <t>Lowest seat basis (ft)</t>
  </si>
  <si>
    <t>Cap top (ft)</t>
  </si>
  <si>
    <t>Cap underside (ft)</t>
  </si>
  <si>
    <t>Cap volume (ft3)</t>
  </si>
  <si>
    <t>Embedment (in)</t>
  </si>
  <si>
    <t>Embedment check</t>
  </si>
  <si>
    <t>End caps: 235-in body derived from the pile layout (D-026); with the two 8-in cheek webs the cage envelope is 251 in (D-027). Backwalls, cheeks and lugs are in section F.</t>
  </si>
  <si>
    <t>B. Pedestal heights at CL bearing</t>
  </si>
  <si>
    <t>Local cap top</t>
  </si>
  <si>
    <t>Pedestal height (in)</t>
  </si>
  <si>
    <t>&gt;= minimum</t>
  </si>
  <si>
    <t>C. Pedestal bevel and footprint checks</t>
  </si>
  <si>
    <t>Lowest pedestal top (ft)</t>
  </si>
  <si>
    <t>Chamfer (in)</t>
  </si>
  <si>
    <t>Cap top at pedestal edge</t>
  </si>
  <si>
    <t>Bevel clears cap</t>
  </si>
  <si>
    <t>Pedestal within cap length</t>
  </si>
  <si>
    <t>D. Cap corner elevations (transverse section)</t>
  </si>
  <si>
    <t>Corner</t>
  </si>
  <si>
    <t>Elevation (ft)</t>
  </si>
  <si>
    <t>TL</t>
  </si>
  <si>
    <t>TR</t>
  </si>
  <si>
    <t>BR</t>
  </si>
  <si>
    <t>BL</t>
  </si>
  <si>
    <t>E. Pile layout and cutoff elevations (cutoff = local cap top - cap depth + embedment)</t>
  </si>
  <si>
    <t>Pile</t>
  </si>
  <si>
    <t>Size (in)</t>
  </si>
  <si>
    <t>Shape</t>
  </si>
  <si>
    <t>Cap underside</t>
  </si>
  <si>
    <t>Pile cutoff (ft)</t>
  </si>
  <si>
    <t>Trial tip (ft)</t>
  </si>
  <si>
    <t>pipe</t>
  </si>
  <si>
    <t>square</t>
  </si>
  <si>
    <t>F. End-bent backwalls, cheek webs and lugs (D-026/D-027/D-033)</t>
  </si>
  <si>
    <t>Quantity</t>
  </si>
  <si>
    <t>Cap rear face (toward the fill)</t>
  </si>
  <si>
    <t>Rear-lug outer face = MSE coping stop</t>
  </si>
  <si>
    <t>Backwall from station</t>
  </si>
  <si>
    <t>Backwall to station</t>
  </si>
  <si>
    <t>Backwall front face is the FFBW</t>
  </si>
  <si>
    <t>Cap end offset, left</t>
  </si>
  <si>
    <t>Cap end offset, right</t>
  </si>
  <si>
    <t>Out-to-out with cheek webs</t>
  </si>
  <si>
    <t>PGL at the FFBW</t>
  </si>
  <si>
    <t>Backwall top, left cap end</t>
  </si>
  <si>
    <t>Backwall top at the PGL</t>
  </si>
  <si>
    <t>Backwall top, right cap end</t>
  </si>
  <si>
    <t>Cap top, left cap end</t>
  </si>
  <si>
    <t>Cap top at the PGL</t>
  </si>
  <si>
    <t>Cap top, right cap end</t>
  </si>
  <si>
    <t>Backwall height, left end</t>
  </si>
  <si>
    <t>Backwall height at the PGL</t>
  </si>
  <si>
    <t>Backwall height, right end</t>
  </si>
  <si>
    <t>Backwall concrete</t>
  </si>
  <si>
    <t>ft3</t>
  </si>
  <si>
    <t>Cheek bottom, left (cap underside at cap end)</t>
  </si>
  <si>
    <t>Cheek bottom, right</t>
  </si>
  <si>
    <t>Lug bottom, left</t>
  </si>
  <si>
    <t>Lug bottom, right</t>
  </si>
  <si>
    <t>Cheek top, left</t>
  </si>
  <si>
    <t>Cheek top, right</t>
  </si>
  <si>
    <t>Cheek concrete, left (web + bottom lug + rear lug)</t>
  </si>
  <si>
    <t>Cheek concrete, right</t>
  </si>
  <si>
    <t>Cheek tops above the cap</t>
  </si>
  <si>
    <t>Cheeks enclose the backwall ends</t>
  </si>
  <si>
    <t>Lug width within the cheek</t>
  </si>
  <si>
    <t>Substructure - Method</t>
  </si>
  <si>
    <t>Cap placement, pedestal heights, cap corners and pile cutoffs</t>
  </si>
  <si>
    <t>End Bent 1: transverse section (elevations relative to the cap top)</t>
  </si>
  <si>
    <t>1. Cap location and length</t>
  </si>
  <si>
    <t>Reference: cap top at the cap center (ft)</t>
  </si>
  <si>
    <t>Lowest cap underside (relative, ft)</t>
  </si>
  <si>
    <t>Backwall (behind the cap, at the FFBW)</t>
  </si>
  <si>
    <t>2. Cap top from the lowest pedestal</t>
  </si>
  <si>
    <t>Unless a fixed cap top is entered, the cap top is set so the lowest pedestal (measured at its CL bearing) has the minimum height:</t>
  </si>
  <si>
    <t>Cheek webs with bottom lugs</t>
  </si>
  <si>
    <t>3. Piles</t>
  </si>
  <si>
    <t>Cap</t>
  </si>
  <si>
    <t>Figure 1. End Bent 1 transverse section, drawn from the Substructure and Bearing Seats tables: cap, piles, pedestals, pads, cheek webs with bottom lugs, and the backwall behind the cap (dashed).</t>
  </si>
  <si>
    <t>Piles (shown 2.2 ft below the cap)</t>
  </si>
  <si>
    <t>Figure 2. Pier transverse section, drawn from the Substructure and Bearing Seats tables.</t>
  </si>
  <si>
    <t>4. End-bent backwalls, cheek webs and lugs (section F)</t>
  </si>
  <si>
    <t>Pedestals</t>
  </si>
  <si>
    <t>σ, yc</t>
  </si>
  <si>
    <t>Cap cross slope and center offset</t>
  </si>
  <si>
    <t>Pier_Slope, Pier_Ctr ...</t>
  </si>
  <si>
    <t>ft/ft, ft</t>
  </si>
  <si>
    <t>hped,min</t>
  </si>
  <si>
    <t>Pier_Reveal, EB1_Reveal</t>
  </si>
  <si>
    <t>n, p, dp, c</t>
  </si>
  <si>
    <t>Pile count, spacing, size and end clearance</t>
  </si>
  <si>
    <t>Substructure section A</t>
  </si>
  <si>
    <t>-, ft, in, in</t>
  </si>
  <si>
    <t>Bearing pads</t>
  </si>
  <si>
    <t>eemb</t>
  </si>
  <si>
    <t>Pile embedment above the cap underside</t>
  </si>
  <si>
    <t>Pier_Emb, EB1_Emb</t>
  </si>
  <si>
    <t>Cap-length dimension line (relative, ft)</t>
  </si>
  <si>
    <t>Cap length</t>
  </si>
  <si>
    <t>Out-to-out dimension line (relative, ft)</t>
  </si>
  <si>
    <t>Out-to-out</t>
  </si>
  <si>
    <t>Window top: tallest pad or cheek plus labels (relative, ft)</t>
  </si>
  <si>
    <t>Pier: transverse section (elevations relative to the cap top)</t>
  </si>
  <si>
    <t>Bars 5K spacing zones (Mathcad stirrup layout) and FIB standard bar dimensions (template method)</t>
  </si>
  <si>
    <t>A. Bars 5K zones by span: Mathcad stirrup zones mapped to the FDOT S*, Sj, S1-S4 notation</t>
  </si>
  <si>
    <t>S* spaces</t>
  </si>
  <si>
    <t>V* (in)</t>
  </si>
  <si>
    <t>Sj spaces</t>
  </si>
  <si>
    <t>Vj (in)</t>
  </si>
  <si>
    <t>S1</t>
  </si>
  <si>
    <t>V1 (in)</t>
  </si>
  <si>
    <t>S2</t>
  </si>
  <si>
    <t>V2 (in)</t>
  </si>
  <si>
    <t>S3</t>
  </si>
  <si>
    <t>V3 (in)</t>
  </si>
  <si>
    <t>V4 (in)</t>
  </si>
  <si>
    <t>First bar from end (in)</t>
  </si>
  <si>
    <t>A1/A2 spacing equal</t>
  </si>
  <si>
    <t>B. Per beam: S4 count, total Bars 5K and standard bar dimensions (square ends)</t>
  </si>
  <si>
    <t>Dim L (ft)</t>
  </si>
  <si>
    <t>Half length (in)</t>
  </si>
  <si>
    <t>Zones S*..S3 (in)</t>
  </si>
  <si>
    <t>S4 spaces</t>
  </si>
  <si>
    <t>Center space (in)</t>
  </si>
  <si>
    <t>Center &lt;= V4</t>
  </si>
  <si>
    <t>Total 5K</t>
  </si>
  <si>
    <t>3C1 C (in)</t>
  </si>
  <si>
    <t>3C2 C (in)</t>
  </si>
  <si>
    <t>3D1 A (in)</t>
  </si>
  <si>
    <t>3D1 B (in)</t>
  </si>
  <si>
    <t>3D2 A (in)</t>
  </si>
  <si>
    <t>3D2 B (in)</t>
  </si>
  <si>
    <t>3D3 No.</t>
  </si>
  <si>
    <t>4M1 D (in)</t>
  </si>
  <si>
    <t>4M2 D (in)</t>
  </si>
  <si>
    <t>4M3 No.</t>
  </si>
  <si>
    <t>Beam Data - Method</t>
  </si>
  <si>
    <t>Bars 5K spacing zones and FIB standard bar dimensions</t>
  </si>
  <si>
    <t>Bars 5K zones, beam 1-1 (half beam)</t>
  </si>
  <si>
    <t>1. Mapping the Mathcad stirrup layout to FDOT notation</t>
  </si>
  <si>
    <t>The Mathcad stirrup design gives zones A1-A3 and S1-S4 for half the beam. They map to the FIB Bars 5K table columns as follows; zones A1 and A2 share one spacing (checked in Beam Data column O) and together form S*, and A3 forms Sj (FIB-36 standard: S* = 4, Sj = 12):</t>
  </si>
  <si>
    <t>Half beam length (in)</t>
  </si>
  <si>
    <t>First bar from beam end (in)</t>
  </si>
  <si>
    <t>S*, V*</t>
  </si>
  <si>
    <t>A1 + A2 spaces at the A1 spacing</t>
  </si>
  <si>
    <t>MC1_A1_n + MC1_A2_n, MC1_A1_s</t>
  </si>
  <si>
    <t>Beam (half length)</t>
  </si>
  <si>
    <t>Sj, Vj</t>
  </si>
  <si>
    <t>A3 spaces and spacing</t>
  </si>
  <si>
    <t>MC1_A3_n, MC1_A3_s</t>
  </si>
  <si>
    <t>S1-S3, V1-V3</t>
  </si>
  <si>
    <t>Mathcad zones S1-S3</t>
  </si>
  <si>
    <t>MC1_S1_n ... MC1_S3_s</t>
  </si>
  <si>
    <t>S4, V4</t>
  </si>
  <si>
    <t>Remaining spaces to midspan at V4</t>
  </si>
  <si>
    <t>computed here</t>
  </si>
  <si>
    <t>es</t>
  </si>
  <si>
    <t>Beam end to first stirrup (Mathcad EndSpace)</t>
  </si>
  <si>
    <t>MC1_EndSp</t>
  </si>
  <si>
    <t>beam end</t>
  </si>
  <si>
    <t>midspan</t>
  </si>
  <si>
    <t>Zone S* end (in)</t>
  </si>
  <si>
    <t>Zone S*</t>
  </si>
  <si>
    <t>Zone Sj end (in)</t>
  </si>
  <si>
    <t>Zone Sj</t>
  </si>
  <si>
    <t>Figure 1. Bars 5K zones along one half of beam 1-1, read from Beam Data sections A and B (S4 follows the current beam length).</t>
  </si>
  <si>
    <t>Zone S1 end (in)</t>
  </si>
  <si>
    <t>2. Standard bar dimensions (BCC template constants, square ends)</t>
  </si>
  <si>
    <t>Zone S1</t>
  </si>
  <si>
    <t>Zone S2 end (in)</t>
  </si>
  <si>
    <t>Zone S2</t>
  </si>
  <si>
    <t>These constants and counts reproduce the BCC example workbook formulas (FIB standard bar bending). The template used a 2.5 in end distance; this workbook uses the Mathcad EndSpace. Verify against the current FDOT FIB standard plans before issue.</t>
  </si>
  <si>
    <t>Zone S3 end (in)</t>
  </si>
  <si>
    <t>Zone S3</t>
  </si>
  <si>
    <t>Zone S4 end (in)</t>
  </si>
  <si>
    <t>Zone S4</t>
  </si>
  <si>
    <t>Vertical Clearance</t>
  </si>
  <si>
    <t>Beam bottom minus roadway profile, minimized exactly on every roadway segment under a beam</t>
  </si>
  <si>
    <t>A. Result</t>
  </si>
  <si>
    <t>Minimum vertical clearance (ft)</t>
  </si>
  <si>
    <t>Coverage note: the XML profile ends before the bridge does; the notebook reports "Covered region only" and never extrapolates. Clearance is evaluated only where a beam exists.</t>
  </si>
  <si>
    <t>Station of minimum (ft)</t>
  </si>
  <si>
    <t>Required clearance (ft)</t>
  </si>
  <si>
    <t>Margin (ft)</t>
  </si>
  <si>
    <t>Roadway coverage of the bridge length (ft)</t>
  </si>
  <si>
    <t>Status</t>
  </si>
  <si>
    <t>B. Roadway segments from Geometry Report.xml (as parsed by the notebook)</t>
  </si>
  <si>
    <t>Seg</t>
  </si>
  <si>
    <t>XML start</t>
  </si>
  <si>
    <t>XML end</t>
  </si>
  <si>
    <t>Bridge start (ft)</t>
  </si>
  <si>
    <t>Bridge end (ft)</t>
  </si>
  <si>
    <t>z start (ft)</t>
  </si>
  <si>
    <t>Grade</t>
  </si>
  <si>
    <t>Quad (1/ft)</t>
  </si>
  <si>
    <t>Overlap with bridge (ft)</t>
  </si>
  <si>
    <t>C. Clearance on each roadway segment piece under a beam (exact minimum of a quadratic)</t>
  </si>
  <si>
    <t>Piece</t>
  </si>
  <si>
    <t>s a</t>
  </si>
  <si>
    <t>s b</t>
  </si>
  <si>
    <t>s mid</t>
  </si>
  <si>
    <t>road a</t>
  </si>
  <si>
    <t>road mid</t>
  </si>
  <si>
    <t>road b</t>
  </si>
  <si>
    <t>bottom a</t>
  </si>
  <si>
    <t>bottom mid</t>
  </si>
  <si>
    <t>bottom b</t>
  </si>
  <si>
    <t>c a</t>
  </si>
  <si>
    <t>c mid</t>
  </si>
  <si>
    <t>c b</t>
  </si>
  <si>
    <t>A</t>
  </si>
  <si>
    <t>B</t>
  </si>
  <si>
    <t>t*</t>
  </si>
  <si>
    <t>c*</t>
  </si>
  <si>
    <t>c min (ft)</t>
  </si>
  <si>
    <t>s at min (ft)</t>
  </si>
  <si>
    <t>Clearance - Method</t>
  </si>
  <si>
    <t>Minimum vertical clearance between the beam bottoms and the roadway profile</t>
  </si>
  <si>
    <t>Clearance is the beam bottom minus the roadway elevation directly below, evaluated only where a beam exists (beam ends and the open pier joint are excluded). The roadway comes from Geometry Report.xml, mapped to bridge stations by the notebook assumption (bridge station at XML zero = Rd_Shift).</t>
  </si>
  <si>
    <t>Vertical clearance along the beams</t>
  </si>
  <si>
    <t>Roadway coverage start (ft)</t>
  </si>
  <si>
    <t>Roadway coverage end (ft)</t>
  </si>
  <si>
    <t>On every roadway segment piece under a beam both terms are quadratic, so c is quadratic. Fitting it through the piece ends and midpoint gives the exact minimum:</t>
  </si>
  <si>
    <t>Span 1 plotted from (ft)</t>
  </si>
  <si>
    <t>Span 1 plotted to (ft)</t>
  </si>
  <si>
    <t>Clearance under Span 1 beams</t>
  </si>
  <si>
    <t>Figure 1. Clearance c(s) under the beams against the required clearance, drawn from the roadway segments and beam formulas; the minimum is the section A result.</t>
  </si>
  <si>
    <t>Span 1 beams</t>
  </si>
  <si>
    <t>Span 2 plotted from (ft)</t>
  </si>
  <si>
    <t>Span 2 plotted to (ft)</t>
  </si>
  <si>
    <t>Clearance under Span 2 beams</t>
  </si>
  <si>
    <t>Span 2 beams</t>
  </si>
  <si>
    <t>Required clearance</t>
  </si>
  <si>
    <t>Roadway coverage limits</t>
  </si>
  <si>
    <t>XML coverage ends</t>
  </si>
  <si>
    <t>Minimum leader</t>
  </si>
  <si>
    <t>Minimum point</t>
  </si>
  <si>
    <t>FINISH GRADE ELEVATIONS</t>
  </si>
  <si>
    <t>Place these tables into CADD. Elevations in feet at top of deck.</t>
  </si>
  <si>
    <t>FINISH GRADE ELEVATIONS - SPAN 1</t>
  </si>
  <si>
    <t>LOCATION</t>
  </si>
  <si>
    <t>INCR. DIST (ft)</t>
  </si>
  <si>
    <t>CL BRG</t>
  </si>
  <si>
    <t>CL PIER</t>
  </si>
  <si>
    <t>STATION</t>
  </si>
  <si>
    <t>LEFT COPING (DECK EDGE)</t>
  </si>
  <si>
    <t>CL BEAM 1-1</t>
  </si>
  <si>
    <t>CL BEAM 1-2</t>
  </si>
  <si>
    <t>RIGHT COPING (DECK EDGE)</t>
  </si>
  <si>
    <t>FFBW columns are the PGL extended; the deck ends 3 in inside each FFBW.</t>
  </si>
  <si>
    <t>FINISH GRADE ELEVATIONS - SPAN 2</t>
  </si>
  <si>
    <t>CL BEAM 2-1</t>
  </si>
  <si>
    <t>CL BEAM 2-2</t>
  </si>
  <si>
    <t>CAD FGE - Method</t>
  </si>
  <si>
    <t>Finish Grade Elevations table for CADD</t>
  </si>
  <si>
    <t>Each span table lists the increment distance, the station labels and the finished grade elevation of every line, linked directly to the FGE tab. Values keep full precision and display to 0.001 ft. Line names follow the template (copings, CL beams, PGL).</t>
  </si>
  <si>
    <t>FGE grid, Span 2 (plan)</t>
  </si>
  <si>
    <t>Figure 1. Span 2 FGE grid in plan, read from the FGE table.</t>
  </si>
  <si>
    <t>•  INCR. DIST = (CL brg B - CL brg A)/10.</t>
  </si>
  <si>
    <t>•  The barrier face is not in the notebook, so no gutter/barrier line is listed.</t>
  </si>
  <si>
    <t>BUILD-UP &amp; DEFLECTION DATA TABLE FOR PRESTRESSED I-BEAMS</t>
  </si>
  <si>
    <t>Inches. Build-up over CL beam; deflections + up (Mathcad).</t>
  </si>
  <si>
    <t>TABLE DATE 07/01/17</t>
  </si>
  <si>
    <t>REQUIRED THEORETICAL BUILD-UP OVER CL BEAM</t>
  </si>
  <si>
    <t>NET BEAM CAMBER (PRESTRESS - DEAD LOAD OF BEAM) @ RELEASE</t>
  </si>
  <si>
    <t>NET BEAM CAMBER (PRESTRESS - DEAD LOAD OF BEAM) @ 120 DAYS</t>
  </si>
  <si>
    <t>DEAD LOAD DEFLECTION DURING DECK POUR @ 120 DAYS DIM A</t>
  </si>
  <si>
    <t>BUILD-UP CASE NO.</t>
  </si>
  <si>
    <t>SPAN NO.</t>
  </si>
  <si>
    <t>BEAM NO.</t>
  </si>
  <si>
    <t>AT BEGIN SPAN DIM B</t>
  </si>
  <si>
    <t>AT CL SPAN DIM C</t>
  </si>
  <si>
    <t>AT END SPAN DIM D</t>
  </si>
  <si>
    <t>Dim A is the non-composite (deck pour) deflection. The build-up uses the Mathcad NetCamber = 120-day camber + non-composite DL + composite DL (barrier) deflections, so G - H differs from the camber used by the composite DL deflection.</t>
  </si>
  <si>
    <t>CAD Build-Up - Method</t>
  </si>
  <si>
    <t>Build-Up &amp; Deflection Data Table for prestressed I-beams</t>
  </si>
  <si>
    <t>Dim B, C, D</t>
  </si>
  <si>
    <t>Required theoretical build-up over the CL beam at begin bearing, midspan, end bearing</t>
  </si>
  <si>
    <t>Release</t>
  </si>
  <si>
    <t>Net beam camber (prestress - beam weight) at release: Mathcad max(Defl.release)</t>
  </si>
  <si>
    <t>120 days</t>
  </si>
  <si>
    <t>Net beam camber (prestress - beam weight) at 120 days: Mathcad max(Defl.120day)</t>
  </si>
  <si>
    <t>Dim A</t>
  </si>
  <si>
    <t>Dead load deflection during deck pour: |Mathcad min(Defl.dl.nc)|</t>
  </si>
  <si>
    <t>Case</t>
  </si>
  <si>
    <t>Build-up case from the mid-ordinate rule</t>
  </si>
  <si>
    <t>Camber &amp; Haunch col H</t>
  </si>
  <si>
    <t>The build-up uses the Mathcad NetCamber C, which also subtracts the composite (barrier) dead-load deflection. That is why the 120-day camber minus Dim A is larger than C by the composite deflection.</t>
  </si>
  <si>
    <t>Figure 1. Dims B, C and D over CL beam 1, Span 2 (vertical scale x40).</t>
  </si>
  <si>
    <t>FLORIDA-I BEAM - TABLE OF BEAM VARIABLES</t>
  </si>
  <si>
    <t>Dimensions: ft-in split as feet text + inches, as in the BCC template.</t>
  </si>
  <si>
    <t>TABLE DATE 01-01-16</t>
  </si>
  <si>
    <t>BEAM TYPE</t>
  </si>
  <si>
    <t>CONCRETE PROPERTIES</t>
  </si>
  <si>
    <t>STND. PTRN. TYPE</t>
  </si>
  <si>
    <t>END ELEV. COND.</t>
  </si>
  <si>
    <t>PLAN VIEW CASE</t>
  </si>
  <si>
    <t>BRG. PLATE MARK</t>
  </si>
  <si>
    <t>END OF BEAM &amp; BEARING DIMENSIONS</t>
  </si>
  <si>
    <t>BEAM DIMENSIONS</t>
  </si>
  <si>
    <t>REINFORCING STEEL</t>
  </si>
  <si>
    <t>CLASS</t>
  </si>
  <si>
    <t>STRENGTHS (psi)</t>
  </si>
  <si>
    <t>END 1</t>
  </si>
  <si>
    <t>END 2</t>
  </si>
  <si>
    <t>ANGLE PHI</t>
  </si>
  <si>
    <t>DIM P</t>
  </si>
  <si>
    <t>DIM J</t>
  </si>
  <si>
    <t>DIM K1</t>
  </si>
  <si>
    <t>DIM K2</t>
  </si>
  <si>
    <t>DIM L</t>
  </si>
  <si>
    <t>DIM R</t>
  </si>
  <si>
    <t>3C1</t>
  </si>
  <si>
    <t>3C2</t>
  </si>
  <si>
    <t>3D1</t>
  </si>
  <si>
    <t>3D2</t>
  </si>
  <si>
    <t>3D3</t>
  </si>
  <si>
    <t>4M1</t>
  </si>
  <si>
    <t>4M2</t>
  </si>
  <si>
    <t>4M3</t>
  </si>
  <si>
    <t>5K</t>
  </si>
  <si>
    <t>NO. OF SPACES BARS 5K</t>
  </si>
  <si>
    <t>SP. BARS 5K</t>
  </si>
  <si>
    <t>28 DAY</t>
  </si>
  <si>
    <t>RELEASE</t>
  </si>
  <si>
    <t>NO.</t>
  </si>
  <si>
    <t>S4</t>
  </si>
  <si>
    <t>V1</t>
  </si>
  <si>
    <t>Dim L = sloped beam length + shortening R (BCC template rule) - confirm against the current FDOT instructions before issue.</t>
  </si>
  <si>
    <t>Bar dimensions use the BCC template constants for square ends; 3D3 and S4 use the Mathcad first-stirrup distance (EndSpace).</t>
  </si>
  <si>
    <t>Strand pattern type and concrete class are designer assignments on the Inputs tab.</t>
  </si>
  <si>
    <t>CAD Beam Variables - Method</t>
  </si>
  <si>
    <t>Florida-I Beam Table of Beam Variables</t>
  </si>
  <si>
    <t>Beam type, class</t>
  </si>
  <si>
    <t>FIB-36 (Mathcad); concrete class designer input</t>
  </si>
  <si>
    <t>Bm_Type, Des_ConcClass</t>
  </si>
  <si>
    <t>f'c, f'ci</t>
  </si>
  <si>
    <t>Mathcad beam strengths x 1000</t>
  </si>
  <si>
    <t>MC1_fc, MC1_fci</t>
  </si>
  <si>
    <t>psi</t>
  </si>
  <si>
    <t>Stnd. ptrn. type</t>
  </si>
  <si>
    <t>Designer strand-pattern number</t>
  </si>
  <si>
    <t>1 if Dim P = 0, 2 if P &lt; 0, 3 if P &gt; 0</t>
  </si>
  <si>
    <t>Beam Geometry col O</t>
  </si>
  <si>
    <t>Case 1 = square end (zero skew)</t>
  </si>
  <si>
    <t>Brg. plate mark</t>
  </si>
  <si>
    <t>span-beam-end (end 1 = begin, end 2 = end)</t>
  </si>
  <si>
    <t>Angle phi</t>
  </si>
  <si>
    <t>90 deg - skew</t>
  </si>
  <si>
    <t>Beam Geometry cols I, J</t>
  </si>
  <si>
    <t>Dim P, J, K1, K2</t>
  </si>
  <si>
    <t>See Beam Geometry Method</t>
  </si>
  <si>
    <t>Beam Geometry cols K-N</t>
  </si>
  <si>
    <t>in, ft-in</t>
  </si>
  <si>
    <t>Dim L, R</t>
  </si>
  <si>
    <t>Sloped length + R (template) and shortening R</t>
  </si>
  <si>
    <t>Beam Geometry cols R-U</t>
  </si>
  <si>
    <t>ft-in, in</t>
  </si>
  <si>
    <t>3C1 ... 4M3</t>
  </si>
  <si>
    <t>Standard bar dimensions and counts</t>
  </si>
  <si>
    <t>Beam Data section B</t>
  </si>
  <si>
    <t>ft-in, no.</t>
  </si>
  <si>
    <t>5K, S1-S4, V1</t>
  </si>
  <si>
    <t>Total Bars 5K, spaces per zone, V1 spacing</t>
  </si>
  <si>
    <t>Beam Data sections A-B</t>
  </si>
  <si>
    <t>no., in</t>
  </si>
  <si>
    <t>Figure 1. End-of-beam dimensions.</t>
  </si>
  <si>
    <t>Feet-inch values are split into a feet text cell ("1'-") and an inches number, as in the BCC template, so the table pastes into the existing CADD cell layout.</t>
  </si>
  <si>
    <t>BEARING PLATE DATA TABLE - TYPE 2</t>
  </si>
  <si>
    <t>Slope (%) is the notebook seat-plane slope, + up-station.</t>
  </si>
  <si>
    <t>TABLE DATE 07-01-13</t>
  </si>
  <si>
    <t>GENERAL BEARING PLATE DATA</t>
  </si>
  <si>
    <t>BEVELED PLATE REQUIRED (Yes/No)</t>
  </si>
  <si>
    <t>BEVELED PLATE DIMENSIONS (PLATE B) (inches)</t>
  </si>
  <si>
    <t>SPAN NO(s).</t>
  </si>
  <si>
    <t>BEAM NO(s).</t>
  </si>
  <si>
    <t>PAD TYPE</t>
  </si>
  <si>
    <t>BEAM END</t>
  </si>
  <si>
    <t>SLOPE (%)</t>
  </si>
  <si>
    <t>X</t>
  </si>
  <si>
    <t>Y</t>
  </si>
  <si>
    <t>CAD Bearing Plates - Method</t>
  </si>
  <si>
    <t>Bearing Plate Data Table - Type 2</t>
  </si>
  <si>
    <t>span-beam-end</t>
  </si>
  <si>
    <t>Bearing Seats section D</t>
  </si>
  <si>
    <t>Designer input checked against the pad dimension table</t>
  </si>
  <si>
    <t>1 = begin of span, 2 = end of span</t>
  </si>
  <si>
    <t>100 x seat-plane slope beta from the notebook method, + up-station</t>
  </si>
  <si>
    <t>Beveled plate</t>
  </si>
  <si>
    <t>YES when |beta| &gt; 2% (template); C, X, Y only then</t>
  </si>
  <si>
    <t>Figure 1. The slope is the chord of the soffit over the pad length.</t>
  </si>
  <si>
    <t>TOP OF PEDESTAL ELEVATIONS</t>
  </si>
  <si>
    <t>Feet. Corner letters per the Method tab plan view; tops are level transversely.</t>
  </si>
  <si>
    <t>END BENTS</t>
  </si>
  <si>
    <t>END BENT NO.</t>
  </si>
  <si>
    <t>EL. A (FT)</t>
  </si>
  <si>
    <t>EL. B (FT)</t>
  </si>
  <si>
    <t>EL. C (FT)</t>
  </si>
  <si>
    <t>EL. D (FT)</t>
  </si>
  <si>
    <t>PIER (one pedestal per beam line; E and F are the pad-end break lines)</t>
  </si>
  <si>
    <t>PIER NO.</t>
  </si>
  <si>
    <t>BEAM LINE</t>
  </si>
  <si>
    <t>EL. E (FT)</t>
  </si>
  <si>
    <t>EL. F (FT)</t>
  </si>
  <si>
    <t>EL. @ CL PIER</t>
  </si>
  <si>
    <t>CAP AND PILE CUTOFF ELEVATIONS</t>
  </si>
  <si>
    <t>SUPPORT</t>
  </si>
  <si>
    <t>PILE NO.</t>
  </si>
  <si>
    <t>OFFSET (FT)</t>
  </si>
  <si>
    <t>TOP OF CAP</t>
  </si>
  <si>
    <t>BOTTOM OF CAP</t>
  </si>
  <si>
    <t>PILE CUTOFF</t>
  </si>
  <si>
    <t>END BENT WALL ELEVATIONS (D-026/D-033)</t>
  </si>
  <si>
    <t>TOP OF BACKWALL @ LT CAP END</t>
  </si>
  <si>
    <t>TOP OF BACKWALL @ PGL</t>
  </si>
  <si>
    <t>TOP OF BACKWALL @ RT CAP END</t>
  </si>
  <si>
    <t>TOP OF CHEEK LT</t>
  </si>
  <si>
    <t>TOP OF CHEEK RT</t>
  </si>
  <si>
    <t>BOTTOM OF CHEEK (CAP UNDERSIDE)</t>
  </si>
  <si>
    <t>BOTTOM OF LUGS</t>
  </si>
  <si>
    <t>REAR LUG FACE / COPING STOP STA.</t>
  </si>
  <si>
    <t>Cheek webs 8 in outside each cap end (251 in out-to-out); 6-in bottom and rear lugs, 5.5 in wide, on the outer face. Cheek tops are the D-033 barrier-return bases.</t>
  </si>
  <si>
    <t>CAD Pedestal Elevs - Method</t>
  </si>
  <si>
    <t>Top of pedestal, cap and pile cutoff elevations</t>
  </si>
  <si>
    <t>End-bent pedestal tops are planar: A and C on the FFBW edge, B and D on the span-side edge (A, B on the left side of the beam line). Tops are level transversely, so A = C and B = D. The pier pedestal on each beam line is two seat planes joined by a straight transition, so the table adds the break-line elevations E and F and the elevation at the pier centerline.</t>
  </si>
  <si>
    <t>Figure 1. Corner and break-line letters.</t>
  </si>
  <si>
    <t>Figure 2. Pier pedestal top along beam line 1, from Bearing Seats section C.</t>
  </si>
  <si>
    <t>Cap tops, undersides and pile cutoffs come from the Substructure tab (cutoff = local cap top - cap depth + embedment).</t>
  </si>
  <si>
    <t>Figure 3. Pier section, drawn from the Substructure and Bearing Seats tables.</t>
  </si>
  <si>
    <t>Figure 4. End Bent 2 section with cheeks and the backwall behind the cap (dashed).</t>
  </si>
  <si>
    <t>End Bent 2: transverse section (elevations relative to the cap top)</t>
  </si>
  <si>
    <t>QC - workbook vs. notebook</t>
  </si>
  <si>
    <t>Workbook formulas against the geometry notebook values captured at build time</t>
  </si>
  <si>
    <t>A. Numerical agreement with the notebook model and Mathcad</t>
  </si>
  <si>
    <t>Workbook value</t>
  </si>
  <si>
    <t>Notebook / source value</t>
  </si>
  <si>
    <t>Difference</t>
  </si>
  <si>
    <t>Tolerance</t>
  </si>
  <si>
    <t>Input cell</t>
  </si>
  <si>
    <t>Value at build</t>
  </si>
  <si>
    <t>Current value</t>
  </si>
  <si>
    <t>Changed</t>
  </si>
  <si>
    <t>Grade 1</t>
  </si>
  <si>
    <t>Inputs!D16</t>
  </si>
  <si>
    <t>Grade 2</t>
  </si>
  <si>
    <t>Inputs!D17</t>
  </si>
  <si>
    <t>PI elevation (ft)</t>
  </si>
  <si>
    <t>Inputs!D18</t>
  </si>
  <si>
    <t>Span 1 bearing A station</t>
  </si>
  <si>
    <t>Inputs!D19</t>
  </si>
  <si>
    <t>Span 1 bearing B station</t>
  </si>
  <si>
    <t>Inputs!D20</t>
  </si>
  <si>
    <t>Span 1 beam start</t>
  </si>
  <si>
    <t>Inputs!D21</t>
  </si>
  <si>
    <t>Span 1 beam end</t>
  </si>
  <si>
    <t>Inputs!D22</t>
  </si>
  <si>
    <t>Span 1 PGL at bearing A</t>
  </si>
  <si>
    <t>Inputs!D23</t>
  </si>
  <si>
    <t>Span 1 PGL at bearing B</t>
  </si>
  <si>
    <t>Inputs!D27</t>
  </si>
  <si>
    <t>Span 2 bearing A station</t>
  </si>
  <si>
    <t>Inputs!D28</t>
  </si>
  <si>
    <t>Span 2 bearing B station</t>
  </si>
  <si>
    <t>Inputs!D29</t>
  </si>
  <si>
    <t>Span 2 beam start</t>
  </si>
  <si>
    <t>Inputs!D30</t>
  </si>
  <si>
    <t>Span 2 beam end</t>
  </si>
  <si>
    <t>Inputs!D31</t>
  </si>
  <si>
    <t>Span 2 PGL at bearing A</t>
  </si>
  <si>
    <t>Inputs!D32</t>
  </si>
  <si>
    <t>Span 2 PGL at bearing B</t>
  </si>
  <si>
    <t>Inputs!D36</t>
  </si>
  <si>
    <t>Minimum flange haunch, bridge (in)</t>
  </si>
  <si>
    <t>Inputs!D37</t>
  </si>
  <si>
    <t>Haunch @ CL beam 1-1 Begin brg (in)</t>
  </si>
  <si>
    <t>Inputs!D38</t>
  </si>
  <si>
    <t>Min flange haunch 1-1 Begin brg (in)</t>
  </si>
  <si>
    <t>Inputs!D39</t>
  </si>
  <si>
    <t>Haunch @ CL beam 1-1 Midspan (in)</t>
  </si>
  <si>
    <t>Inputs!D40</t>
  </si>
  <si>
    <t>Min flange haunch 1-1 Midspan (in)</t>
  </si>
  <si>
    <t>Inputs!D41</t>
  </si>
  <si>
    <t>Haunch @ CL beam 1-1 End brg (in)</t>
  </si>
  <si>
    <t>Inputs!D42</t>
  </si>
  <si>
    <t>Min flange haunch 1-1 End brg (in)</t>
  </si>
  <si>
    <t>Inputs!D43</t>
  </si>
  <si>
    <t>Haunch @ CL beam 1-2 Begin brg (in)</t>
  </si>
  <si>
    <t>Inputs!D44</t>
  </si>
  <si>
    <t>Min flange haunch 1-2 Begin brg (in)</t>
  </si>
  <si>
    <t>Inputs!D49</t>
  </si>
  <si>
    <t>Haunch @ CL beam 1-2 Midspan (in)</t>
  </si>
  <si>
    <t>Inputs!D50</t>
  </si>
  <si>
    <t>Min flange haunch 1-2 Midspan (in)</t>
  </si>
  <si>
    <t>Inputs!D51</t>
  </si>
  <si>
    <t>Haunch @ CL beam 1-2 End brg (in)</t>
  </si>
  <si>
    <t>Inputs!D52</t>
  </si>
  <si>
    <t>Min flange haunch 1-2 End brg (in)</t>
  </si>
  <si>
    <t>Inputs!D53</t>
  </si>
  <si>
    <t>Haunch @ CL beam 2-1 Begin brg (in)</t>
  </si>
  <si>
    <t>Inputs!D54</t>
  </si>
  <si>
    <t>Min flange haunch 2-1 Begin brg (in)</t>
  </si>
  <si>
    <t>Inputs!D58</t>
  </si>
  <si>
    <t>Haunch @ CL beam 2-1 Midspan (in)</t>
  </si>
  <si>
    <t>Inputs!D59</t>
  </si>
  <si>
    <t>Min flange haunch 2-1 Midspan (in)</t>
  </si>
  <si>
    <t>Inputs!D60</t>
  </si>
  <si>
    <t>Haunch @ CL beam 2-1 End brg (in)</t>
  </si>
  <si>
    <t>Inputs!D61</t>
  </si>
  <si>
    <t>Min flange haunch 2-1 End brg (in)</t>
  </si>
  <si>
    <t>Inputs!D62</t>
  </si>
  <si>
    <t>Haunch @ CL beam 2-2 Begin brg (in)</t>
  </si>
  <si>
    <t>Inputs!D66</t>
  </si>
  <si>
    <t>Min flange haunch 2-2 Begin brg (in)</t>
  </si>
  <si>
    <t>Inputs!D67</t>
  </si>
  <si>
    <t>Haunch @ CL beam 2-2 Midspan (in)</t>
  </si>
  <si>
    <t>Inputs!D68</t>
  </si>
  <si>
    <t>Min flange haunch 2-2 Midspan (in)</t>
  </si>
  <si>
    <t>Inputs!D69</t>
  </si>
  <si>
    <t>Haunch @ CL beam 2-2 End brg (in)</t>
  </si>
  <si>
    <t>Inputs!D70</t>
  </si>
  <si>
    <t>Min flange haunch 2-2 End brg (in)</t>
  </si>
  <si>
    <t>Inputs!D71</t>
  </si>
  <si>
    <t>Pier cap top (ft)</t>
  </si>
  <si>
    <t>Inputs!D72</t>
  </si>
  <si>
    <t>Pier cap CL station (ft)</t>
  </si>
  <si>
    <t>Inputs!D73</t>
  </si>
  <si>
    <t>Pier cap length (ft)</t>
  </si>
  <si>
    <t>Inputs!D74</t>
  </si>
  <si>
    <t>Pier seat 1-1 pedestal top (ft)</t>
  </si>
  <si>
    <t>Inputs!D75</t>
  </si>
  <si>
    <t>Pier seat 1-1 bearing slope</t>
  </si>
  <si>
    <t>Inputs!D76</t>
  </si>
  <si>
    <t>Pier seat 1-1 pad-top plane (ft)</t>
  </si>
  <si>
    <t>Inputs!D77</t>
  </si>
  <si>
    <t>Pier seat 1-1 pedestal height (in)</t>
  </si>
  <si>
    <t>Inputs!D78</t>
  </si>
  <si>
    <t>Pier seat 1-2 pedestal top (ft)</t>
  </si>
  <si>
    <t>Inputs!D79</t>
  </si>
  <si>
    <t>Pier seat 1-2 bearing slope</t>
  </si>
  <si>
    <t>Inputs!D80</t>
  </si>
  <si>
    <t>Pier seat 1-2 pad-top plane (ft)</t>
  </si>
  <si>
    <t>Inputs!D81</t>
  </si>
  <si>
    <t>Pier seat 1-2 pedestal height (in)</t>
  </si>
  <si>
    <t>Inputs!D82</t>
  </si>
  <si>
    <t>Pier seat 2-1 pedestal top (ft)</t>
  </si>
  <si>
    <t>Inputs!D83</t>
  </si>
  <si>
    <t>Pier seat 2-1 bearing slope</t>
  </si>
  <si>
    <t>Inputs!D84</t>
  </si>
  <si>
    <t>Pier seat 2-1 pad-top plane (ft)</t>
  </si>
  <si>
    <t>Inputs!D85</t>
  </si>
  <si>
    <t>Pier seat 2-1 pedestal height (in)</t>
  </si>
  <si>
    <t>Inputs!D89</t>
  </si>
  <si>
    <t>Pier seat 2-2 pedestal top (ft)</t>
  </si>
  <si>
    <t>Inputs!D90</t>
  </si>
  <si>
    <t>Pier seat 2-2 bearing slope</t>
  </si>
  <si>
    <t>Inputs!D91</t>
  </si>
  <si>
    <t>Pier seat 2-2 pad-top plane (ft)</t>
  </si>
  <si>
    <t>Inputs!D92</t>
  </si>
  <si>
    <t>Pier seat 2-2 pedestal height (in)</t>
  </si>
  <si>
    <t>Inputs!D93</t>
  </si>
  <si>
    <t>Pier pile 1 offset (ft)</t>
  </si>
  <si>
    <t>Inputs!D94</t>
  </si>
  <si>
    <t>Pier pile 1 cutoff (ft)</t>
  </si>
  <si>
    <t>Inputs!D95</t>
  </si>
  <si>
    <t>Pier pile 2 offset (ft)</t>
  </si>
  <si>
    <t>Inputs!D96</t>
  </si>
  <si>
    <t>Pier pile 2 cutoff (ft)</t>
  </si>
  <si>
    <t>Inputs!D97</t>
  </si>
  <si>
    <t>Pier pile 3 offset (ft)</t>
  </si>
  <si>
    <t>Inputs!D98</t>
  </si>
  <si>
    <t>Pier pile 3 cutoff (ft)</t>
  </si>
  <si>
    <t>Inputs!D99</t>
  </si>
  <si>
    <t>Pier pile 4 offset (ft)</t>
  </si>
  <si>
    <t>Inputs!D100</t>
  </si>
  <si>
    <t>Pier pile 4 cutoff (ft)</t>
  </si>
  <si>
    <t>Inputs!D101</t>
  </si>
  <si>
    <t>Pier pedestal line 1 EL A/C (ft)</t>
  </si>
  <si>
    <t>Inputs!D102</t>
  </si>
  <si>
    <t>Pier pedestal line 1 EL E (ft)</t>
  </si>
  <si>
    <t>Inputs!D103</t>
  </si>
  <si>
    <t>Pier pedestal line 1 EL F (ft)</t>
  </si>
  <si>
    <t>Inputs!D104</t>
  </si>
  <si>
    <t>Pier pedestal line 1 EL B/D (ft)</t>
  </si>
  <si>
    <t>Inputs!D105</t>
  </si>
  <si>
    <t>Pier pedestal line 2 EL A/C (ft)</t>
  </si>
  <si>
    <t>Inputs!D106</t>
  </si>
  <si>
    <t>Pier pedestal line 2 EL E (ft)</t>
  </si>
  <si>
    <t>Inputs!D107</t>
  </si>
  <si>
    <t>Pier pedestal line 2 EL F (ft)</t>
  </si>
  <si>
    <t>Inputs!D108</t>
  </si>
  <si>
    <t>Pier pedestal line 2 EL B/D (ft)</t>
  </si>
  <si>
    <t>Inputs!D109</t>
  </si>
  <si>
    <t>End Bent 1 cap top (ft)</t>
  </si>
  <si>
    <t>Inputs!D110</t>
  </si>
  <si>
    <t>End Bent 1 cap CL station (ft)</t>
  </si>
  <si>
    <t>Inputs!D111</t>
  </si>
  <si>
    <t>End Bent 1 cap length (ft)</t>
  </si>
  <si>
    <t>Inputs!D112</t>
  </si>
  <si>
    <t>End Bent 1 seat 1-1 pedestal top (ft)</t>
  </si>
  <si>
    <t>Inputs!D113</t>
  </si>
  <si>
    <t>End Bent 1 seat 1-1 bearing slope</t>
  </si>
  <si>
    <t>Inputs!D114</t>
  </si>
  <si>
    <t>End Bent 1 seat 1-1 pad-top plane (ft)</t>
  </si>
  <si>
    <t>Inputs!D115</t>
  </si>
  <si>
    <t>End Bent 1 seat 1-1 pedestal height (in)</t>
  </si>
  <si>
    <t>Inputs!D116</t>
  </si>
  <si>
    <t>End Bent 1 seat 1-2 pedestal top (ft)</t>
  </si>
  <si>
    <t>Inputs!D117</t>
  </si>
  <si>
    <t>End Bent 1 seat 1-2 bearing slope</t>
  </si>
  <si>
    <t>Inputs!D121</t>
  </si>
  <si>
    <t>End Bent 1 seat 1-2 pad-top plane (ft)</t>
  </si>
  <si>
    <t>Inputs!D122</t>
  </si>
  <si>
    <t>End Bent 1 seat 1-2 pedestal height (in)</t>
  </si>
  <si>
    <t>Inputs!D123</t>
  </si>
  <si>
    <t>End Bent 1 pile 1 offset (ft)</t>
  </si>
  <si>
    <t>Inputs!D124</t>
  </si>
  <si>
    <t>End Bent 1 pile 1 cutoff (ft)</t>
  </si>
  <si>
    <t>Inputs!D125</t>
  </si>
  <si>
    <t>End Bent 1 pile 2 offset (ft)</t>
  </si>
  <si>
    <t>Inputs!D126</t>
  </si>
  <si>
    <t>End Bent 1 pile 2 cutoff (ft)</t>
  </si>
  <si>
    <t>Inputs!D127</t>
  </si>
  <si>
    <t>End Bent 1 pile 3 offset (ft)</t>
  </si>
  <si>
    <t>Inputs!D128</t>
  </si>
  <si>
    <t>End Bent 1 pile 3 cutoff (ft)</t>
  </si>
  <si>
    <t>Inputs!D129</t>
  </si>
  <si>
    <t>End Bent 1 pile 4 offset (ft)</t>
  </si>
  <si>
    <t>Inputs!D130</t>
  </si>
  <si>
    <t>End Bent 1 pile 4 cutoff (ft)</t>
  </si>
  <si>
    <t>Inputs!D131</t>
  </si>
  <si>
    <t>End Bent 1 pedestal 1 EL A (ft)</t>
  </si>
  <si>
    <t>Inputs!D132</t>
  </si>
  <si>
    <t>End Bent 1 pedestal 1 EL B (ft)</t>
  </si>
  <si>
    <t>Inputs!D133</t>
  </si>
  <si>
    <t>End Bent 1 pedestal 2 EL A (ft)</t>
  </si>
  <si>
    <t>Inputs!D134</t>
  </si>
  <si>
    <t>End Bent 1 pedestal 2 EL B (ft)</t>
  </si>
  <si>
    <t>Inputs!D135</t>
  </si>
  <si>
    <t>End Bent 2 cap top (ft)</t>
  </si>
  <si>
    <t>Inputs!D136</t>
  </si>
  <si>
    <t>End Bent 2 cap CL station (ft)</t>
  </si>
  <si>
    <t>Inputs!D137</t>
  </si>
  <si>
    <t>End Bent 2 cap length (ft)</t>
  </si>
  <si>
    <t>Inputs!D138</t>
  </si>
  <si>
    <t>End Bent 2 seat 2-1 pedestal top (ft)</t>
  </si>
  <si>
    <t>Inputs!D139</t>
  </si>
  <si>
    <t>End Bent 2 seat 2-1 bearing slope</t>
  </si>
  <si>
    <t>Inputs!D140</t>
  </si>
  <si>
    <t>End Bent 2 seat 2-1 pad-top plane (ft)</t>
  </si>
  <si>
    <t>Inputs!D141</t>
  </si>
  <si>
    <t>End Bent 2 seat 2-1 pedestal height (in)</t>
  </si>
  <si>
    <t>Inputs!D142</t>
  </si>
  <si>
    <t>End Bent 2 seat 2-2 pedestal top (ft)</t>
  </si>
  <si>
    <t>Inputs!D143</t>
  </si>
  <si>
    <t>End Bent 2 seat 2-2 bearing slope</t>
  </si>
  <si>
    <t>Inputs!D144</t>
  </si>
  <si>
    <t>End Bent 2 seat 2-2 pad-top plane (ft)</t>
  </si>
  <si>
    <t>Inputs!D145</t>
  </si>
  <si>
    <t>End Bent 2 seat 2-2 pedestal height (in)</t>
  </si>
  <si>
    <t>Inputs!D146</t>
  </si>
  <si>
    <t>End Bent 2 pile 1 offset (ft)</t>
  </si>
  <si>
    <t>Inputs!D147</t>
  </si>
  <si>
    <t>End Bent 2 pile 1 cutoff (ft)</t>
  </si>
  <si>
    <t>Inputs!D148</t>
  </si>
  <si>
    <t>End Bent 2 pile 2 offset (ft)</t>
  </si>
  <si>
    <t>Inputs!D149</t>
  </si>
  <si>
    <t>End Bent 2 pile 2 cutoff (ft)</t>
  </si>
  <si>
    <t>Inputs!D153</t>
  </si>
  <si>
    <t>End Bent 2 pile 3 offset (ft)</t>
  </si>
  <si>
    <t>Inputs!D154</t>
  </si>
  <si>
    <t>End Bent 2 pile 3 cutoff (ft)</t>
  </si>
  <si>
    <t>Inputs!D155</t>
  </si>
  <si>
    <t>End Bent 2 pile 4 offset (ft)</t>
  </si>
  <si>
    <t>Inputs!D159</t>
  </si>
  <si>
    <t>End Bent 2 pile 4 cutoff (ft)</t>
  </si>
  <si>
    <t>Inputs!E159</t>
  </si>
  <si>
    <t>End Bent 2 pedestal 1 EL A (ft)</t>
  </si>
  <si>
    <t>Inputs!D160</t>
  </si>
  <si>
    <t>End Bent 2 pedestal 1 EL B (ft)</t>
  </si>
  <si>
    <t>Inputs!E160</t>
  </si>
  <si>
    <t>End Bent 2 pedestal 2 EL A (ft)</t>
  </si>
  <si>
    <t>Inputs!D161</t>
  </si>
  <si>
    <t>End Bent 2 pedestal 2 EL B (ft)</t>
  </si>
  <si>
    <t>Inputs!E161</t>
  </si>
  <si>
    <t>End Bent 1 out-to-out with cheek webs (in)</t>
  </si>
  <si>
    <t>Inputs!D162</t>
  </si>
  <si>
    <t>End Bent 1 rear-lug face / coping stop (ft)</t>
  </si>
  <si>
    <t>Inputs!E162</t>
  </si>
  <si>
    <t>End Bent 1 backwall top, left cap end (ft)</t>
  </si>
  <si>
    <t>Inputs!D163</t>
  </si>
  <si>
    <t>End Bent 1 backwall top at PGL (ft)</t>
  </si>
  <si>
    <t>Inputs!E163</t>
  </si>
  <si>
    <t>End Bent 1 backwall top, right cap end (ft)</t>
  </si>
  <si>
    <t>Inputs!D164</t>
  </si>
  <si>
    <t>End Bent 1 backwall height at PGL (ft)</t>
  </si>
  <si>
    <t>Inputs!E164</t>
  </si>
  <si>
    <t>End Bent 1 backwall concrete (ft3)</t>
  </si>
  <si>
    <t>Inputs!D165</t>
  </si>
  <si>
    <t>End Bent 1 cheek top L (ft)</t>
  </si>
  <si>
    <t>Inputs!E165</t>
  </si>
  <si>
    <t>End Bent 1 cheek L concrete (ft3)</t>
  </si>
  <si>
    <t>Inputs!D166</t>
  </si>
  <si>
    <t>End Bent 1 cheek L lug bottom (ft)</t>
  </si>
  <si>
    <t>Inputs!E166</t>
  </si>
  <si>
    <t>End Bent 1 cheek L bottom (ft)</t>
  </si>
  <si>
    <t>Inputs!D167</t>
  </si>
  <si>
    <t>End Bent 1 cheek top R (ft)</t>
  </si>
  <si>
    <t>Inputs!E167</t>
  </si>
  <si>
    <t>End Bent 1 cheek R concrete (ft3)</t>
  </si>
  <si>
    <t>Inputs!D168</t>
  </si>
  <si>
    <t>End Bent 1 cheek R lug bottom (ft)</t>
  </si>
  <si>
    <t>Inputs!E168</t>
  </si>
  <si>
    <t>End Bent 1 cheek R bottom (ft)</t>
  </si>
  <si>
    <t>Inputs!D169</t>
  </si>
  <si>
    <t>End Bent 2 out-to-out with cheek webs (in)</t>
  </si>
  <si>
    <t>Inputs!E169</t>
  </si>
  <si>
    <t>End Bent 2 rear-lug face / coping stop (ft)</t>
  </si>
  <si>
    <t>Inputs!D170</t>
  </si>
  <si>
    <t>End Bent 2 backwall top, left cap end (ft)</t>
  </si>
  <si>
    <t>Inputs!E170</t>
  </si>
  <si>
    <t>End Bent 2 backwall top at PGL (ft)</t>
  </si>
  <si>
    <t>Inputs!D171</t>
  </si>
  <si>
    <t>End Bent 2 backwall top, right cap end (ft)</t>
  </si>
  <si>
    <t>Inputs!E171</t>
  </si>
  <si>
    <t>End Bent 2 backwall height at PGL (ft)</t>
  </si>
  <si>
    <t>Inputs!D172</t>
  </si>
  <si>
    <t>End Bent 2 backwall concrete (ft3)</t>
  </si>
  <si>
    <t>Inputs!E172</t>
  </si>
  <si>
    <t>End Bent 2 cheek top L (ft)</t>
  </si>
  <si>
    <t>Inputs!D173</t>
  </si>
  <si>
    <t>End Bent 2 cheek L concrete (ft3)</t>
  </si>
  <si>
    <t>Inputs!E173</t>
  </si>
  <si>
    <t>End Bent 2 cheek L lug bottom (ft)</t>
  </si>
  <si>
    <t>Inputs!D174</t>
  </si>
  <si>
    <t>End Bent 2 cheek L bottom (ft)</t>
  </si>
  <si>
    <t>Inputs!E174</t>
  </si>
  <si>
    <t>End Bent 2 cheek top R (ft)</t>
  </si>
  <si>
    <t>Inputs!D175</t>
  </si>
  <si>
    <t>End Bent 2 cheek R concrete (ft3)</t>
  </si>
  <si>
    <t>Inputs!E175</t>
  </si>
  <si>
    <t>End Bent 2 cheek R lug bottom (ft)</t>
  </si>
  <si>
    <t>Inputs!D176</t>
  </si>
  <si>
    <t>End Bent 2 cheek R bottom (ft)</t>
  </si>
  <si>
    <t>Inputs!E176</t>
  </si>
  <si>
    <t>Inputs!D177</t>
  </si>
  <si>
    <t>Station of minimum clearance (ft)</t>
  </si>
  <si>
    <t>Inputs!E177</t>
  </si>
  <si>
    <t>Roadway coverage (ft)</t>
  </si>
  <si>
    <t>Inputs!D178</t>
  </si>
  <si>
    <t>Span 1 beam length vs Mathcad L.beam (ft)</t>
  </si>
  <si>
    <t>Inputs!E178</t>
  </si>
  <si>
    <t>Span 1 setback vs Mathcad BearingDistance (in)</t>
  </si>
  <si>
    <t>Inputs!D179</t>
  </si>
  <si>
    <t>Span 1 deck thickness vs Mathcad t.deck (in)</t>
  </si>
  <si>
    <t>Inputs!E179</t>
  </si>
  <si>
    <t>Span 1 beam spacing vs Mathcad (ft, Mathcad rounds)</t>
  </si>
  <si>
    <t>Inputs!D180</t>
  </si>
  <si>
    <t>Span 1 camber vs Mathcad NetCamber (in)</t>
  </si>
  <si>
    <t>Inputs!E180</t>
  </si>
  <si>
    <t>Span 2 beam length vs Mathcad L.beam (ft)</t>
  </si>
  <si>
    <t>Inputs!D181</t>
  </si>
  <si>
    <t>Span 2 setback vs Mathcad BearingDistance (in)</t>
  </si>
  <si>
    <t>Inputs!E181</t>
  </si>
  <si>
    <t>Span 2 deck thickness vs Mathcad t.deck (in)</t>
  </si>
  <si>
    <t>Inputs!D182</t>
  </si>
  <si>
    <t>Span 2 beam spacing vs Mathcad (ft, Mathcad rounds)</t>
  </si>
  <si>
    <t>Inputs!E182</t>
  </si>
  <si>
    <t>Span 2 camber vs Mathcad NetCamber (in)</t>
  </si>
  <si>
    <t>Inputs!D183</t>
  </si>
  <si>
    <t>Inputs!E183</t>
  </si>
  <si>
    <t>B. FGE grid agreement (every FGE cell)</t>
  </si>
  <si>
    <t>Notebook deck_top snapshot</t>
  </si>
  <si>
    <t>Inputs!D184</t>
  </si>
  <si>
    <t>Maximum |FGE workbook - notebook deck_top| (ft)</t>
  </si>
  <si>
    <t>Inputs!E184</t>
  </si>
  <si>
    <t>Inputs!D185</t>
  </si>
  <si>
    <t>C. Validity checks</t>
  </si>
  <si>
    <t>Inputs!E185</t>
  </si>
  <si>
    <t>Inputs!D186</t>
  </si>
  <si>
    <t>Inputs!E186</t>
  </si>
  <si>
    <t>Inputs!D187</t>
  </si>
  <si>
    <t>Inputs!E187</t>
  </si>
  <si>
    <t>Inputs!D188</t>
  </si>
  <si>
    <t>Brokeback PI not inside any beam (closed-form drop requires a straight PGL per beam)</t>
  </si>
  <si>
    <t>Inputs!E188</t>
  </si>
  <si>
    <t>Spans contiguous and covering the profile</t>
  </si>
  <si>
    <t>Inputs!D189</t>
  </si>
  <si>
    <t>End-bent records agree with physical beam-end values</t>
  </si>
  <si>
    <t>Inputs!E189</t>
  </si>
  <si>
    <t>Pier station at the span joint</t>
  </si>
  <si>
    <t>Inputs!D190</t>
  </si>
  <si>
    <t>Span 1 physical layout order</t>
  </si>
  <si>
    <t>Inputs!E190</t>
  </si>
  <si>
    <t>Span 2 physical layout order</t>
  </si>
  <si>
    <t>Inputs!D191</t>
  </si>
  <si>
    <t>Deflection sum = NetCamber = CONFIG camber (span 1)</t>
  </si>
  <si>
    <t>Inputs!E191</t>
  </si>
  <si>
    <t>Deflection sum = NetCamber = CONFIG camber (span 2)</t>
  </si>
  <si>
    <t>Inputs!D192</t>
  </si>
  <si>
    <t>All seat, pedestal, plate and cap checks on the calculation tabs</t>
  </si>
  <si>
    <t>Inputs!E192</t>
  </si>
  <si>
    <t>Clearance status (informational)</t>
  </si>
  <si>
    <t>Inputs!D193</t>
  </si>
  <si>
    <t>Inputs unchanged since the notebook build (every generated input vs. its build value, hidden columns O:R)</t>
  </si>
  <si>
    <t>Inputs!E193</t>
  </si>
  <si>
    <t>Inputs!D194</t>
  </si>
  <si>
    <t>Overall</t>
  </si>
  <si>
    <t>Inputs!E194</t>
  </si>
  <si>
    <t>Inputs!D195</t>
  </si>
  <si>
    <t>Inputs!E195</t>
  </si>
  <si>
    <t>Inputs!D196</t>
  </si>
  <si>
    <t>Inputs!E196</t>
  </si>
  <si>
    <t>Inputs!D197</t>
  </si>
  <si>
    <t>Inputs!E197</t>
  </si>
  <si>
    <t>Inputs!D198</t>
  </si>
  <si>
    <t>Inputs!E198</t>
  </si>
  <si>
    <t>Inputs!D199</t>
  </si>
  <si>
    <t>Inputs!E199</t>
  </si>
  <si>
    <t>Inputs!D200</t>
  </si>
  <si>
    <t>Inputs!E200</t>
  </si>
  <si>
    <t>Inputs!D201</t>
  </si>
  <si>
    <t>Inputs!E201</t>
  </si>
  <si>
    <t>Inputs!D202</t>
  </si>
  <si>
    <t>Inputs!E202</t>
  </si>
  <si>
    <t>Inputs!D203</t>
  </si>
  <si>
    <t>Inputs!E203</t>
  </si>
  <si>
    <t>Inputs!D204</t>
  </si>
  <si>
    <t>Inputs!E204</t>
  </si>
  <si>
    <t>Inputs!D205</t>
  </si>
  <si>
    <t>Inputs!E205</t>
  </si>
  <si>
    <t>Inputs!D206</t>
  </si>
  <si>
    <t>Inputs!E206</t>
  </si>
  <si>
    <t>Inputs!D207</t>
  </si>
  <si>
    <t>Inputs!E207</t>
  </si>
  <si>
    <t>Inputs!D208</t>
  </si>
  <si>
    <t>Inputs!E208</t>
  </si>
  <si>
    <t>Inputs!D209</t>
  </si>
  <si>
    <t>Inputs!E209</t>
  </si>
  <si>
    <t>Inputs!D210</t>
  </si>
  <si>
    <t>Inputs!E210</t>
  </si>
  <si>
    <t>Inputs!D216</t>
  </si>
  <si>
    <t>Inputs!D217</t>
  </si>
  <si>
    <t>Inputs!D218</t>
  </si>
  <si>
    <t>Inputs!D219</t>
  </si>
  <si>
    <t>Inputs!D220</t>
  </si>
  <si>
    <t>Inputs!D221</t>
  </si>
  <si>
    <t>Inputs!D222</t>
  </si>
  <si>
    <t>Inputs!D224</t>
  </si>
  <si>
    <t>Inputs!D225</t>
  </si>
  <si>
    <t>Inputs!D226</t>
  </si>
  <si>
    <t>Inputs!D227</t>
  </si>
  <si>
    <t>Inputs!D228</t>
  </si>
  <si>
    <t>Inputs!D229</t>
  </si>
  <si>
    <t>Inputs!B233</t>
  </si>
  <si>
    <t>Inputs!C233</t>
  </si>
  <si>
    <t>Inputs!D233</t>
  </si>
  <si>
    <t>Inputs!E233</t>
  </si>
  <si>
    <t>Inputs!B234</t>
  </si>
  <si>
    <t>Inputs!C234</t>
  </si>
  <si>
    <t>Inputs!D234</t>
  </si>
  <si>
    <t>Inputs!E234</t>
  </si>
  <si>
    <t>Inputs!B235</t>
  </si>
  <si>
    <t>Inputs!C235</t>
  </si>
  <si>
    <t>Inputs!D235</t>
  </si>
  <si>
    <t>Inputs!E235</t>
  </si>
  <si>
    <t>Inputs!B236</t>
  </si>
  <si>
    <t>Inputs!C236</t>
  </si>
  <si>
    <t>Inputs!D236</t>
  </si>
  <si>
    <t>Inputs!E236</t>
  </si>
  <si>
    <t>Inputs!B237</t>
  </si>
  <si>
    <t>Inputs!C237</t>
  </si>
  <si>
    <t>Inputs!D237</t>
  </si>
  <si>
    <t>Inputs!E237</t>
  </si>
  <si>
    <t>Inputs!B238</t>
  </si>
  <si>
    <t>Inputs!C238</t>
  </si>
  <si>
    <t>Inputs!D238</t>
  </si>
  <si>
    <t>Inputs!E238</t>
  </si>
  <si>
    <t>Inputs!B239</t>
  </si>
  <si>
    <t>Inputs!C239</t>
  </si>
  <si>
    <t>Inputs!D239</t>
  </si>
  <si>
    <t>Inputs!E239</t>
  </si>
  <si>
    <t>Clearance!C16</t>
  </si>
  <si>
    <t>Clearance!D16</t>
  </si>
  <si>
    <t>Clearance!G16</t>
  </si>
  <si>
    <t>Clearance!H16</t>
  </si>
  <si>
    <t>Clearance!I16</t>
  </si>
  <si>
    <t>Clearance!C17</t>
  </si>
  <si>
    <t>Clearance!D17</t>
  </si>
  <si>
    <t>Clearance!G17</t>
  </si>
  <si>
    <t>Clearance!H17</t>
  </si>
  <si>
    <t>Clearance!I17</t>
  </si>
  <si>
    <t>Clearance!C18</t>
  </si>
  <si>
    <t>Clearance!D18</t>
  </si>
  <si>
    <t>Clearance!G18</t>
  </si>
  <si>
    <t>Clearance!H18</t>
  </si>
  <si>
    <t>Clearance!I18</t>
  </si>
  <si>
    <t>Clearance!C19</t>
  </si>
  <si>
    <t>Clearance!D19</t>
  </si>
  <si>
    <t>Clearance!G19</t>
  </si>
  <si>
    <t>Clearance!H19</t>
  </si>
  <si>
    <t>Clearance!I19</t>
  </si>
  <si>
    <t>Clearance!C20</t>
  </si>
  <si>
    <t>Clearance!D20</t>
  </si>
  <si>
    <t>Clearance!G20</t>
  </si>
  <si>
    <t>Clearance!H20</t>
  </si>
  <si>
    <t>Clearance!I20</t>
  </si>
  <si>
    <t>Clearance!C21</t>
  </si>
  <si>
    <t>Clearance!D21</t>
  </si>
  <si>
    <t>Clearance!G21</t>
  </si>
  <si>
    <t>Clearance!H21</t>
  </si>
  <si>
    <t>Clearance!I21</t>
  </si>
  <si>
    <t>Clearance!C22</t>
  </si>
  <si>
    <t>Clearance!D22</t>
  </si>
  <si>
    <t>Clearance!G22</t>
  </si>
  <si>
    <t>Clearance!H22</t>
  </si>
  <si>
    <t>Clearance!I22</t>
  </si>
  <si>
    <t>Clearance!C23</t>
  </si>
  <si>
    <t>Clearance!D23</t>
  </si>
  <si>
    <t>Clearance!G23</t>
  </si>
  <si>
    <t>Clearance!H23</t>
  </si>
  <si>
    <t>Clearance!I23</t>
  </si>
  <si>
    <t>Clearance!C24</t>
  </si>
  <si>
    <t>Clearance!D24</t>
  </si>
  <si>
    <t>Clearance!G24</t>
  </si>
  <si>
    <t>Clearance!H24</t>
  </si>
  <si>
    <t>Clearance!I24</t>
  </si>
  <si>
    <t>Clearance!C25</t>
  </si>
  <si>
    <t>Clearance!D25</t>
  </si>
  <si>
    <t>Clearance!G25</t>
  </si>
  <si>
    <t>Clearance!H25</t>
  </si>
  <si>
    <t>Clearance!I25</t>
  </si>
  <si>
    <t>Clearance!C26</t>
  </si>
  <si>
    <t>Clearance!D26</t>
  </si>
  <si>
    <t>Clearance!G26</t>
  </si>
  <si>
    <t>Clearance!H26</t>
  </si>
  <si>
    <t>Clearance!I26</t>
  </si>
  <si>
    <t>Clearance!C27</t>
  </si>
  <si>
    <t>Clearance!D27</t>
  </si>
  <si>
    <t>Clearance!G27</t>
  </si>
  <si>
    <t>Clearance!H27</t>
  </si>
  <si>
    <t>Clearance!I27</t>
  </si>
  <si>
    <t>Clearance!C28</t>
  </si>
  <si>
    <t>Clearance!D28</t>
  </si>
  <si>
    <t>Clearance!G28</t>
  </si>
  <si>
    <t>Clearance!H28</t>
  </si>
  <si>
    <t>Clearance!I28</t>
  </si>
  <si>
    <t>Clearance!C29</t>
  </si>
  <si>
    <t>Clearance!D29</t>
  </si>
  <si>
    <t>Clearance!G29</t>
  </si>
  <si>
    <t>Clearance!H29</t>
  </si>
  <si>
    <t>Clearance!I29</t>
  </si>
  <si>
    <t>Clearance!C30</t>
  </si>
  <si>
    <t>Clearance!D30</t>
  </si>
  <si>
    <t>Clearance!G30</t>
  </si>
  <si>
    <t>Clearance!H30</t>
  </si>
  <si>
    <t>Clearance!I30</t>
  </si>
  <si>
    <t>Clearance!C31</t>
  </si>
  <si>
    <t>Clearance!D31</t>
  </si>
  <si>
    <t>Clearance!G31</t>
  </si>
  <si>
    <t>Clearance!H31</t>
  </si>
  <si>
    <t>Clearance!I31</t>
  </si>
  <si>
    <t>Clearance!C32</t>
  </si>
  <si>
    <t>Clearance!D32</t>
  </si>
  <si>
    <t>Clearance!G32</t>
  </si>
  <si>
    <t>Clearance!H32</t>
  </si>
  <si>
    <t>Clearance!I32</t>
  </si>
  <si>
    <t>Clearance!C33</t>
  </si>
  <si>
    <t>Clearance!D33</t>
  </si>
  <si>
    <t>Clearance!G33</t>
  </si>
  <si>
    <t>Clearance!H33</t>
  </si>
  <si>
    <t>Clearance!I33</t>
  </si>
  <si>
    <t>Clearance!C34</t>
  </si>
  <si>
    <t>Clearance!D34</t>
  </si>
  <si>
    <t>Clearance!G34</t>
  </si>
  <si>
    <t>Clearance!H34</t>
  </si>
  <si>
    <t>Clearance!I34</t>
  </si>
  <si>
    <t>Clearance!C35</t>
  </si>
  <si>
    <t>Clearance!D35</t>
  </si>
  <si>
    <t>Clearance!G35</t>
  </si>
  <si>
    <t>Clearance!H35</t>
  </si>
  <si>
    <t>Clearance!I35</t>
  </si>
  <si>
    <t>Clearance!C36</t>
  </si>
  <si>
    <t>Clearance!D36</t>
  </si>
  <si>
    <t>Clearance!G36</t>
  </si>
  <si>
    <t>Clearance!H36</t>
  </si>
  <si>
    <t>Clearance!I36</t>
  </si>
  <si>
    <t>Clearance!C37</t>
  </si>
  <si>
    <t>Clearance!D37</t>
  </si>
  <si>
    <t>Clearance!G37</t>
  </si>
  <si>
    <t>Clearance!H37</t>
  </si>
  <si>
    <t>Clearance!I37</t>
  </si>
  <si>
    <t>Clearance!C38</t>
  </si>
  <si>
    <t>Clearance!D38</t>
  </si>
  <si>
    <t>Clearance!G38</t>
  </si>
  <si>
    <t>Clearance!H38</t>
  </si>
  <si>
    <t>Clearance!I38</t>
  </si>
  <si>
    <t>Clearance!C39</t>
  </si>
  <si>
    <t>Clearance!D39</t>
  </si>
  <si>
    <t>Clearance!G39</t>
  </si>
  <si>
    <t>Clearance!H39</t>
  </si>
  <si>
    <t>Clearance!I39</t>
  </si>
  <si>
    <t>Clearance!C40</t>
  </si>
  <si>
    <t>Clearance!D40</t>
  </si>
  <si>
    <t>Clearance!G40</t>
  </si>
  <si>
    <t>Clearance!H40</t>
  </si>
  <si>
    <t>Clearance!I40</t>
  </si>
  <si>
    <t>Clearance!C41</t>
  </si>
  <si>
    <t>Clearance!D41</t>
  </si>
  <si>
    <t>Clearance!G41</t>
  </si>
  <si>
    <t>Clearance!H41</t>
  </si>
  <si>
    <t>Clearance!I41</t>
  </si>
  <si>
    <t>Clearance!C42</t>
  </si>
  <si>
    <t>Clearance!D42</t>
  </si>
  <si>
    <t>Clearance!G42</t>
  </si>
  <si>
    <t>Clearance!H42</t>
  </si>
  <si>
    <t>Clearance!I42</t>
  </si>
  <si>
    <t>Clearance!C43</t>
  </si>
  <si>
    <t>Clearance!D43</t>
  </si>
  <si>
    <t>Clearance!G43</t>
  </si>
  <si>
    <t>Clearance!H43</t>
  </si>
  <si>
    <t>Clearance!I43</t>
  </si>
  <si>
    <t>Clearance!C44</t>
  </si>
  <si>
    <t>Clearance!D44</t>
  </si>
  <si>
    <t>Clearance!G44</t>
  </si>
  <si>
    <t>Clearance!H44</t>
  </si>
  <si>
    <t>Clearance!I44</t>
  </si>
  <si>
    <t>Clearance!C45</t>
  </si>
  <si>
    <t>Clearance!D45</t>
  </si>
  <si>
    <t>Clearance!G45</t>
  </si>
  <si>
    <t>Clearance!H45</t>
  </si>
  <si>
    <t>Clearance!I45</t>
  </si>
  <si>
    <t>Clearance!C46</t>
  </si>
  <si>
    <t>Clearance!D46</t>
  </si>
  <si>
    <t>Clearance!G46</t>
  </si>
  <si>
    <t>Clearance!H46</t>
  </si>
  <si>
    <t>Clearance!I46</t>
  </si>
  <si>
    <t>Clearance!C47</t>
  </si>
  <si>
    <t>Clearance!D47</t>
  </si>
  <si>
    <t>Clearance!G47</t>
  </si>
  <si>
    <t>Clearance!H47</t>
  </si>
  <si>
    <t>Clearance!I47</t>
  </si>
  <si>
    <t>Clearance!C48</t>
  </si>
  <si>
    <t>Clearance!D48</t>
  </si>
  <si>
    <t>Clearance!G48</t>
  </si>
  <si>
    <t>Clearance!H48</t>
  </si>
  <si>
    <t>Clearance!I48</t>
  </si>
  <si>
    <t>Clearance!C49</t>
  </si>
  <si>
    <t>Clearance!D49</t>
  </si>
  <si>
    <t>Clearance!G49</t>
  </si>
  <si>
    <t>Clearance!H49</t>
  </si>
  <si>
    <t>Clearance!I49</t>
  </si>
  <si>
    <t>Clearance!C50</t>
  </si>
  <si>
    <t>Clearance!D50</t>
  </si>
  <si>
    <t>Clearance!G50</t>
  </si>
  <si>
    <t>Clearance!H50</t>
  </si>
  <si>
    <t>Clearance!I50</t>
  </si>
  <si>
    <t>Clearance!C51</t>
  </si>
  <si>
    <t>Clearance!D51</t>
  </si>
  <si>
    <t>Clearance!G51</t>
  </si>
  <si>
    <t>Clearance!H51</t>
  </si>
  <si>
    <t>Clearance!I51</t>
  </si>
  <si>
    <t>Clearance!C52</t>
  </si>
  <si>
    <t>Clearance!D52</t>
  </si>
  <si>
    <t>Clearance!G52</t>
  </si>
  <si>
    <t>Clearance!H52</t>
  </si>
  <si>
    <t>Clearance!I52</t>
  </si>
  <si>
    <t>Clearance!C53</t>
  </si>
  <si>
    <t>Clearance!D53</t>
  </si>
  <si>
    <t>Clearance!G53</t>
  </si>
  <si>
    <t>Clearance!H53</t>
  </si>
  <si>
    <t>Clearance!I53</t>
  </si>
  <si>
    <t>Clearance!C54</t>
  </si>
  <si>
    <t>Clearance!D54</t>
  </si>
  <si>
    <t>Clearance!G54</t>
  </si>
  <si>
    <t>Clearance!H54</t>
  </si>
  <si>
    <t>Clearance!I54</t>
  </si>
  <si>
    <t>Clearance!C55</t>
  </si>
  <si>
    <t>Clearance!D55</t>
  </si>
  <si>
    <t>Clearance!G55</t>
  </si>
  <si>
    <t>Clearance!H55</t>
  </si>
  <si>
    <t>Clearance!I55</t>
  </si>
  <si>
    <t>Clearance!C56</t>
  </si>
  <si>
    <t>Clearance!D56</t>
  </si>
  <si>
    <t>Clearance!G56</t>
  </si>
  <si>
    <t>Clearance!H56</t>
  </si>
  <si>
    <t>Clearance!I56</t>
  </si>
  <si>
    <t>Clearance!C57</t>
  </si>
  <si>
    <t>Clearance!D57</t>
  </si>
  <si>
    <t>Clearance!G57</t>
  </si>
  <si>
    <t>Clearance!H57</t>
  </si>
  <si>
    <t>Clearance!I57</t>
  </si>
  <si>
    <t>Clearance!C58</t>
  </si>
  <si>
    <t>Clearance!D58</t>
  </si>
  <si>
    <t>Clearance!G58</t>
  </si>
  <si>
    <t>Clearance!H58</t>
  </si>
  <si>
    <t>Clearance!I58</t>
  </si>
  <si>
    <t>Clearance!C59</t>
  </si>
  <si>
    <t>Clearance!D59</t>
  </si>
  <si>
    <t>Clearance!G59</t>
  </si>
  <si>
    <t>Clearance!H59</t>
  </si>
  <si>
    <t>Clearance!I59</t>
  </si>
  <si>
    <t>Clearance!C60</t>
  </si>
  <si>
    <t>Clearance!D60</t>
  </si>
  <si>
    <t>Clearance!G60</t>
  </si>
  <si>
    <t>Clearance!H60</t>
  </si>
  <si>
    <t>Clearance!I60</t>
  </si>
  <si>
    <t>Clearance!C61</t>
  </si>
  <si>
    <t>Clearance!D61</t>
  </si>
  <si>
    <t>Clearance!G61</t>
  </si>
  <si>
    <t>Clearance!H61</t>
  </si>
  <si>
    <t>Clearance!I61</t>
  </si>
  <si>
    <t>Clearance!C62</t>
  </si>
  <si>
    <t>Clearance!D62</t>
  </si>
  <si>
    <t>Clearance!G62</t>
  </si>
  <si>
    <t>Clearance!H62</t>
  </si>
  <si>
    <t>Clearance!I62</t>
  </si>
  <si>
    <t>Clearance!C63</t>
  </si>
  <si>
    <t>Clearance!D63</t>
  </si>
  <si>
    <t>Clearance!G63</t>
  </si>
  <si>
    <t>Clearance!H63</t>
  </si>
  <si>
    <t>Clearance!I63</t>
  </si>
  <si>
    <t>Clearance!C64</t>
  </si>
  <si>
    <t>Clearance!D64</t>
  </si>
  <si>
    <t>Clearance!G64</t>
  </si>
  <si>
    <t>Clearance!H64</t>
  </si>
  <si>
    <t>Clearance!I64</t>
  </si>
  <si>
    <t>Clearance!C65</t>
  </si>
  <si>
    <t>Clearance!D65</t>
  </si>
  <si>
    <t>Clearance!G65</t>
  </si>
  <si>
    <t>Clearance!H65</t>
  </si>
  <si>
    <t>Clearance!I65</t>
  </si>
  <si>
    <t>Clearance!C66</t>
  </si>
  <si>
    <t>Clearance!D66</t>
  </si>
  <si>
    <t>Clearance!G66</t>
  </si>
  <si>
    <t>Clearance!H66</t>
  </si>
  <si>
    <t>Clearance!I66</t>
  </si>
  <si>
    <t>Clearance!C67</t>
  </si>
  <si>
    <t>Clearance!D67</t>
  </si>
  <si>
    <t>Clearance!G67</t>
  </si>
  <si>
    <t>Clearance!H67</t>
  </si>
  <si>
    <t>Clearance!I67</t>
  </si>
  <si>
    <t>Clearance!C68</t>
  </si>
  <si>
    <t>Clearance!D68</t>
  </si>
  <si>
    <t>Clearance!G68</t>
  </si>
  <si>
    <t>Clearance!H68</t>
  </si>
  <si>
    <t>Clearance!I68</t>
  </si>
  <si>
    <t>Clearance!C69</t>
  </si>
  <si>
    <t>Clearance!D69</t>
  </si>
  <si>
    <t>Clearance!G69</t>
  </si>
  <si>
    <t>Clearance!H69</t>
  </si>
  <si>
    <t>Clearance!I69</t>
  </si>
  <si>
    <t>Clearance!C70</t>
  </si>
  <si>
    <t>Clearance!D70</t>
  </si>
  <si>
    <t>Clearance!G70</t>
  </si>
  <si>
    <t>Clearance!H70</t>
  </si>
  <si>
    <t>Clearance!I70</t>
  </si>
  <si>
    <t>Clearance!C71</t>
  </si>
  <si>
    <t>Clearance!D71</t>
  </si>
  <si>
    <t>Clearance!G71</t>
  </si>
  <si>
    <t>Clearance!H71</t>
  </si>
  <si>
    <t>Clearance!I71</t>
  </si>
  <si>
    <t>Clearance!C72</t>
  </si>
  <si>
    <t>Clearance!D72</t>
  </si>
  <si>
    <t>Clearance!G72</t>
  </si>
  <si>
    <t>Clearance!H72</t>
  </si>
  <si>
    <t>Clearance!I72</t>
  </si>
  <si>
    <t>Clearance!C73</t>
  </si>
  <si>
    <t>Clearance!D73</t>
  </si>
  <si>
    <t>Clearance!G73</t>
  </si>
  <si>
    <t>Clearance!H73</t>
  </si>
  <si>
    <t>Clearance!I73</t>
  </si>
  <si>
    <t>Clearance!C74</t>
  </si>
  <si>
    <t>Clearance!D74</t>
  </si>
  <si>
    <t>Clearance!G74</t>
  </si>
  <si>
    <t>Clearance!H74</t>
  </si>
  <si>
    <t>Clearance!I74</t>
  </si>
  <si>
    <t>Clearance!C75</t>
  </si>
  <si>
    <t>Clearance!D75</t>
  </si>
  <si>
    <t>Clearance!G75</t>
  </si>
  <si>
    <t>Clearance!H75</t>
  </si>
  <si>
    <t>Clearance!I75</t>
  </si>
  <si>
    <t>Clearance!C76</t>
  </si>
  <si>
    <t>Clearance!D76</t>
  </si>
  <si>
    <t>Clearance!G76</t>
  </si>
  <si>
    <t>Clearance!H76</t>
  </si>
  <si>
    <t>Clearance!I76</t>
  </si>
  <si>
    <t>Clearance!C77</t>
  </si>
  <si>
    <t>Clearance!D77</t>
  </si>
  <si>
    <t>Clearance!G77</t>
  </si>
  <si>
    <t>Clearance!H77</t>
  </si>
  <si>
    <t>Clearance!I77</t>
  </si>
  <si>
    <t>Clearance!C78</t>
  </si>
  <si>
    <t>Clearance!D78</t>
  </si>
  <si>
    <t>Clearance!G78</t>
  </si>
  <si>
    <t>Clearance!H78</t>
  </si>
  <si>
    <t>Clearance!I78</t>
  </si>
  <si>
    <t>Clearance!C79</t>
  </si>
  <si>
    <t>Clearance!D79</t>
  </si>
  <si>
    <t>Clearance!G79</t>
  </si>
  <si>
    <t>Clearance!H79</t>
  </si>
  <si>
    <t>Clearance!I79</t>
  </si>
  <si>
    <t>Clearance!C80</t>
  </si>
  <si>
    <t>Clearance!D80</t>
  </si>
  <si>
    <t>Clearance!G80</t>
  </si>
  <si>
    <t>Clearance!H80</t>
  </si>
  <si>
    <t>Clearance!I80</t>
  </si>
  <si>
    <t>Clearance!C81</t>
  </si>
  <si>
    <t>Clearance!D81</t>
  </si>
  <si>
    <t>Clearance!G81</t>
  </si>
  <si>
    <t>Clearance!H81</t>
  </si>
  <si>
    <t>Clearance!I81</t>
  </si>
  <si>
    <t>Clearance!C82</t>
  </si>
  <si>
    <t>Clearance!D82</t>
  </si>
  <si>
    <t>Clearance!G82</t>
  </si>
  <si>
    <t>Clearance!H82</t>
  </si>
  <si>
    <t>Clearance!I82</t>
  </si>
  <si>
    <t>Clearance!C83</t>
  </si>
  <si>
    <t>Clearance!D83</t>
  </si>
  <si>
    <t>Clearance!G83</t>
  </si>
  <si>
    <t>Clearance!H83</t>
  </si>
  <si>
    <t>Clearance!I83</t>
  </si>
  <si>
    <t>Clearance!C84</t>
  </si>
  <si>
    <t>Clearance!D84</t>
  </si>
  <si>
    <t>Clearance!G84</t>
  </si>
  <si>
    <t>Clearance!H84</t>
  </si>
  <si>
    <t>Clearance!I84</t>
  </si>
  <si>
    <t>Clearance!C85</t>
  </si>
  <si>
    <t>Clearance!D85</t>
  </si>
  <si>
    <t>Clearance!G85</t>
  </si>
  <si>
    <t>Clearance!H85</t>
  </si>
  <si>
    <t>Clearance!I85</t>
  </si>
  <si>
    <t>Clearance!C86</t>
  </si>
  <si>
    <t>Clearance!D86</t>
  </si>
  <si>
    <t>Clearance!G86</t>
  </si>
  <si>
    <t>Clearance!H86</t>
  </si>
  <si>
    <t>Clearance!I86</t>
  </si>
  <si>
    <t>Clearance!C87</t>
  </si>
  <si>
    <t>Clearance!D87</t>
  </si>
  <si>
    <t>Clearance!G87</t>
  </si>
  <si>
    <t>Clearance!H87</t>
  </si>
  <si>
    <t>Clearance!I87</t>
  </si>
  <si>
    <t>Clearance!C88</t>
  </si>
  <si>
    <t>Clearance!D88</t>
  </si>
  <si>
    <t>Clearance!G88</t>
  </si>
  <si>
    <t>Clearance!H88</t>
  </si>
  <si>
    <t>Clearance!I88</t>
  </si>
  <si>
    <t>Clearance!C89</t>
  </si>
  <si>
    <t>Clearance!D89</t>
  </si>
  <si>
    <t>Clearance!G89</t>
  </si>
  <si>
    <t>Clearance!H89</t>
  </si>
  <si>
    <t>Clearance!I89</t>
  </si>
  <si>
    <t>Clearance!C90</t>
  </si>
  <si>
    <t>Clearance!D90</t>
  </si>
  <si>
    <t>Clearance!G90</t>
  </si>
  <si>
    <t>Clearance!H90</t>
  </si>
  <si>
    <t>Clearance!I90</t>
  </si>
  <si>
    <t>Clearance!C91</t>
  </si>
  <si>
    <t>Clearance!D91</t>
  </si>
  <si>
    <t>Clearance!G91</t>
  </si>
  <si>
    <t>Clearance!H91</t>
  </si>
  <si>
    <t>Clearance!I91</t>
  </si>
  <si>
    <t>Clearance!C92</t>
  </si>
  <si>
    <t>Clearance!D92</t>
  </si>
  <si>
    <t>Clearance!G92</t>
  </si>
  <si>
    <t>Clearance!H92</t>
  </si>
  <si>
    <t>Clearance!I92</t>
  </si>
  <si>
    <t>Clearance!C93</t>
  </si>
  <si>
    <t>Clearance!D93</t>
  </si>
  <si>
    <t>Clearance!G93</t>
  </si>
  <si>
    <t>Clearance!H93</t>
  </si>
  <si>
    <t>Clearance!I93</t>
  </si>
  <si>
    <t>Clearance!C94</t>
  </si>
  <si>
    <t>Clearance!D94</t>
  </si>
  <si>
    <t>Clearance!G94</t>
  </si>
  <si>
    <t>Clearance!H94</t>
  </si>
  <si>
    <t>Clearance!I94</t>
  </si>
  <si>
    <t>Clearance!C95</t>
  </si>
  <si>
    <t>Clearance!D95</t>
  </si>
  <si>
    <t>Clearance!G95</t>
  </si>
  <si>
    <t>Clearance!H95</t>
  </si>
  <si>
    <t>Clearance!I95</t>
  </si>
  <si>
    <t>Clearance!C96</t>
  </si>
  <si>
    <t>Clearance!D96</t>
  </si>
  <si>
    <t>Clearance!G96</t>
  </si>
  <si>
    <t>Clearance!H96</t>
  </si>
  <si>
    <t>Clearance!I96</t>
  </si>
  <si>
    <t>Clearance!C97</t>
  </si>
  <si>
    <t>Clearance!D97</t>
  </si>
  <si>
    <t>Clearance!G97</t>
  </si>
  <si>
    <t>Clearance!H97</t>
  </si>
  <si>
    <t>Clearance!I97</t>
  </si>
  <si>
    <t>Clearance!C98</t>
  </si>
  <si>
    <t>Clearance!D98</t>
  </si>
  <si>
    <t>Clearance!G98</t>
  </si>
  <si>
    <t>Clearance!H98</t>
  </si>
  <si>
    <t>Clearance!I98</t>
  </si>
  <si>
    <t>Clearance!C99</t>
  </si>
  <si>
    <t>Clearance!D99</t>
  </si>
  <si>
    <t>Clearance!G99</t>
  </si>
  <si>
    <t>Clearance!H99</t>
  </si>
  <si>
    <t>Clearance!I99</t>
  </si>
  <si>
    <t>Clearance!C100</t>
  </si>
  <si>
    <t>Clearance!D100</t>
  </si>
  <si>
    <t>Clearance!G100</t>
  </si>
  <si>
    <t>Clearance!H100</t>
  </si>
  <si>
    <t>Clearance!I100</t>
  </si>
  <si>
    <t>Clearance!C101</t>
  </si>
  <si>
    <t>Clearance!D101</t>
  </si>
  <si>
    <t>Clearance!G101</t>
  </si>
  <si>
    <t>Clearance!H101</t>
  </si>
  <si>
    <t>Clearance!I101</t>
  </si>
  <si>
    <t>Clearance!C102</t>
  </si>
  <si>
    <t>Clearance!D102</t>
  </si>
  <si>
    <t>Clearance!G102</t>
  </si>
  <si>
    <t>Clearance!H102</t>
  </si>
  <si>
    <t>Clearance!I102</t>
  </si>
  <si>
    <t>Clearance!C103</t>
  </si>
  <si>
    <t>Clearance!D103</t>
  </si>
  <si>
    <t>Clearance!G103</t>
  </si>
  <si>
    <t>Clearance!H103</t>
  </si>
  <si>
    <t>Clearance!I103</t>
  </si>
  <si>
    <t>Clearance!C104</t>
  </si>
  <si>
    <t>Clearance!D104</t>
  </si>
  <si>
    <t>Clearance!G104</t>
  </si>
  <si>
    <t>Clearance!H104</t>
  </si>
  <si>
    <t>Clearance!I104</t>
  </si>
  <si>
    <t>Clearance!C105</t>
  </si>
  <si>
    <t>Clearance!D105</t>
  </si>
  <si>
    <t>Clearance!G105</t>
  </si>
  <si>
    <t>Clearance!H105</t>
  </si>
  <si>
    <t>Clearance!I105</t>
  </si>
  <si>
    <t>Clearance!C106</t>
  </si>
  <si>
    <t>Clearance!D106</t>
  </si>
  <si>
    <t>Clearance!G106</t>
  </si>
  <si>
    <t>Clearance!H106</t>
  </si>
  <si>
    <t>Clearance!I106</t>
  </si>
  <si>
    <t>Clearance!C107</t>
  </si>
  <si>
    <t>Clearance!D107</t>
  </si>
  <si>
    <t>Clearance!G107</t>
  </si>
  <si>
    <t>Clearance!H107</t>
  </si>
  <si>
    <t>Clearance!I107</t>
  </si>
  <si>
    <t>Clearance!C108</t>
  </si>
  <si>
    <t>Clearance!D108</t>
  </si>
  <si>
    <t>Clearance!G108</t>
  </si>
  <si>
    <t>Clearance!H108</t>
  </si>
  <si>
    <t>Clearance!I108</t>
  </si>
  <si>
    <t>Clearance!C109</t>
  </si>
  <si>
    <t>Clearance!D109</t>
  </si>
  <si>
    <t>Clearance!G109</t>
  </si>
  <si>
    <t>Clearance!H109</t>
  </si>
  <si>
    <t>Clearance!I109</t>
  </si>
  <si>
    <t>Clearance!C110</t>
  </si>
  <si>
    <t>Clearance!D110</t>
  </si>
  <si>
    <t>Clearance!G110</t>
  </si>
  <si>
    <t>Clearance!H110</t>
  </si>
  <si>
    <t>Clearance!I110</t>
  </si>
  <si>
    <t>Clearance!C111</t>
  </si>
  <si>
    <t>Clearance!D111</t>
  </si>
  <si>
    <t>Clearance!G111</t>
  </si>
  <si>
    <t>Clearance!H111</t>
  </si>
  <si>
    <t>Clearance!I111</t>
  </si>
  <si>
    <t>Clearance!C112</t>
  </si>
  <si>
    <t>Clearance!D112</t>
  </si>
  <si>
    <t>Clearance!G112</t>
  </si>
  <si>
    <t>Clearance!H112</t>
  </si>
  <si>
    <t>Clearance!I112</t>
  </si>
  <si>
    <t>Clearance!C113</t>
  </si>
  <si>
    <t>Clearance!D113</t>
  </si>
  <si>
    <t>Clearance!G113</t>
  </si>
  <si>
    <t>Clearance!H113</t>
  </si>
  <si>
    <t>Clearance!I113</t>
  </si>
  <si>
    <t>Clearance!C114</t>
  </si>
  <si>
    <t>Clearance!D114</t>
  </si>
  <si>
    <t>Clearance!G114</t>
  </si>
  <si>
    <t>Clearance!H114</t>
  </si>
  <si>
    <t>Clearance!I114</t>
  </si>
  <si>
    <t>QC!D8</t>
  </si>
  <si>
    <t>QC!D9</t>
  </si>
  <si>
    <t>QC!D10</t>
  </si>
  <si>
    <t>QC!D11</t>
  </si>
  <si>
    <t>QC!D12</t>
  </si>
  <si>
    <t>QC!D13</t>
  </si>
  <si>
    <t>QC!D14</t>
  </si>
  <si>
    <t>QC!D15</t>
  </si>
  <si>
    <t>QC!D16</t>
  </si>
  <si>
    <t>QC!D17</t>
  </si>
  <si>
    <t>QC!D18</t>
  </si>
  <si>
    <t>QC!D19</t>
  </si>
  <si>
    <t>QC!D20</t>
  </si>
  <si>
    <t>QC!D21</t>
  </si>
  <si>
    <t>QC!D22</t>
  </si>
  <si>
    <t>QC!D23</t>
  </si>
  <si>
    <t>QC!D24</t>
  </si>
  <si>
    <t>QC!D25</t>
  </si>
  <si>
    <t>QC!D26</t>
  </si>
  <si>
    <t>QC!D27</t>
  </si>
  <si>
    <t>QC!D28</t>
  </si>
  <si>
    <t>QC!D29</t>
  </si>
  <si>
    <t>QC!D30</t>
  </si>
  <si>
    <t>QC!D31</t>
  </si>
  <si>
    <t>QC!D32</t>
  </si>
  <si>
    <t>QC!D33</t>
  </si>
  <si>
    <t>QC!D34</t>
  </si>
  <si>
    <t>QC!D35</t>
  </si>
  <si>
    <t>QC!D36</t>
  </si>
  <si>
    <t>QC!D37</t>
  </si>
  <si>
    <t>QC!D38</t>
  </si>
  <si>
    <t>QC!D39</t>
  </si>
  <si>
    <t>QC!D40</t>
  </si>
  <si>
    <t>QC!D41</t>
  </si>
  <si>
    <t>QC!D42</t>
  </si>
  <si>
    <t>QC!D43</t>
  </si>
  <si>
    <t>QC!D44</t>
  </si>
  <si>
    <t>QC!D45</t>
  </si>
  <si>
    <t>QC!D46</t>
  </si>
  <si>
    <t>QC!D47</t>
  </si>
  <si>
    <t>QC!D48</t>
  </si>
  <si>
    <t>QC!D49</t>
  </si>
  <si>
    <t>QC!D50</t>
  </si>
  <si>
    <t>QC!D51</t>
  </si>
  <si>
    <t>QC!D52</t>
  </si>
  <si>
    <t>QC!D53</t>
  </si>
  <si>
    <t>QC!D54</t>
  </si>
  <si>
    <t>QC!D55</t>
  </si>
  <si>
    <t>QC!D56</t>
  </si>
  <si>
    <t>QC!D57</t>
  </si>
  <si>
    <t>QC!D58</t>
  </si>
  <si>
    <t>QC!D59</t>
  </si>
  <si>
    <t>QC!D60</t>
  </si>
  <si>
    <t>QC!D61</t>
  </si>
  <si>
    <t>QC!D62</t>
  </si>
  <si>
    <t>QC!D63</t>
  </si>
  <si>
    <t>QC!D64</t>
  </si>
  <si>
    <t>QC!D65</t>
  </si>
  <si>
    <t>QC!D66</t>
  </si>
  <si>
    <t>QC!D67</t>
  </si>
  <si>
    <t>QC!D68</t>
  </si>
  <si>
    <t>QC!D69</t>
  </si>
  <si>
    <t>QC!D70</t>
  </si>
  <si>
    <t>QC!D71</t>
  </si>
  <si>
    <t>QC!D72</t>
  </si>
  <si>
    <t>QC!D73</t>
  </si>
  <si>
    <t>QC!D74</t>
  </si>
  <si>
    <t>QC!D75</t>
  </si>
  <si>
    <t>QC!D76</t>
  </si>
  <si>
    <t>QC!D77</t>
  </si>
  <si>
    <t>QC!D78</t>
  </si>
  <si>
    <t>QC!D79</t>
  </si>
  <si>
    <t>QC!D80</t>
  </si>
  <si>
    <t>QC!D81</t>
  </si>
  <si>
    <t>QC!D82</t>
  </si>
  <si>
    <t>QC!D83</t>
  </si>
  <si>
    <t>QC!D84</t>
  </si>
  <si>
    <t>QC!D85</t>
  </si>
  <si>
    <t>QC!D86</t>
  </si>
  <si>
    <t>QC!D87</t>
  </si>
  <si>
    <t>QC!D88</t>
  </si>
  <si>
    <t>QC!D89</t>
  </si>
  <si>
    <t>QC!D90</t>
  </si>
  <si>
    <t>QC!D91</t>
  </si>
  <si>
    <t>QC!D92</t>
  </si>
  <si>
    <t>QC!D93</t>
  </si>
  <si>
    <t>QC!D94</t>
  </si>
  <si>
    <t>QC!D95</t>
  </si>
  <si>
    <t>QC!D96</t>
  </si>
  <si>
    <t>QC!D97</t>
  </si>
  <si>
    <t>QC!D98</t>
  </si>
  <si>
    <t>QC!D99</t>
  </si>
  <si>
    <t>QC!D100</t>
  </si>
  <si>
    <t>QC!D101</t>
  </si>
  <si>
    <t>QC!D102</t>
  </si>
  <si>
    <t>QC!D103</t>
  </si>
  <si>
    <t>QC!D104</t>
  </si>
  <si>
    <t>QC!D105</t>
  </si>
  <si>
    <t>QC!D106</t>
  </si>
  <si>
    <t>QC!D107</t>
  </si>
  <si>
    <t>QC!D108</t>
  </si>
  <si>
    <t>QC!D109</t>
  </si>
  <si>
    <t>QC!D110</t>
  </si>
  <si>
    <t>QC!D111</t>
  </si>
  <si>
    <t>QC!D112</t>
  </si>
  <si>
    <t>QC!D113</t>
  </si>
  <si>
    <t>QC!D114</t>
  </si>
  <si>
    <t>QC!D115</t>
  </si>
  <si>
    <t>QC!D116</t>
  </si>
  <si>
    <t>QC!D117</t>
  </si>
  <si>
    <t>QC!D118</t>
  </si>
  <si>
    <t>QC!D119</t>
  </si>
  <si>
    <t>QC!D120</t>
  </si>
  <si>
    <t>QC!D121</t>
  </si>
  <si>
    <t>QC!D122</t>
  </si>
  <si>
    <t>QC!D123</t>
  </si>
  <si>
    <t>QC!D124</t>
  </si>
  <si>
    <t>QC!D125</t>
  </si>
  <si>
    <t>QC!D126</t>
  </si>
  <si>
    <t>QC!D127</t>
  </si>
  <si>
    <t>QC!D128</t>
  </si>
  <si>
    <t>QC!D129</t>
  </si>
  <si>
    <t>QC!D130</t>
  </si>
  <si>
    <t>QC!D131</t>
  </si>
  <si>
    <t>QC!D132</t>
  </si>
  <si>
    <t>QC!D133</t>
  </si>
  <si>
    <t>QC!D134</t>
  </si>
  <si>
    <t>QC!D135</t>
  </si>
  <si>
    <t>QC!D136</t>
  </si>
  <si>
    <t>QC!D137</t>
  </si>
  <si>
    <t>QC!D138</t>
  </si>
  <si>
    <t>QC!D139</t>
  </si>
  <si>
    <t>QC!D140</t>
  </si>
  <si>
    <t>QC!D141</t>
  </si>
  <si>
    <t>QC!D142</t>
  </si>
  <si>
    <t>QC!D143</t>
  </si>
  <si>
    <t>QC!D144</t>
  </si>
  <si>
    <t>QC!D145</t>
  </si>
  <si>
    <t>QC!D146</t>
  </si>
  <si>
    <t>QC!D147</t>
  </si>
  <si>
    <t>QC!D148</t>
  </si>
  <si>
    <t>QC!D149</t>
  </si>
  <si>
    <t>QC!D150</t>
  </si>
  <si>
    <t>QC!D151</t>
  </si>
  <si>
    <t>QC!D152</t>
  </si>
  <si>
    <t>QC!D153</t>
  </si>
  <si>
    <t>QC!D154</t>
  </si>
  <si>
    <t>QC!D155</t>
  </si>
  <si>
    <t>QC!D156</t>
  </si>
  <si>
    <t>QC!D157</t>
  </si>
  <si>
    <t>QC!D158</t>
  </si>
  <si>
    <t>QC!D159</t>
  </si>
  <si>
    <t>QC!D160</t>
  </si>
  <si>
    <t>QC!D161</t>
  </si>
  <si>
    <t>QC!D162</t>
  </si>
  <si>
    <t>QC!D163</t>
  </si>
  <si>
    <t>QC!D164</t>
  </si>
  <si>
    <t>QC!D165</t>
  </si>
  <si>
    <t>QC!D166</t>
  </si>
  <si>
    <t>QC!D167</t>
  </si>
  <si>
    <t>QC!D168</t>
  </si>
  <si>
    <t>QC!D169</t>
  </si>
  <si>
    <t>QC!D170</t>
  </si>
  <si>
    <t>QC!D171</t>
  </si>
  <si>
    <t>QC!D172</t>
  </si>
  <si>
    <t>Inputs edited since the build</t>
  </si>
  <si>
    <t>QC - Method</t>
  </si>
  <si>
    <t>How the workbook proves it reproduces the notebook</t>
  </si>
  <si>
    <t>Each check passes when the workbook formula result agrees with the independent notebook value within its tolerance:</t>
  </si>
  <si>
    <t>Figure 1. The notebook values are captured by the generator; Excel recomputes the workbook values from the inputs.</t>
  </si>
  <si>
    <t>•  Section A compares each key workbook result with the value the notebook model computed when the workbook was built (blue snapshot column).</t>
  </si>
  <si>
    <t>•  Tolerances are 1e-9 ft for stations and elevations, 1e-6 in for haunch and pedestal heights, and 0.001 ft only where Mathcad rounds the beam spacing.</t>
  </si>
  <si>
    <t>•  Section B compares every FGE cell with the notebook deck_top at the same station and offset (hidden snapshot columns L:M).</t>
  </si>
  <si>
    <t>•  Section C confirms the configuration stays inside what the closed-form Excel formulas represent (profile and deck modes, a straight PGL over each beam, span continuity).</t>
  </si>
  <si>
    <t>•  Section C also compares every generated input with the value written at build (hidden columns O:R). An edit shows CHECK here and turns the banner on every Method tab amber; the charts and tables follow the edit.</t>
  </si>
  <si>
    <t>•  Overall PASS requires every check to pass. A FAIL after editing an input means the workbook no longer matches the notebook: update CONFIG and rebuild.</t>
  </si>
  <si>
    <t>•  The regression test tests/test_geometry_cad_tables.py also recomputes the notebook model live and compares the saved workbook values.</t>
  </si>
  <si>
    <t>8291d84b1993a439602b</t>
  </si>
  <si>
    <t>1.1.1</t>
  </si>
  <si>
    <t>2026-10-19 12:13</t>
  </si>
  <si>
    <t>e9b41b8eaf</t>
  </si>
  <si>
    <t>Bridge_Geometry_2 Beam_V2.ipynb (lf_text)   SHA-256 4ccd84724ab53d45b9e2bcc7201ece64c0406f8b72e9772d8df5456b0199310b</t>
  </si>
  <si>
    <t>- Both backwall tops use two straight 2% slopes (D-053), 4-1/4 in below their FFBW deck-top lines. Ramp slabs thicken locally (about 4.05-4.95 in at checked points). Recheck profile edits and reconcile downstream drawings, quantities and backwall/slab design.</t>
  </si>
  <si>
    <t>Notebook CONFIG end_bents.start.backwall_drop_in (D-053 simple backwall top; slab thickens locally)</t>
  </si>
  <si>
    <t>Notebook CONFIG end_bents.end.backwall_drop_in (D-053 simple backwall top; slab thickens locally)</t>
  </si>
  <si>
    <t>•  Build fingerprint 8291d84b1993a439602b; notebook model ID e9b41b8eaf. The regression test fails if any source or the generator changes without a rebuild.</t>
  </si>
  <si>
    <t>Backwall top = deck-top line at the FFBW less the landing seat; cheek tops are the D-033 barrier-return bases (MSE interface inputs). Both backwall tops have two straight transverse slopes, level through their thickness (D-053); the ramp slabs thicken locally.</t>
  </si>
  <si>
    <t>D-053: both backwall tops have two straight 2% slopes down from the PGL, level through their 12-in thickness, and lie 4-1/4 in below the FFBW deck-top lines. Ramp slabs thicken locally (about 4.05-4.95 in at checked CAD points). Recheck fit and steel cover after profile edits; downstream slab/backwall design and drawings require reconciliation. Cheek geometry is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</si>
</sst>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0.000000"/>
    <numFmt numFmtId="166" formatCode="0.000"/>
    <numFmt numFmtId="167" formatCode="0.0"/>
    <numFmt numFmtId="168" formatCode="0.00000000"/>
    <numFmt numFmtId="169" formatCode="0.00000"/>
    <numFmt numFmtId="170" formatCode="0.000000000"/>
    <numFmt numFmtId="171" formatCode="0.0000000"/>
    <numFmt numFmtId="172" formatCode="0.0000000000"/>
    <numFmt numFmtId="173" formatCode="0.0E+00"/>
  </numFmts>
  <fonts count="19" x14ac:knownFonts="1">
    <font>
      <sz val="11"/>
      <color theme="1"/>
      <name val="Calibri"/>
      <family val="2"/>
      <scheme val="minor"/>
    </font>
    <font>
      <b/>
      <sz val="14"/>
      <color rgb="FF1F2A36"/>
      <name val="Arial"/>
    </font>
    <font>
      <i/>
      <sz val="9"/>
      <color rgb="FF5A6570"/>
      <name val="Arial"/>
    </font>
    <font>
      <b/>
      <sz val="11"/>
      <color rgb="FF1F2A36"/>
      <name val="Arial"/>
    </font>
    <font>
      <b/>
      <sz val="9"/>
      <name val="Arial"/>
    </font>
    <font>
      <sz val="10"/>
      <name val="Arial"/>
    </font>
    <font>
      <sz val="10"/>
      <color rgb="FF0000FF"/>
      <name val="Arial"/>
    </font>
    <font>
      <sz val="10"/>
      <color rgb="FF008000"/>
      <name val="Arial"/>
    </font>
    <font>
      <b/>
      <sz val="9"/>
      <color rgb="FF9C5700"/>
      <name val="Arial"/>
    </font>
    <font>
      <b/>
      <sz val="10"/>
      <name val="Arial"/>
    </font>
    <font>
      <b/>
      <sz val="16"/>
      <color rgb="FF1F2A36"/>
      <name val="Arial"/>
    </font>
    <font>
      <b/>
      <sz val="9"/>
      <color rgb="FF1F2A36"/>
      <name val="Arial"/>
    </font>
    <font>
      <b/>
      <sz val="12"/>
      <color rgb="FF1F2A36"/>
      <name val="Arial"/>
    </font>
    <font>
      <sz val="8"/>
      <color rgb="FF5A6570"/>
      <name val="Arial"/>
    </font>
    <font>
      <b/>
      <sz val="10"/>
      <color rgb="FF1F2A36"/>
      <name val="Arial"/>
    </font>
    <font>
      <b/>
      <sz val="8"/>
      <color rgb="FF5A6570"/>
      <name val="Arial"/>
    </font>
    <font>
      <sz val="10"/>
      <color rgb="FF9C5700"/>
      <name val="Arial"/>
    </font>
    <font>
      <b/>
      <sz val="18"/>
      <color rgb="FF1F2A36"/>
      <name val="Arial"/>
    </font>
    <font>
      <u/>
      <sz val="10"/>
      <color rgb="FF2B6CB0"/>
      <name val="Arial"/>
    </font>
  </fonts>
  <fills count="9">
    <fill>
      <patternFill patternType="none"/>
    </fill>
    <fill>
      <patternFill patternType="gray125"/>
    </fill>
    <fill>
      <patternFill patternType="solid">
        <fgColor rgb="FFEEF1F4"/>
      </patternFill>
    </fill>
    <fill>
      <patternFill patternType="solid">
        <fgColor rgb="FFD9E1F2"/>
      </patternFill>
    </fill>
    <fill>
      <patternFill patternType="solid">
        <fgColor rgb="FFFFF2CC"/>
      </patternFill>
    </fill>
    <fill>
      <patternFill patternType="solid">
        <fgColor rgb="FFFFF4E5"/>
      </patternFill>
    </fill>
    <fill>
      <patternFill patternType="solid">
        <fgColor rgb="FFC6EFCE"/>
      </patternFill>
    </fill>
    <fill>
      <patternFill patternType="solid">
        <fgColor rgb="FFFFC7CE"/>
      </patternFill>
    </fill>
    <fill>
      <patternFill patternType="solid">
        <fgColor rgb="FFFFEB9C"/>
      </patternFill>
    </fill>
  </fills>
  <borders count="5">
    <border>
      <left/>
      <right/>
      <top/>
      <bottom/>
      <diagonal/>
    </border>
    <border>
      <left style="thin">
        <color rgb="FF9AA5B1"/>
      </left>
      <right style="thin">
        <color rgb="FF9AA5B1"/>
      </right>
      <top style="thin">
        <color rgb="FF9AA5B1"/>
      </top>
      <bottom style="thin">
        <color rgb="FF9AA5B1"/>
      </bottom>
      <diagonal/>
    </border>
    <border>
      <left/>
      <right/>
      <top style="thin">
        <color rgb="FF9AA5B1"/>
      </top>
      <bottom style="thin">
        <color rgb="FF9AA5B1"/>
      </bottom>
      <diagonal/>
    </border>
    <border>
      <left/>
      <right style="thin">
        <color rgb="FF9AA5B1"/>
      </right>
      <top style="thin">
        <color rgb="FF9AA5B1"/>
      </top>
      <bottom style="thin">
        <color rgb="FF9AA5B1"/>
      </bottom>
      <diagonal/>
    </border>
    <border>
      <left style="thin">
        <color rgb="FF9AA5B1"/>
      </left>
      <right style="thin">
        <color rgb="FF9AA5B1"/>
      </right>
      <top/>
      <bottom style="thin">
        <color rgb="FF9AA5B1"/>
      </bottom>
      <diagonal/>
    </border>
  </borders>
  <cellStyleXfs count="1">
    <xf numFmtId="0" fontId="0" fillId="0" borderId="0"/>
  </cellStyleXfs>
  <cellXfs count="95">
    <xf numFmtId="0" fontId="0" fillId="0" borderId="0" xfId="0"/>
    <xf numFmtId="0" fontId="17" fillId="0" borderId="0" xfId="0" applyFont="1"/>
    <xf numFmtId="0" fontId="7" fillId="0" borderId="0" xfId="0" applyFont="1"/>
    <xf numFmtId="0" fontId="9"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xf numFmtId="0" fontId="9" fillId="0" borderId="0" xfId="0" applyFont="1"/>
    <xf numFmtId="0" fontId="2" fillId="0" borderId="0" xfId="0" applyFont="1"/>
    <xf numFmtId="0" fontId="18" fillId="0" borderId="0" xfId="0" applyFont="1"/>
    <xf numFmtId="0" fontId="6" fillId="4" borderId="0" xfId="0" applyFont="1" applyFill="1"/>
    <xf numFmtId="0" fontId="5" fillId="0" borderId="0" xfId="0" applyFont="1"/>
    <xf numFmtId="0" fontId="5" fillId="6" borderId="0" xfId="0" applyFont="1" applyFill="1"/>
    <xf numFmtId="0" fontId="5" fillId="7" borderId="0" xfId="0" applyFont="1" applyFill="1"/>
    <xf numFmtId="0" fontId="5" fillId="8" borderId="0" xfId="0" applyFont="1" applyFill="1"/>
    <xf numFmtId="0" fontId="1" fillId="0" borderId="0" xfId="0" applyFont="1"/>
    <xf numFmtId="0" fontId="2" fillId="0" borderId="0" xfId="0" applyFont="1" applyAlignment="1">
      <alignment vertical="top" wrapText="1"/>
    </xf>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6" fillId="4" borderId="1" xfId="0" applyFont="1" applyFill="1" applyBorder="1" applyAlignment="1">
      <alignment horizontal="left" wrapText="1"/>
    </xf>
    <xf numFmtId="0" fontId="6" fillId="4" borderId="1" xfId="0" applyFont="1" applyFill="1" applyBorder="1" applyAlignment="1">
      <alignment horizontal="right"/>
    </xf>
    <xf numFmtId="164" fontId="6" fillId="4" borderId="1" xfId="0" applyNumberFormat="1" applyFont="1" applyFill="1" applyBorder="1" applyAlignment="1">
      <alignment horizontal="right"/>
    </xf>
    <xf numFmtId="165" fontId="6" fillId="4" borderId="1" xfId="0" applyNumberFormat="1" applyFont="1" applyFill="1" applyBorder="1" applyAlignment="1">
      <alignment horizontal="right"/>
    </xf>
    <xf numFmtId="164" fontId="5" fillId="0" borderId="1" xfId="0" applyNumberFormat="1" applyFont="1" applyBorder="1" applyAlignment="1">
      <alignment horizontal="right"/>
    </xf>
    <xf numFmtId="166" fontId="6" fillId="4" borderId="1" xfId="0" applyNumberFormat="1" applyFont="1" applyFill="1" applyBorder="1" applyAlignment="1">
      <alignment horizontal="right"/>
    </xf>
    <xf numFmtId="0" fontId="6" fillId="4" borderId="1" xfId="0" applyFont="1" applyFill="1" applyBorder="1"/>
    <xf numFmtId="164" fontId="6" fillId="4" borderId="1" xfId="0" applyNumberFormat="1" applyFont="1" applyFill="1" applyBorder="1"/>
    <xf numFmtId="166" fontId="6" fillId="4" borderId="1" xfId="0" applyNumberFormat="1" applyFont="1" applyFill="1" applyBorder="1"/>
    <xf numFmtId="167" fontId="6" fillId="4" borderId="1" xfId="0" applyNumberFormat="1" applyFont="1" applyFill="1" applyBorder="1"/>
    <xf numFmtId="165" fontId="6" fillId="4" borderId="1" xfId="0" applyNumberFormat="1" applyFont="1" applyFill="1" applyBorder="1"/>
    <xf numFmtId="168" fontId="6" fillId="4" borderId="1" xfId="0" applyNumberFormat="1" applyFont="1" applyFill="1" applyBorder="1"/>
    <xf numFmtId="2" fontId="6" fillId="4" borderId="1" xfId="0" applyNumberFormat="1" applyFont="1" applyFill="1" applyBorder="1"/>
    <xf numFmtId="0" fontId="5" fillId="0" borderId="1" xfId="0" applyFont="1" applyBorder="1" applyAlignment="1">
      <alignment horizontal="right"/>
    </xf>
    <xf numFmtId="169" fontId="6" fillId="4" borderId="0" xfId="0" applyNumberFormat="1" applyFont="1" applyFill="1"/>
    <xf numFmtId="0" fontId="10" fillId="0" borderId="0" xfId="0" applyFont="1"/>
    <xf numFmtId="0" fontId="12" fillId="2" borderId="0" xfId="0" applyFont="1" applyFill="1"/>
    <xf numFmtId="0" fontId="4" fillId="0" borderId="0" xfId="0" applyFont="1"/>
    <xf numFmtId="165" fontId="5" fillId="0" borderId="1" xfId="0" applyNumberFormat="1" applyFont="1" applyBorder="1" applyAlignment="1">
      <alignment horizontal="right"/>
    </xf>
    <xf numFmtId="170" fontId="5" fillId="0" borderId="1" xfId="0" applyNumberFormat="1" applyFont="1" applyBorder="1" applyAlignment="1">
      <alignment horizontal="right"/>
    </xf>
    <xf numFmtId="164" fontId="7" fillId="0" borderId="0" xfId="0" applyNumberFormat="1" applyFont="1"/>
    <xf numFmtId="164" fontId="5" fillId="0" borderId="0" xfId="0" applyNumberFormat="1" applyFont="1"/>
    <xf numFmtId="0" fontId="5" fillId="0" borderId="1" xfId="0" applyFont="1" applyBorder="1" applyAlignment="1">
      <alignment horizontal="center" vertical="center" wrapText="1"/>
    </xf>
    <xf numFmtId="0" fontId="12" fillId="0" borderId="0" xfId="0" applyFont="1"/>
    <xf numFmtId="0" fontId="13" fillId="0" borderId="0" xfId="0" applyFont="1"/>
    <xf numFmtId="0" fontId="14" fillId="0" borderId="0" xfId="0" applyFont="1"/>
    <xf numFmtId="0" fontId="15" fillId="0" borderId="0" xfId="0" applyFont="1"/>
    <xf numFmtId="164" fontId="13" fillId="0" borderId="0" xfId="0" applyNumberFormat="1" applyFont="1"/>
    <xf numFmtId="165" fontId="13" fillId="0" borderId="0" xfId="0" applyNumberFormat="1" applyFont="1"/>
    <xf numFmtId="165" fontId="5" fillId="0" borderId="0" xfId="0" applyNumberFormat="1" applyFont="1"/>
    <xf numFmtId="2" fontId="5" fillId="0" borderId="0" xfId="0" applyNumberFormat="1" applyFont="1"/>
    <xf numFmtId="166" fontId="5" fillId="0" borderId="0" xfId="0" applyNumberFormat="1" applyFont="1"/>
    <xf numFmtId="1" fontId="5" fillId="0" borderId="0" xfId="0" applyNumberFormat="1" applyFont="1"/>
    <xf numFmtId="0" fontId="8" fillId="0" borderId="0" xfId="0" applyFont="1"/>
    <xf numFmtId="165" fontId="7" fillId="0" borderId="0" xfId="0" applyNumberFormat="1" applyFont="1"/>
    <xf numFmtId="171" fontId="5" fillId="0" borderId="0" xfId="0" applyNumberFormat="1" applyFont="1"/>
    <xf numFmtId="170" fontId="5" fillId="0" borderId="0" xfId="0" applyNumberFormat="1" applyFont="1"/>
    <xf numFmtId="172" fontId="9" fillId="0" borderId="1" xfId="0" applyNumberFormat="1" applyFont="1" applyBorder="1"/>
    <xf numFmtId="166" fontId="9" fillId="0" borderId="1" xfId="0" applyNumberFormat="1" applyFont="1" applyBorder="1"/>
    <xf numFmtId="166" fontId="7" fillId="0" borderId="0" xfId="0" applyNumberFormat="1" applyFont="1"/>
    <xf numFmtId="0" fontId="5" fillId="0" borderId="0" xfId="0" applyFont="1" applyAlignment="1">
      <alignment horizontal="center" vertical="center" wrapText="1"/>
    </xf>
    <xf numFmtId="0" fontId="2" fillId="0" borderId="0" xfId="0" applyFont="1" applyAlignment="1">
      <alignment horizontal="center" vertical="center" wrapText="1"/>
    </xf>
    <xf numFmtId="164" fontId="5" fillId="0" borderId="1" xfId="0" applyNumberFormat="1" applyFont="1" applyBorder="1"/>
    <xf numFmtId="165" fontId="5" fillId="0" borderId="1" xfId="0" applyNumberFormat="1" applyFont="1" applyBorder="1"/>
    <xf numFmtId="166" fontId="5" fillId="0" borderId="1" xfId="0" applyNumberFormat="1" applyFont="1" applyBorder="1"/>
    <xf numFmtId="2" fontId="13" fillId="0" borderId="0" xfId="0" applyNumberFormat="1" applyFont="1"/>
    <xf numFmtId="164" fontId="9" fillId="0" borderId="1" xfId="0" applyNumberFormat="1" applyFont="1" applyBorder="1"/>
    <xf numFmtId="0" fontId="9" fillId="0" borderId="1" xfId="0" applyFont="1" applyBorder="1"/>
    <xf numFmtId="165" fontId="6" fillId="4" borderId="0" xfId="0" applyNumberFormat="1" applyFont="1" applyFill="1"/>
    <xf numFmtId="168" fontId="6" fillId="4" borderId="0" xfId="0" applyNumberFormat="1" applyFont="1" applyFill="1"/>
    <xf numFmtId="0" fontId="4" fillId="0" borderId="1" xfId="0" applyFont="1" applyBorder="1" applyAlignment="1">
      <alignment horizontal="center" vertical="center" wrapText="1"/>
    </xf>
    <xf numFmtId="166"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xf numFmtId="0" fontId="5" fillId="0" borderId="1" xfId="0" applyFont="1" applyBorder="1"/>
    <xf numFmtId="2" fontId="7"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170" fontId="7" fillId="0" borderId="0" xfId="0" applyNumberFormat="1" applyFont="1"/>
    <xf numFmtId="170" fontId="6" fillId="4" borderId="0" xfId="0" applyNumberFormat="1" applyFont="1" applyFill="1"/>
    <xf numFmtId="173" fontId="5" fillId="0" borderId="0" xfId="0" applyNumberFormat="1" applyFont="1"/>
    <xf numFmtId="170" fontId="6" fillId="0" borderId="0" xfId="0" applyNumberFormat="1" applyFont="1"/>
    <xf numFmtId="0" fontId="9" fillId="0" borderId="1" xfId="0" applyFont="1" applyBorder="1" applyAlignment="1">
      <alignment horizontal="center" vertical="center" wrapText="1"/>
    </xf>
    <xf numFmtId="0" fontId="2" fillId="0" borderId="0" xfId="0" applyFont="1" applyAlignment="1">
      <alignment vertical="top" wrapText="1"/>
    </xf>
    <xf numFmtId="0" fontId="0" fillId="0" borderId="0" xfId="0"/>
    <xf numFmtId="0" fontId="11" fillId="0" borderId="0" xfId="0" applyFont="1" applyAlignment="1">
      <alignment vertical="center" wrapText="1"/>
    </xf>
    <xf numFmtId="0" fontId="5" fillId="0" borderId="0" xfId="0" applyFont="1" applyAlignment="1">
      <alignment vertical="top" wrapText="1"/>
    </xf>
    <xf numFmtId="0" fontId="4" fillId="3" borderId="0" xfId="0" applyFont="1" applyFill="1"/>
    <xf numFmtId="0" fontId="0" fillId="3" borderId="0" xfId="0" applyFill="1"/>
    <xf numFmtId="0" fontId="16" fillId="5" borderId="0" xfId="0" applyFont="1" applyFill="1" applyAlignment="1">
      <alignment vertical="top" wrapText="1"/>
    </xf>
    <xf numFmtId="0" fontId="0" fillId="5" borderId="0" xfId="0" applyFill="1"/>
    <xf numFmtId="0" fontId="5" fillId="0" borderId="0" xfId="0" applyFont="1"/>
    <xf numFmtId="0" fontId="4" fillId="3"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cellXfs>
  <cellStyles count="1">
    <cellStyle name="Normal" xfId="0" builtinId="0"/>
  </cellStyles>
  <dxfs count="82">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'Profile &amp; Deck Method'!$P$6</c:f>
              <c:strCache>
                <c:ptCount val="1"/>
                <c:pt idx="0">
                  <c:v>PGL</c:v>
                </c:pt>
              </c:strCache>
            </c:strRef>
          </c:tx>
          <c:spPr>
            <a:ln w="22225">
              <a:solidFill>
                <a:srgbClr val="2B6CB0"/>
              </a:solidFill>
              <a:prstDash val="solid"/>
            </a:ln>
          </c:spPr>
          <c:marker>
            <c:symbol val="none"/>
          </c:marker>
          <c:xVal>
            <c:numRef>
              <c:f>'Profile &amp; Deck Method'!$Q$6:$Q$30</c:f>
              <c:numCache>
                <c:formatCode>0.0000</c:formatCode>
                <c:ptCount val="25"/>
                <c:pt idx="0">
                  <c:v>1593.22</c:v>
                </c:pt>
                <c:pt idx="1">
                  <c:v>1602.1658333333335</c:v>
                </c:pt>
                <c:pt idx="2">
                  <c:v>1611.1116666666667</c:v>
                </c:pt>
                <c:pt idx="3">
                  <c:v>1620.0574999999999</c:v>
                </c:pt>
                <c:pt idx="4">
                  <c:v>1629.0033333333333</c:v>
                </c:pt>
                <c:pt idx="5">
                  <c:v>1637.9491666666668</c:v>
                </c:pt>
                <c:pt idx="6">
                  <c:v>1646.895</c:v>
                </c:pt>
                <c:pt idx="7">
                  <c:v>1655.8408333333334</c:v>
                </c:pt>
                <c:pt idx="8">
                  <c:v>1664.7866666666666</c:v>
                </c:pt>
                <c:pt idx="9">
                  <c:v>1673.7325000000001</c:v>
                </c:pt>
                <c:pt idx="10">
                  <c:v>1682.6783333333333</c:v>
                </c:pt>
                <c:pt idx="11">
                  <c:v>1691.6241666666665</c:v>
                </c:pt>
                <c:pt idx="12">
                  <c:v>1700.57</c:v>
                </c:pt>
                <c:pt idx="13">
                  <c:v>1709.3116666666665</c:v>
                </c:pt>
                <c:pt idx="14">
                  <c:v>1718.0533333333333</c:v>
                </c:pt>
                <c:pt idx="15">
                  <c:v>1726.7950000000001</c:v>
                </c:pt>
                <c:pt idx="16">
                  <c:v>1735.5366666666666</c:v>
                </c:pt>
                <c:pt idx="17">
                  <c:v>1744.2783333333332</c:v>
                </c:pt>
                <c:pt idx="18">
                  <c:v>1753.02</c:v>
                </c:pt>
                <c:pt idx="19">
                  <c:v>1761.7616666666668</c:v>
                </c:pt>
                <c:pt idx="20">
                  <c:v>1770.5033333333333</c:v>
                </c:pt>
                <c:pt idx="21">
                  <c:v>1779.2449999999999</c:v>
                </c:pt>
                <c:pt idx="22">
                  <c:v>1787.9866666666667</c:v>
                </c:pt>
                <c:pt idx="23">
                  <c:v>1796.7283333333335</c:v>
                </c:pt>
                <c:pt idx="24">
                  <c:v>1805.47</c:v>
                </c:pt>
              </c:numCache>
            </c:numRef>
          </c:xVal>
          <c:yVal>
            <c:numRef>
              <c:f>'Profile &amp; Deck Method'!$R$6:$R$30</c:f>
              <c:numCache>
                <c:formatCode>0.0000</c:formatCode>
                <c:ptCount val="25"/>
                <c:pt idx="0">
                  <c:v>47.661000000000001</c:v>
                </c:pt>
                <c:pt idx="1">
                  <c:v>47.705718750000003</c:v>
                </c:pt>
                <c:pt idx="2">
                  <c:v>47.750437500000004</c:v>
                </c:pt>
                <c:pt idx="3">
                  <c:v>47.795156249999998</c:v>
                </c:pt>
                <c:pt idx="4">
                  <c:v>47.839874999999999</c:v>
                </c:pt>
                <c:pt idx="5">
                  <c:v>47.884593750000001</c:v>
                </c:pt>
                <c:pt idx="6">
                  <c:v>47.929312500000002</c:v>
                </c:pt>
                <c:pt idx="7">
                  <c:v>47.974031250000003</c:v>
                </c:pt>
                <c:pt idx="8">
                  <c:v>48.018750000000004</c:v>
                </c:pt>
                <c:pt idx="9">
                  <c:v>48.063468750000006</c:v>
                </c:pt>
                <c:pt idx="10">
                  <c:v>48.1081875</c:v>
                </c:pt>
                <c:pt idx="11">
                  <c:v>48.152906250000001</c:v>
                </c:pt>
                <c:pt idx="12">
                  <c:v>48.197625000000002</c:v>
                </c:pt>
                <c:pt idx="13">
                  <c:v>48.153906250000006</c:v>
                </c:pt>
                <c:pt idx="14">
                  <c:v>48.110187500000002</c:v>
                </c:pt>
                <c:pt idx="15">
                  <c:v>48.066468749999999</c:v>
                </c:pt>
                <c:pt idx="16">
                  <c:v>48.022750000000002</c:v>
                </c:pt>
                <c:pt idx="17">
                  <c:v>47.979031250000006</c:v>
                </c:pt>
                <c:pt idx="18">
                  <c:v>47.935312500000002</c:v>
                </c:pt>
                <c:pt idx="19">
                  <c:v>47.891593749999998</c:v>
                </c:pt>
                <c:pt idx="20">
                  <c:v>47.847875000000002</c:v>
                </c:pt>
                <c:pt idx="21">
                  <c:v>47.804156250000005</c:v>
                </c:pt>
                <c:pt idx="22">
                  <c:v>47.760437500000002</c:v>
                </c:pt>
                <c:pt idx="23">
                  <c:v>47.716718749999998</c:v>
                </c:pt>
                <c:pt idx="24">
                  <c:v>47.673000000000002</c:v>
                </c:pt>
              </c:numCache>
            </c:numRef>
          </c:yVal>
          <c:smooth val="0"/>
          <c:extLst>
            <c:ext xmlns:c16="http://schemas.microsoft.com/office/drawing/2014/chart" uri="{C3380CC4-5D6E-409C-BE32-E72D297353CC}">
              <c16:uniqueId val="{00000000-D6EC-4A8B-B361-9FDCC9662278}"/>
            </c:ext>
          </c:extLst>
        </c:ser>
        <c:ser>
          <c:idx val="1"/>
          <c:order val="1"/>
          <c:tx>
            <c:strRef>
              <c:f>'Profile &amp; Deck Method'!$P$34</c:f>
              <c:strCache>
                <c:ptCount val="1"/>
                <c:pt idx="0">
                  <c:v>Span datums</c:v>
                </c:pt>
              </c:strCache>
            </c:strRef>
          </c:tx>
          <c:spPr>
            <a:ln w="9525">
              <a:solidFill>
                <a:srgbClr val="8A96A3"/>
              </a:solidFill>
              <a:prstDash val="dash"/>
            </a:ln>
          </c:spPr>
          <c:marker>
            <c:symbol val="none"/>
          </c:marker>
          <c:xVal>
            <c:numRef>
              <c:f>'Profile &amp; Deck Method'!$Q$34:$Q$41</c:f>
              <c:numCache>
                <c:formatCode>0.0000</c:formatCode>
                <c:ptCount val="8"/>
                <c:pt idx="0">
                  <c:v>1593.22</c:v>
                </c:pt>
                <c:pt idx="1">
                  <c:v>1593.22</c:v>
                </c:pt>
                <c:pt idx="3">
                  <c:v>1700.57</c:v>
                </c:pt>
                <c:pt idx="4">
                  <c:v>1700.57</c:v>
                </c:pt>
                <c:pt idx="6">
                  <c:v>1805.47</c:v>
                </c:pt>
                <c:pt idx="7">
                  <c:v>1805.47</c:v>
                </c:pt>
              </c:numCache>
            </c:numRef>
          </c:xVal>
          <c:yVal>
            <c:numRef>
              <c:f>'Profile &amp; Deck Method'!$R$34:$R$41</c:f>
              <c:numCache>
                <c:formatCode>0.0000</c:formatCode>
                <c:ptCount val="8"/>
                <c:pt idx="0">
                  <c:v>47.411000000000001</c:v>
                </c:pt>
                <c:pt idx="1">
                  <c:v>48.297625000000004</c:v>
                </c:pt>
                <c:pt idx="3">
                  <c:v>47.411000000000001</c:v>
                </c:pt>
                <c:pt idx="4">
                  <c:v>48.297625000000004</c:v>
                </c:pt>
                <c:pt idx="6">
                  <c:v>47.411000000000001</c:v>
                </c:pt>
                <c:pt idx="7">
                  <c:v>48.297625000000004</c:v>
                </c:pt>
              </c:numCache>
            </c:numRef>
          </c:yVal>
          <c:smooth val="0"/>
          <c:extLst>
            <c:ext xmlns:c16="http://schemas.microsoft.com/office/drawing/2014/chart" uri="{C3380CC4-5D6E-409C-BE32-E72D297353CC}">
              <c16:uniqueId val="{00000001-D6EC-4A8B-B361-9FDCC9662278}"/>
            </c:ext>
          </c:extLst>
        </c:ser>
        <c:ser>
          <c:idx val="2"/>
          <c:order val="2"/>
          <c:tx>
            <c:strRef>
              <c:f>'Profile &amp; Deck Method'!$P$43</c:f>
              <c:strCache>
                <c:ptCount val="1"/>
                <c:pt idx="0">
                  <c:v>FFBW End Bent 1  15+93.22</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Method'!$Q$43</c:f>
              <c:numCache>
                <c:formatCode>0.0000</c:formatCode>
                <c:ptCount val="1"/>
                <c:pt idx="0">
                  <c:v>1593.22</c:v>
                </c:pt>
              </c:numCache>
            </c:numRef>
          </c:xVal>
          <c:yVal>
            <c:numRef>
              <c:f>'Profile &amp; Deck Method'!$R$43</c:f>
              <c:numCache>
                <c:formatCode>0.0000</c:formatCode>
                <c:ptCount val="1"/>
                <c:pt idx="0">
                  <c:v>47.411000000000001</c:v>
                </c:pt>
              </c:numCache>
            </c:numRef>
          </c:yVal>
          <c:smooth val="0"/>
          <c:extLst>
            <c:ext xmlns:c16="http://schemas.microsoft.com/office/drawing/2014/chart" uri="{C3380CC4-5D6E-409C-BE32-E72D297353CC}">
              <c16:uniqueId val="{00000002-D6EC-4A8B-B361-9FDCC9662278}"/>
            </c:ext>
          </c:extLst>
        </c:ser>
        <c:ser>
          <c:idx val="3"/>
          <c:order val="3"/>
          <c:tx>
            <c:strRef>
              <c:f>'Profile &amp; Deck Method'!$P$45</c:f>
              <c:strCache>
                <c:ptCount val="1"/>
                <c:pt idx="0">
                  <c:v>CL Pier  17+00.57</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Method'!$Q$45</c:f>
              <c:numCache>
                <c:formatCode>0.0000</c:formatCode>
                <c:ptCount val="1"/>
                <c:pt idx="0">
                  <c:v>1700.57</c:v>
                </c:pt>
              </c:numCache>
            </c:numRef>
          </c:xVal>
          <c:yVal>
            <c:numRef>
              <c:f>'Profile &amp; Deck Method'!$R$45</c:f>
              <c:numCache>
                <c:formatCode>0.0000</c:formatCode>
                <c:ptCount val="1"/>
                <c:pt idx="0">
                  <c:v>47.411000000000001</c:v>
                </c:pt>
              </c:numCache>
            </c:numRef>
          </c:yVal>
          <c:smooth val="0"/>
          <c:extLst>
            <c:ext xmlns:c16="http://schemas.microsoft.com/office/drawing/2014/chart" uri="{C3380CC4-5D6E-409C-BE32-E72D297353CC}">
              <c16:uniqueId val="{00000003-D6EC-4A8B-B361-9FDCC9662278}"/>
            </c:ext>
          </c:extLst>
        </c:ser>
        <c:ser>
          <c:idx val="4"/>
          <c:order val="4"/>
          <c:tx>
            <c:strRef>
              <c:f>'Profile &amp; Deck Method'!$P$47</c:f>
              <c:strCache>
                <c:ptCount val="1"/>
                <c:pt idx="0">
                  <c:v>FFBW End Bent 2  18+05.47</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Method'!$Q$47</c:f>
              <c:numCache>
                <c:formatCode>0.0000</c:formatCode>
                <c:ptCount val="1"/>
                <c:pt idx="0">
                  <c:v>1805.47</c:v>
                </c:pt>
              </c:numCache>
            </c:numRef>
          </c:xVal>
          <c:yVal>
            <c:numRef>
              <c:f>'Profile &amp; Deck Method'!$R$47</c:f>
              <c:numCache>
                <c:formatCode>0.0000</c:formatCode>
                <c:ptCount val="1"/>
                <c:pt idx="0">
                  <c:v>47.411000000000001</c:v>
                </c:pt>
              </c:numCache>
            </c:numRef>
          </c:yVal>
          <c:smooth val="0"/>
          <c:extLst>
            <c:ext xmlns:c16="http://schemas.microsoft.com/office/drawing/2014/chart" uri="{C3380CC4-5D6E-409C-BE32-E72D297353CC}">
              <c16:uniqueId val="{00000004-D6EC-4A8B-B361-9FDCC9662278}"/>
            </c:ext>
          </c:extLst>
        </c:ser>
        <c:ser>
          <c:idx val="5"/>
          <c:order val="5"/>
          <c:tx>
            <c:strRef>
              <c:f>'Profile &amp; Deck Method'!$P$49</c:f>
              <c:strCache>
                <c:ptCount val="1"/>
                <c:pt idx="0">
                  <c:v>EL 47.661</c:v>
                </c:pt>
              </c:strCache>
            </c:strRef>
          </c:tx>
          <c:spPr>
            <a:ln>
              <a:noFill/>
              <a:prstDash val="solid"/>
            </a:ln>
          </c:spPr>
          <c:marker>
            <c:symbol val="circle"/>
            <c:size val="5"/>
            <c:spPr>
              <a:solidFill>
                <a:srgbClr val="1F2A36"/>
              </a:solidFill>
              <a:ln>
                <a:solidFill>
                  <a:srgbClr val="1F2A36"/>
                </a:solidFill>
                <a:prstDash val="solid"/>
              </a:ln>
            </c:spPr>
          </c:marker>
          <c:dLbls>
            <c:spPr>
              <a:noFill/>
              <a:ln>
                <a:noFill/>
              </a:ln>
              <a:effectLst/>
            </c:spPr>
            <c:txPr>
              <a:bodyPr/>
              <a:lstStyle/>
              <a:p>
                <a:pPr>
                  <a:defRPr sz="750" b="0">
                    <a:solidFill>
                      <a:srgbClr val="1F2A36"/>
                    </a:solidFill>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Method'!$Q$49</c:f>
              <c:numCache>
                <c:formatCode>0.0000</c:formatCode>
                <c:ptCount val="1"/>
                <c:pt idx="0">
                  <c:v>1593.22</c:v>
                </c:pt>
              </c:numCache>
            </c:numRef>
          </c:xVal>
          <c:yVal>
            <c:numRef>
              <c:f>'Profile &amp; Deck Method'!$R$49</c:f>
              <c:numCache>
                <c:formatCode>0.0000</c:formatCode>
                <c:ptCount val="1"/>
                <c:pt idx="0">
                  <c:v>47.661000000000001</c:v>
                </c:pt>
              </c:numCache>
            </c:numRef>
          </c:yVal>
          <c:smooth val="0"/>
          <c:extLst>
            <c:ext xmlns:c16="http://schemas.microsoft.com/office/drawing/2014/chart" uri="{C3380CC4-5D6E-409C-BE32-E72D297353CC}">
              <c16:uniqueId val="{00000005-D6EC-4A8B-B361-9FDCC9662278}"/>
            </c:ext>
          </c:extLst>
        </c:ser>
        <c:ser>
          <c:idx val="6"/>
          <c:order val="6"/>
          <c:tx>
            <c:strRef>
              <c:f>'Profile &amp; Deck Method'!$P$51</c:f>
              <c:strCache>
                <c:ptCount val="1"/>
                <c:pt idx="0">
                  <c:v>EL 47.673</c:v>
                </c:pt>
              </c:strCache>
            </c:strRef>
          </c:tx>
          <c:spPr>
            <a:ln>
              <a:noFill/>
              <a:prstDash val="solid"/>
            </a:ln>
          </c:spPr>
          <c:marker>
            <c:symbol val="circle"/>
            <c:size val="5"/>
            <c:spPr>
              <a:solidFill>
                <a:srgbClr val="1F2A36"/>
              </a:solidFill>
              <a:ln>
                <a:solidFill>
                  <a:srgbClr val="1F2A36"/>
                </a:solidFill>
                <a:prstDash val="solid"/>
              </a:ln>
            </c:spPr>
          </c:marker>
          <c:dLbls>
            <c:spPr>
              <a:noFill/>
              <a:ln>
                <a:noFill/>
              </a:ln>
              <a:effectLst/>
            </c:spPr>
            <c:txPr>
              <a:bodyPr/>
              <a:lstStyle/>
              <a:p>
                <a:pPr>
                  <a:defRPr sz="75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Method'!$Q$51</c:f>
              <c:numCache>
                <c:formatCode>0.0000</c:formatCode>
                <c:ptCount val="1"/>
                <c:pt idx="0">
                  <c:v>1805.47</c:v>
                </c:pt>
              </c:numCache>
            </c:numRef>
          </c:xVal>
          <c:yVal>
            <c:numRef>
              <c:f>'Profile &amp; Deck Method'!$R$51</c:f>
              <c:numCache>
                <c:formatCode>0.0000</c:formatCode>
                <c:ptCount val="1"/>
                <c:pt idx="0">
                  <c:v>47.673000000000002</c:v>
                </c:pt>
              </c:numCache>
            </c:numRef>
          </c:yVal>
          <c:smooth val="0"/>
          <c:extLst>
            <c:ext xmlns:c16="http://schemas.microsoft.com/office/drawing/2014/chart" uri="{C3380CC4-5D6E-409C-BE32-E72D297353CC}">
              <c16:uniqueId val="{00000006-D6EC-4A8B-B361-9FDCC9662278}"/>
            </c:ext>
          </c:extLst>
        </c:ser>
        <c:ser>
          <c:idx val="7"/>
          <c:order val="7"/>
          <c:tx>
            <c:strRef>
              <c:f>'Profile &amp; Deck Method'!$P$53</c:f>
              <c:strCache>
                <c:ptCount val="1"/>
                <c:pt idx="0">
                  <c:v>PI  17+00.57
EL 48.198</c:v>
                </c:pt>
              </c:strCache>
            </c:strRef>
          </c:tx>
          <c:spPr>
            <a:ln>
              <a:noFill/>
              <a:prstDash val="solid"/>
            </a:ln>
          </c:spPr>
          <c:marker>
            <c:symbol val="circle"/>
            <c:size val="5"/>
            <c:spPr>
              <a:solidFill>
                <a:srgbClr val="1F2A36"/>
              </a:solidFill>
              <a:ln>
                <a:solidFill>
                  <a:srgbClr val="1F2A36"/>
                </a:solidFill>
                <a:prstDash val="solid"/>
              </a:ln>
            </c:spPr>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Method'!$Q$53</c:f>
              <c:numCache>
                <c:formatCode>0.0000</c:formatCode>
                <c:ptCount val="1"/>
                <c:pt idx="0">
                  <c:v>1700.57</c:v>
                </c:pt>
              </c:numCache>
            </c:numRef>
          </c:xVal>
          <c:yVal>
            <c:numRef>
              <c:f>'Profile &amp; Deck Method'!$R$53</c:f>
              <c:numCache>
                <c:formatCode>0.0000</c:formatCode>
                <c:ptCount val="1"/>
                <c:pt idx="0">
                  <c:v>48.197625000000002</c:v>
                </c:pt>
              </c:numCache>
            </c:numRef>
          </c:yVal>
          <c:smooth val="0"/>
          <c:extLst>
            <c:ext xmlns:c16="http://schemas.microsoft.com/office/drawing/2014/chart" uri="{C3380CC4-5D6E-409C-BE32-E72D297353CC}">
              <c16:uniqueId val="{00000007-D6EC-4A8B-B361-9FDCC9662278}"/>
            </c:ext>
          </c:extLst>
        </c:ser>
        <c:ser>
          <c:idx val="8"/>
          <c:order val="8"/>
          <c:tx>
            <c:strRef>
              <c:f>'Profile &amp; Deck Method'!$P$55</c:f>
              <c:strCache>
                <c:ptCount val="1"/>
                <c:pt idx="0">
                  <c:v>g1 = +0.4999%</c:v>
                </c:pt>
              </c:strCache>
            </c:strRef>
          </c:tx>
          <c:spPr>
            <a:ln>
              <a:noFill/>
              <a:prstDash val="solid"/>
            </a:ln>
          </c:spPr>
          <c:marker>
            <c:symbol val="none"/>
          </c:marker>
          <c:dLbls>
            <c:spPr>
              <a:noFill/>
              <a:ln>
                <a:noFill/>
              </a:ln>
              <a:effectLst/>
            </c:spPr>
            <c:txPr>
              <a:bodyPr/>
              <a:lstStyle/>
              <a:p>
                <a:pPr>
                  <a:defRPr sz="8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Method'!$Q$55</c:f>
              <c:numCache>
                <c:formatCode>0.0000</c:formatCode>
                <c:ptCount val="1"/>
                <c:pt idx="0">
                  <c:v>1646.895</c:v>
                </c:pt>
              </c:numCache>
            </c:numRef>
          </c:xVal>
          <c:yVal>
            <c:numRef>
              <c:f>'Profile &amp; Deck Method'!$R$55</c:f>
              <c:numCache>
                <c:formatCode>0.0000</c:formatCode>
                <c:ptCount val="1"/>
                <c:pt idx="0">
                  <c:v>47.929312500000002</c:v>
                </c:pt>
              </c:numCache>
            </c:numRef>
          </c:yVal>
          <c:smooth val="0"/>
          <c:extLst>
            <c:ext xmlns:c16="http://schemas.microsoft.com/office/drawing/2014/chart" uri="{C3380CC4-5D6E-409C-BE32-E72D297353CC}">
              <c16:uniqueId val="{00000008-D6EC-4A8B-B361-9FDCC9662278}"/>
            </c:ext>
          </c:extLst>
        </c:ser>
        <c:ser>
          <c:idx val="9"/>
          <c:order val="9"/>
          <c:tx>
            <c:strRef>
              <c:f>'Profile &amp; Deck Method'!$P$57</c:f>
              <c:strCache>
                <c:ptCount val="1"/>
                <c:pt idx="0">
                  <c:v>g2 = -0.5001%</c:v>
                </c:pt>
              </c:strCache>
            </c:strRef>
          </c:tx>
          <c:spPr>
            <a:ln>
              <a:noFill/>
              <a:prstDash val="solid"/>
            </a:ln>
          </c:spPr>
          <c:marker>
            <c:symbol val="none"/>
          </c:marker>
          <c:dLbls>
            <c:spPr>
              <a:noFill/>
              <a:ln>
                <a:noFill/>
              </a:ln>
              <a:effectLst/>
            </c:spPr>
            <c:txPr>
              <a:bodyPr/>
              <a:lstStyle/>
              <a:p>
                <a:pPr>
                  <a:defRPr sz="8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Method'!$Q$57</c:f>
              <c:numCache>
                <c:formatCode>0.0000</c:formatCode>
                <c:ptCount val="1"/>
                <c:pt idx="0">
                  <c:v>1753.02</c:v>
                </c:pt>
              </c:numCache>
            </c:numRef>
          </c:xVal>
          <c:yVal>
            <c:numRef>
              <c:f>'Profile &amp; Deck Method'!$R$57</c:f>
              <c:numCache>
                <c:formatCode>0.0000</c:formatCode>
                <c:ptCount val="1"/>
                <c:pt idx="0">
                  <c:v>47.935312500000002</c:v>
                </c:pt>
              </c:numCache>
            </c:numRef>
          </c:yVal>
          <c:smooth val="0"/>
          <c:extLst>
            <c:ext xmlns:c16="http://schemas.microsoft.com/office/drawing/2014/chart" uri="{C3380CC4-5D6E-409C-BE32-E72D297353CC}">
              <c16:uniqueId val="{00000009-D6EC-4A8B-B361-9FDCC9662278}"/>
            </c:ext>
          </c:extLst>
        </c:ser>
        <c:ser>
          <c:idx val="10"/>
          <c:order val="10"/>
          <c:tx>
            <c:strRef>
              <c:f>'Profile &amp; Deck Method'!$P$59</c:f>
              <c:strCache>
                <c:ptCount val="1"/>
                <c:pt idx="0">
                  <c:v>frame (invisible, sets the chart window)</c:v>
                </c:pt>
              </c:strCache>
            </c:strRef>
          </c:tx>
          <c:spPr>
            <a:ln>
              <a:noFill/>
              <a:prstDash val="solid"/>
            </a:ln>
          </c:spPr>
          <c:marker>
            <c:symbol val="none"/>
          </c:marker>
          <c:xVal>
            <c:numRef>
              <c:f>'Profile &amp; Deck Method'!$Q$59:$Q$60</c:f>
              <c:numCache>
                <c:formatCode>0.0000</c:formatCode>
                <c:ptCount val="2"/>
                <c:pt idx="0">
                  <c:v>1588.22</c:v>
                </c:pt>
                <c:pt idx="1">
                  <c:v>1810.47</c:v>
                </c:pt>
              </c:numCache>
            </c:numRef>
          </c:xVal>
          <c:yVal>
            <c:numRef>
              <c:f>'Profile &amp; Deck Method'!$R$59:$R$60</c:f>
              <c:numCache>
                <c:formatCode>0.0000</c:formatCode>
                <c:ptCount val="2"/>
                <c:pt idx="0">
                  <c:v>47.111000000000004</c:v>
                </c:pt>
                <c:pt idx="1">
                  <c:v>48.497625000000006</c:v>
                </c:pt>
              </c:numCache>
            </c:numRef>
          </c:yVal>
          <c:smooth val="0"/>
          <c:extLst>
            <c:ext xmlns:c16="http://schemas.microsoft.com/office/drawing/2014/chart" uri="{C3380CC4-5D6E-409C-BE32-E72D297353CC}">
              <c16:uniqueId val="{0000000A-D6EC-4A8B-B361-9FDCC966227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6350">
              <a:solidFill>
                <a:srgbClr val="E6E9ED"/>
              </a:solidFill>
              <a:prstDash val="solid"/>
            </a:ln>
          </c:spPr>
        </c:majorGridlines>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0"/>
        <c:axPos val="l"/>
        <c:majorGridlines>
          <c:spPr>
            <a:ln w="6350">
              <a:solidFill>
                <a:srgbClr val="E6E9ED"/>
              </a:solidFill>
              <a:prstDash val="solid"/>
            </a:ln>
          </c:spPr>
        </c:majorGridlines>
        <c:title>
          <c:tx>
            <c:rich>
              <a:bodyPr/>
              <a:lstStyle/>
              <a:p>
                <a:pPr>
                  <a:defRPr/>
                </a:pPr>
                <a:r>
                  <a:t>Elevation (ft)</a:t>
                </a:r>
              </a:p>
            </c:rich>
          </c:tx>
          <c:overlay val="0"/>
        </c:title>
        <c:numFmt formatCode="0.0" sourceLinked="0"/>
        <c:majorTickMark val="out"/>
        <c:minorTickMark val="none"/>
        <c:tickLblPos val="nextTo"/>
        <c:txPr>
          <a:bodyPr/>
          <a:lstStyle/>
          <a:p>
            <a:pPr>
              <a:defRPr sz="800" b="0">
                <a:solidFill>
                  <a:srgbClr val="5A6570"/>
                </a:solidFill>
              </a:defRPr>
            </a:pPr>
            <a:endParaRPr lang="en-US"/>
          </a:p>
        </c:txPr>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'Profile &amp; Deck Method'!$P$66</c:f>
              <c:strCache>
                <c:ptCount val="1"/>
                <c:pt idx="0">
                  <c:v>Deck</c:v>
                </c:pt>
              </c:strCache>
            </c:strRef>
          </c:tx>
          <c:spPr>
            <a:ln w="15875">
              <a:solidFill>
                <a:srgbClr val="5A6570"/>
              </a:solidFill>
              <a:prstDash val="solid"/>
            </a:ln>
          </c:spPr>
          <c:marker>
            <c:symbol val="none"/>
          </c:marker>
          <c:xVal>
            <c:numRef>
              <c:f>'Profile &amp; Deck Method'!$Q$66:$Q$72</c:f>
              <c:numCache>
                <c:formatCode>0.0000</c:formatCode>
                <c:ptCount val="7"/>
                <c:pt idx="0">
                  <c:v>-6.7916666666666652</c:v>
                </c:pt>
                <c:pt idx="1">
                  <c:v>0</c:v>
                </c:pt>
                <c:pt idx="2">
                  <c:v>6.7916666666666652</c:v>
                </c:pt>
                <c:pt idx="3">
                  <c:v>6.7916666666666652</c:v>
                </c:pt>
                <c:pt idx="4">
                  <c:v>0</c:v>
                </c:pt>
                <c:pt idx="5">
                  <c:v>-6.7916666666666652</c:v>
                </c:pt>
                <c:pt idx="6">
                  <c:v>-6.7916666666666652</c:v>
                </c:pt>
              </c:numCache>
            </c:numRef>
          </c:xVal>
          <c:yVal>
            <c:numRef>
              <c:f>'Profile &amp; Deck Method'!$R$66:$R$72</c:f>
              <c:numCache>
                <c:formatCode>0.0000</c:formatCode>
                <c:ptCount val="7"/>
                <c:pt idx="0">
                  <c:v>47.793791593890703</c:v>
                </c:pt>
                <c:pt idx="1">
                  <c:v>47.929624927224033</c:v>
                </c:pt>
                <c:pt idx="2">
                  <c:v>47.793791593890703</c:v>
                </c:pt>
                <c:pt idx="3">
                  <c:v>47.293791593890703</c:v>
                </c:pt>
                <c:pt idx="4">
                  <c:v>47.429624927224033</c:v>
                </c:pt>
                <c:pt idx="5">
                  <c:v>47.293791593890703</c:v>
                </c:pt>
                <c:pt idx="6">
                  <c:v>47.793791593890703</c:v>
                </c:pt>
              </c:numCache>
            </c:numRef>
          </c:yVal>
          <c:smooth val="0"/>
          <c:extLst>
            <c:ext xmlns:c16="http://schemas.microsoft.com/office/drawing/2014/chart" uri="{C3380CC4-5D6E-409C-BE32-E72D297353CC}">
              <c16:uniqueId val="{00000000-78D7-41DB-9C2E-0073ACB3A958}"/>
            </c:ext>
          </c:extLst>
        </c:ser>
        <c:ser>
          <c:idx val="1"/>
          <c:order val="1"/>
          <c:tx>
            <c:strRef>
              <c:f>'Profile &amp; Deck Method'!$P$76</c:f>
              <c:strCache>
                <c:ptCount val="1"/>
                <c:pt idx="0">
                  <c:v>FIB-36 beams</c:v>
                </c:pt>
              </c:strCache>
            </c:strRef>
          </c:tx>
          <c:spPr>
            <a:ln w="12700">
              <a:solidFill>
                <a:srgbClr val="1F2A36"/>
              </a:solidFill>
              <a:prstDash val="solid"/>
            </a:ln>
          </c:spPr>
          <c:marker>
            <c:symbol val="none"/>
          </c:marker>
          <c:xVal>
            <c:numRef>
              <c:f>'Profile &amp; Deck Method'!$Q$76:$Q$106</c:f>
              <c:numCache>
                <c:formatCode>0.0000</c:formatCode>
                <c:ptCount val="31"/>
                <c:pt idx="0">
                  <c:v>-6.291666666666667</c:v>
                </c:pt>
                <c:pt idx="1">
                  <c:v>-2.291666666666667</c:v>
                </c:pt>
                <c:pt idx="2">
                  <c:v>-2.291666666666667</c:v>
                </c:pt>
                <c:pt idx="3">
                  <c:v>-3.7083333333333335</c:v>
                </c:pt>
                <c:pt idx="4">
                  <c:v>-4</c:v>
                </c:pt>
                <c:pt idx="5">
                  <c:v>-4</c:v>
                </c:pt>
                <c:pt idx="6">
                  <c:v>-2.7083333333333339</c:v>
                </c:pt>
                <c:pt idx="7">
                  <c:v>-2.7083333333333339</c:v>
                </c:pt>
                <c:pt idx="8">
                  <c:v>-5.875</c:v>
                </c:pt>
                <c:pt idx="9">
                  <c:v>-5.875</c:v>
                </c:pt>
                <c:pt idx="10">
                  <c:v>-4.5833333333333339</c:v>
                </c:pt>
                <c:pt idx="11">
                  <c:v>-4.5833333333333339</c:v>
                </c:pt>
                <c:pt idx="12">
                  <c:v>-4.875</c:v>
                </c:pt>
                <c:pt idx="13">
                  <c:v>-6.291666666666667</c:v>
                </c:pt>
                <c:pt idx="14">
                  <c:v>-6.291666666666667</c:v>
                </c:pt>
                <c:pt idx="16">
                  <c:v>2.291666666666667</c:v>
                </c:pt>
                <c:pt idx="17">
                  <c:v>6.291666666666667</c:v>
                </c:pt>
                <c:pt idx="18">
                  <c:v>6.291666666666667</c:v>
                </c:pt>
                <c:pt idx="19">
                  <c:v>4.875</c:v>
                </c:pt>
                <c:pt idx="20">
                  <c:v>4.5833333333333339</c:v>
                </c:pt>
                <c:pt idx="21">
                  <c:v>4.5833333333333339</c:v>
                </c:pt>
                <c:pt idx="22">
                  <c:v>5.875</c:v>
                </c:pt>
                <c:pt idx="23">
                  <c:v>5.875</c:v>
                </c:pt>
                <c:pt idx="24">
                  <c:v>2.7083333333333339</c:v>
                </c:pt>
                <c:pt idx="25">
                  <c:v>2.7083333333333339</c:v>
                </c:pt>
                <c:pt idx="26">
                  <c:v>4</c:v>
                </c:pt>
                <c:pt idx="27">
                  <c:v>4</c:v>
                </c:pt>
                <c:pt idx="28">
                  <c:v>3.7083333333333335</c:v>
                </c:pt>
                <c:pt idx="29">
                  <c:v>2.291666666666667</c:v>
                </c:pt>
                <c:pt idx="30">
                  <c:v>2.291666666666667</c:v>
                </c:pt>
              </c:numCache>
            </c:numRef>
          </c:xVal>
          <c:yVal>
            <c:numRef>
              <c:f>'Profile &amp; Deck Method'!$R$76:$R$106</c:f>
              <c:numCache>
                <c:formatCode>0.0000</c:formatCode>
                <c:ptCount val="31"/>
                <c:pt idx="0">
                  <c:v>47.225243367303342</c:v>
                </c:pt>
                <c:pt idx="1">
                  <c:v>47.225243367303342</c:v>
                </c:pt>
                <c:pt idx="2">
                  <c:v>46.933576700636678</c:v>
                </c:pt>
                <c:pt idx="3">
                  <c:v>46.808576700636678</c:v>
                </c:pt>
                <c:pt idx="4">
                  <c:v>46.516910033970007</c:v>
                </c:pt>
                <c:pt idx="5">
                  <c:v>45.058576700636678</c:v>
                </c:pt>
                <c:pt idx="6">
                  <c:v>44.808576700636678</c:v>
                </c:pt>
                <c:pt idx="7">
                  <c:v>44.225243367303342</c:v>
                </c:pt>
                <c:pt idx="8">
                  <c:v>44.225243367303342</c:v>
                </c:pt>
                <c:pt idx="9">
                  <c:v>44.808576700636678</c:v>
                </c:pt>
                <c:pt idx="10">
                  <c:v>45.058576700636678</c:v>
                </c:pt>
                <c:pt idx="11">
                  <c:v>46.516910033970007</c:v>
                </c:pt>
                <c:pt idx="12">
                  <c:v>46.808576700636678</c:v>
                </c:pt>
                <c:pt idx="13">
                  <c:v>46.933576700636678</c:v>
                </c:pt>
                <c:pt idx="14">
                  <c:v>47.225243367303342</c:v>
                </c:pt>
                <c:pt idx="16">
                  <c:v>47.225243367303342</c:v>
                </c:pt>
                <c:pt idx="17">
                  <c:v>47.225243367303342</c:v>
                </c:pt>
                <c:pt idx="18">
                  <c:v>46.933576700636678</c:v>
                </c:pt>
                <c:pt idx="19">
                  <c:v>46.808576700636678</c:v>
                </c:pt>
                <c:pt idx="20">
                  <c:v>46.516910033970007</c:v>
                </c:pt>
                <c:pt idx="21">
                  <c:v>45.058576700636678</c:v>
                </c:pt>
                <c:pt idx="22">
                  <c:v>44.808576700636678</c:v>
                </c:pt>
                <c:pt idx="23">
                  <c:v>44.225243367303342</c:v>
                </c:pt>
                <c:pt idx="24">
                  <c:v>44.225243367303342</c:v>
                </c:pt>
                <c:pt idx="25">
                  <c:v>44.808576700636678</c:v>
                </c:pt>
                <c:pt idx="26">
                  <c:v>45.058576700636678</c:v>
                </c:pt>
                <c:pt idx="27">
                  <c:v>46.516910033970007</c:v>
                </c:pt>
                <c:pt idx="28">
                  <c:v>46.808576700636678</c:v>
                </c:pt>
                <c:pt idx="29">
                  <c:v>46.933576700636678</c:v>
                </c:pt>
                <c:pt idx="30">
                  <c:v>47.225243367303342</c:v>
                </c:pt>
              </c:numCache>
            </c:numRef>
          </c:yVal>
          <c:smooth val="0"/>
          <c:extLst>
            <c:ext xmlns:c16="http://schemas.microsoft.com/office/drawing/2014/chart" uri="{C3380CC4-5D6E-409C-BE32-E72D297353CC}">
              <c16:uniqueId val="{00000001-78D7-41DB-9C2E-0073ACB3A958}"/>
            </c:ext>
          </c:extLst>
        </c:ser>
        <c:ser>
          <c:idx val="2"/>
          <c:order val="2"/>
          <c:tx>
            <c:strRef>
              <c:f>'Profile &amp; Deck Method'!$P$108</c:f>
              <c:strCache>
                <c:ptCount val="1"/>
                <c:pt idx="0">
                  <c:v>Haunch over beam 1</c:v>
                </c:pt>
              </c:strCache>
            </c:strRef>
          </c:tx>
          <c:spPr>
            <a:ln>
              <a:noFill/>
              <a:prstDash val="solid"/>
            </a:ln>
          </c:spPr>
          <c:marker>
            <c:symbol val="none"/>
          </c:marker>
          <c:errBars>
            <c:errDir val="y"/>
            <c:errBarType val="plus"/>
            <c:errValType val="cust"/>
            <c:noEndCap val="1"/>
            <c:plus>
              <c:numRef>
                <c:f>'Profile &amp; Deck Method'!$S$108:$S$132</c:f>
                <c:numCache>
                  <c:formatCode>General</c:formatCode>
                  <c:ptCount val="25"/>
                  <c:pt idx="0">
                    <c:v>7.8548226587358272E-2</c:v>
                  </c:pt>
                  <c:pt idx="1">
                    <c:v>8.1881559920688574E-2</c:v>
                  </c:pt>
                  <c:pt idx="2">
                    <c:v>8.5214893254025981E-2</c:v>
                  </c:pt>
                  <c:pt idx="3">
                    <c:v>8.8548226587356282E-2</c:v>
                  </c:pt>
                  <c:pt idx="4">
                    <c:v>9.1881559920693689E-2</c:v>
                  </c:pt>
                  <c:pt idx="5">
                    <c:v>9.5214893254023991E-2</c:v>
                  </c:pt>
                  <c:pt idx="6">
                    <c:v>9.8548226587354293E-2</c:v>
                  </c:pt>
                  <c:pt idx="7">
                    <c:v>0.1018815599206917</c:v>
                  </c:pt>
                  <c:pt idx="8">
                    <c:v>0.105214893254022</c:v>
                  </c:pt>
                  <c:pt idx="9">
                    <c:v>0.10854822658735941</c:v>
                  </c:pt>
                  <c:pt idx="10">
                    <c:v>0.11188155992068971</c:v>
                  </c:pt>
                  <c:pt idx="11">
                    <c:v>0.11521489325402712</c:v>
                  </c:pt>
                  <c:pt idx="12">
                    <c:v>0.11854822658735742</c:v>
                  </c:pt>
                  <c:pt idx="13">
                    <c:v>0.12188155992068772</c:v>
                  </c:pt>
                  <c:pt idx="14">
                    <c:v>0.12521489325402513</c:v>
                  </c:pt>
                  <c:pt idx="15">
                    <c:v>0.12854822658735543</c:v>
                  </c:pt>
                  <c:pt idx="16">
                    <c:v>0.13188155992069284</c:v>
                  </c:pt>
                  <c:pt idx="17">
                    <c:v>0.13521489325402314</c:v>
                  </c:pt>
                  <c:pt idx="18">
                    <c:v>0.13854822658736055</c:v>
                  </c:pt>
                  <c:pt idx="19">
                    <c:v>0.14188155992069085</c:v>
                  </c:pt>
                  <c:pt idx="20">
                    <c:v>0.14521489325402115</c:v>
                  </c:pt>
                  <c:pt idx="21">
                    <c:v>0.14854822658735856</c:v>
                  </c:pt>
                  <c:pt idx="22">
                    <c:v>0.15188155992068886</c:v>
                  </c:pt>
                  <c:pt idx="23">
                    <c:v>0.15521489325402626</c:v>
                  </c:pt>
                  <c:pt idx="24">
                    <c:v>0.15854822658735657</c:v>
                  </c:pt>
                </c:numCache>
              </c:numRef>
            </c:plus>
            <c:spPr>
              <a:ln w="50800">
                <a:solidFill>
                  <a:srgbClr val="E3B85C"/>
                </a:solidFill>
                <a:prstDash val="solid"/>
              </a:ln>
            </c:spPr>
          </c:errBars>
          <c:xVal>
            <c:numRef>
              <c:f>'Profile &amp; Deck Method'!$Q$108:$Q$132</c:f>
              <c:numCache>
                <c:formatCode>0.0000</c:formatCode>
                <c:ptCount val="25"/>
                <c:pt idx="0">
                  <c:v>-6.291666666666667</c:v>
                </c:pt>
                <c:pt idx="1">
                  <c:v>-6.125</c:v>
                </c:pt>
                <c:pt idx="2">
                  <c:v>-5.9583333333333339</c:v>
                </c:pt>
                <c:pt idx="3">
                  <c:v>-5.791666666666667</c:v>
                </c:pt>
                <c:pt idx="4">
                  <c:v>-5.625</c:v>
                </c:pt>
                <c:pt idx="5">
                  <c:v>-5.4583333333333339</c:v>
                </c:pt>
                <c:pt idx="6">
                  <c:v>-5.291666666666667</c:v>
                </c:pt>
                <c:pt idx="7">
                  <c:v>-5.125</c:v>
                </c:pt>
                <c:pt idx="8">
                  <c:v>-4.9583333333333339</c:v>
                </c:pt>
                <c:pt idx="9">
                  <c:v>-4.791666666666667</c:v>
                </c:pt>
                <c:pt idx="10">
                  <c:v>-4.625</c:v>
                </c:pt>
                <c:pt idx="11">
                  <c:v>-4.4583333333333339</c:v>
                </c:pt>
                <c:pt idx="12">
                  <c:v>-4.291666666666667</c:v>
                </c:pt>
                <c:pt idx="13">
                  <c:v>-4.125</c:v>
                </c:pt>
                <c:pt idx="14">
                  <c:v>-3.9583333333333335</c:v>
                </c:pt>
                <c:pt idx="15">
                  <c:v>-3.791666666666667</c:v>
                </c:pt>
                <c:pt idx="16">
                  <c:v>-3.6250000000000004</c:v>
                </c:pt>
                <c:pt idx="17">
                  <c:v>-3.4583333333333335</c:v>
                </c:pt>
                <c:pt idx="18">
                  <c:v>-3.291666666666667</c:v>
                </c:pt>
                <c:pt idx="19">
                  <c:v>-3.1250000000000004</c:v>
                </c:pt>
                <c:pt idx="20">
                  <c:v>-2.9583333333333335</c:v>
                </c:pt>
                <c:pt idx="21">
                  <c:v>-2.791666666666667</c:v>
                </c:pt>
                <c:pt idx="22">
                  <c:v>-2.6250000000000004</c:v>
                </c:pt>
                <c:pt idx="23">
                  <c:v>-2.4583333333333335</c:v>
                </c:pt>
                <c:pt idx="24">
                  <c:v>-2.291666666666667</c:v>
                </c:pt>
              </c:numCache>
            </c:numRef>
          </c:xVal>
          <c:yVal>
            <c:numRef>
              <c:f>'Profile &amp; Deck Method'!$R$108:$R$132</c:f>
              <c:numCache>
                <c:formatCode>0.0000</c:formatCode>
                <c:ptCount val="25"/>
                <c:pt idx="0">
                  <c:v>47.225243367303342</c:v>
                </c:pt>
                <c:pt idx="1">
                  <c:v>47.225243367303342</c:v>
                </c:pt>
                <c:pt idx="2">
                  <c:v>47.225243367303342</c:v>
                </c:pt>
                <c:pt idx="3">
                  <c:v>47.225243367303342</c:v>
                </c:pt>
                <c:pt idx="4">
                  <c:v>47.225243367303342</c:v>
                </c:pt>
                <c:pt idx="5">
                  <c:v>47.225243367303342</c:v>
                </c:pt>
                <c:pt idx="6">
                  <c:v>47.225243367303342</c:v>
                </c:pt>
                <c:pt idx="7">
                  <c:v>47.225243367303342</c:v>
                </c:pt>
                <c:pt idx="8">
                  <c:v>47.225243367303342</c:v>
                </c:pt>
                <c:pt idx="9">
                  <c:v>47.225243367303342</c:v>
                </c:pt>
                <c:pt idx="10">
                  <c:v>47.225243367303342</c:v>
                </c:pt>
                <c:pt idx="11">
                  <c:v>47.225243367303342</c:v>
                </c:pt>
                <c:pt idx="12">
                  <c:v>47.225243367303342</c:v>
                </c:pt>
                <c:pt idx="13">
                  <c:v>47.225243367303342</c:v>
                </c:pt>
                <c:pt idx="14">
                  <c:v>47.225243367303342</c:v>
                </c:pt>
                <c:pt idx="15">
                  <c:v>47.225243367303342</c:v>
                </c:pt>
                <c:pt idx="16">
                  <c:v>47.225243367303342</c:v>
                </c:pt>
                <c:pt idx="17">
                  <c:v>47.225243367303342</c:v>
                </c:pt>
                <c:pt idx="18">
                  <c:v>47.225243367303342</c:v>
                </c:pt>
                <c:pt idx="19">
                  <c:v>47.225243367303342</c:v>
                </c:pt>
                <c:pt idx="20">
                  <c:v>47.225243367303342</c:v>
                </c:pt>
                <c:pt idx="21">
                  <c:v>47.225243367303342</c:v>
                </c:pt>
                <c:pt idx="22">
                  <c:v>47.225243367303342</c:v>
                </c:pt>
                <c:pt idx="23">
                  <c:v>47.225243367303342</c:v>
                </c:pt>
                <c:pt idx="24">
                  <c:v>47.225243367303342</c:v>
                </c:pt>
              </c:numCache>
            </c:numRef>
          </c:yVal>
          <c:smooth val="0"/>
          <c:extLst>
            <c:ext xmlns:c16="http://schemas.microsoft.com/office/drawing/2014/chart" uri="{C3380CC4-5D6E-409C-BE32-E72D297353CC}">
              <c16:uniqueId val="{00000002-78D7-41DB-9C2E-0073ACB3A958}"/>
            </c:ext>
          </c:extLst>
        </c:ser>
        <c:ser>
          <c:idx val="3"/>
          <c:order val="3"/>
          <c:tx>
            <c:strRef>
              <c:f>'Profile &amp; Deck Method'!$P$134</c:f>
              <c:strCache>
                <c:ptCount val="1"/>
                <c:pt idx="0">
                  <c:v>Haunch over beam 2</c:v>
                </c:pt>
              </c:strCache>
            </c:strRef>
          </c:tx>
          <c:spPr>
            <a:ln>
              <a:noFill/>
              <a:prstDash val="solid"/>
            </a:ln>
          </c:spPr>
          <c:marker>
            <c:symbol val="none"/>
          </c:marker>
          <c:errBars>
            <c:errDir val="y"/>
            <c:errBarType val="plus"/>
            <c:errValType val="cust"/>
            <c:noEndCap val="1"/>
            <c:plus>
              <c:numRef>
                <c:f>'Profile &amp; Deck Method'!$S$134:$S$158</c:f>
                <c:numCache>
                  <c:formatCode>General</c:formatCode>
                  <c:ptCount val="25"/>
                  <c:pt idx="0">
                    <c:v>0.15854822658735657</c:v>
                  </c:pt>
                  <c:pt idx="1">
                    <c:v>0.15521489325402626</c:v>
                  </c:pt>
                  <c:pt idx="2">
                    <c:v>0.15188155992068886</c:v>
                  </c:pt>
                  <c:pt idx="3">
                    <c:v>0.14854822658735856</c:v>
                  </c:pt>
                  <c:pt idx="4">
                    <c:v>0.14521489325402115</c:v>
                  </c:pt>
                  <c:pt idx="5">
                    <c:v>0.14188155992069085</c:v>
                  </c:pt>
                  <c:pt idx="6">
                    <c:v>0.13854822658736055</c:v>
                  </c:pt>
                  <c:pt idx="7">
                    <c:v>0.13521489325402314</c:v>
                  </c:pt>
                  <c:pt idx="8">
                    <c:v>0.13188155992069284</c:v>
                  </c:pt>
                  <c:pt idx="9">
                    <c:v>0.12854822658735543</c:v>
                  </c:pt>
                  <c:pt idx="10">
                    <c:v>0.12521489325402513</c:v>
                  </c:pt>
                  <c:pt idx="11">
                    <c:v>0.12188155992068772</c:v>
                  </c:pt>
                  <c:pt idx="12">
                    <c:v>0.11854822658735742</c:v>
                  </c:pt>
                  <c:pt idx="13">
                    <c:v>0.11521489325402712</c:v>
                  </c:pt>
                  <c:pt idx="14">
                    <c:v>0.11188155992068971</c:v>
                  </c:pt>
                  <c:pt idx="15">
                    <c:v>0.10854822658735941</c:v>
                  </c:pt>
                  <c:pt idx="16">
                    <c:v>0.105214893254022</c:v>
                  </c:pt>
                  <c:pt idx="17">
                    <c:v>0.1018815599206917</c:v>
                  </c:pt>
                  <c:pt idx="18">
                    <c:v>9.8548226587354293E-2</c:v>
                  </c:pt>
                  <c:pt idx="19">
                    <c:v>9.5214893254023991E-2</c:v>
                  </c:pt>
                  <c:pt idx="20">
                    <c:v>9.1881559920693689E-2</c:v>
                  </c:pt>
                  <c:pt idx="21">
                    <c:v>8.8548226587356282E-2</c:v>
                  </c:pt>
                  <c:pt idx="22">
                    <c:v>8.5214893254025981E-2</c:v>
                  </c:pt>
                  <c:pt idx="23">
                    <c:v>8.1881559920688574E-2</c:v>
                  </c:pt>
                  <c:pt idx="24">
                    <c:v>7.8548226587358272E-2</c:v>
                  </c:pt>
                </c:numCache>
              </c:numRef>
            </c:plus>
            <c:spPr>
              <a:ln w="50800">
                <a:solidFill>
                  <a:srgbClr val="E3B85C"/>
                </a:solidFill>
                <a:prstDash val="solid"/>
              </a:ln>
            </c:spPr>
          </c:errBars>
          <c:xVal>
            <c:numRef>
              <c:f>'Profile &amp; Deck Method'!$Q$134:$Q$158</c:f>
              <c:numCache>
                <c:formatCode>0.0000</c:formatCode>
                <c:ptCount val="25"/>
                <c:pt idx="0">
                  <c:v>2.291666666666667</c:v>
                </c:pt>
                <c:pt idx="1">
                  <c:v>2.4583333333333335</c:v>
                </c:pt>
                <c:pt idx="2">
                  <c:v>2.6250000000000004</c:v>
                </c:pt>
                <c:pt idx="3">
                  <c:v>2.791666666666667</c:v>
                </c:pt>
                <c:pt idx="4">
                  <c:v>2.9583333333333335</c:v>
                </c:pt>
                <c:pt idx="5">
                  <c:v>3.1250000000000004</c:v>
                </c:pt>
                <c:pt idx="6">
                  <c:v>3.291666666666667</c:v>
                </c:pt>
                <c:pt idx="7">
                  <c:v>3.4583333333333339</c:v>
                </c:pt>
                <c:pt idx="8">
                  <c:v>3.625</c:v>
                </c:pt>
                <c:pt idx="9">
                  <c:v>3.791666666666667</c:v>
                </c:pt>
                <c:pt idx="10">
                  <c:v>3.9583333333333339</c:v>
                </c:pt>
                <c:pt idx="11">
                  <c:v>4.125</c:v>
                </c:pt>
                <c:pt idx="12">
                  <c:v>4.291666666666667</c:v>
                </c:pt>
                <c:pt idx="13">
                  <c:v>4.4583333333333339</c:v>
                </c:pt>
                <c:pt idx="14">
                  <c:v>4.625</c:v>
                </c:pt>
                <c:pt idx="15">
                  <c:v>4.791666666666667</c:v>
                </c:pt>
                <c:pt idx="16">
                  <c:v>4.9583333333333339</c:v>
                </c:pt>
                <c:pt idx="17">
                  <c:v>5.125</c:v>
                </c:pt>
                <c:pt idx="18">
                  <c:v>5.291666666666667</c:v>
                </c:pt>
                <c:pt idx="19">
                  <c:v>5.4583333333333339</c:v>
                </c:pt>
                <c:pt idx="20">
                  <c:v>5.625</c:v>
                </c:pt>
                <c:pt idx="21">
                  <c:v>5.791666666666667</c:v>
                </c:pt>
                <c:pt idx="22">
                  <c:v>5.9583333333333339</c:v>
                </c:pt>
                <c:pt idx="23">
                  <c:v>6.125</c:v>
                </c:pt>
                <c:pt idx="24">
                  <c:v>6.291666666666667</c:v>
                </c:pt>
              </c:numCache>
            </c:numRef>
          </c:xVal>
          <c:yVal>
            <c:numRef>
              <c:f>'Profile &amp; Deck Method'!$R$134:$R$158</c:f>
              <c:numCache>
                <c:formatCode>0.0000</c:formatCode>
                <c:ptCount val="25"/>
                <c:pt idx="0">
                  <c:v>47.225243367303342</c:v>
                </c:pt>
                <c:pt idx="1">
                  <c:v>47.225243367303342</c:v>
                </c:pt>
                <c:pt idx="2">
                  <c:v>47.225243367303342</c:v>
                </c:pt>
                <c:pt idx="3">
                  <c:v>47.225243367303342</c:v>
                </c:pt>
                <c:pt idx="4">
                  <c:v>47.225243367303342</c:v>
                </c:pt>
                <c:pt idx="5">
                  <c:v>47.225243367303342</c:v>
                </c:pt>
                <c:pt idx="6">
                  <c:v>47.225243367303342</c:v>
                </c:pt>
                <c:pt idx="7">
                  <c:v>47.225243367303342</c:v>
                </c:pt>
                <c:pt idx="8">
                  <c:v>47.225243367303342</c:v>
                </c:pt>
                <c:pt idx="9">
                  <c:v>47.225243367303342</c:v>
                </c:pt>
                <c:pt idx="10">
                  <c:v>47.225243367303342</c:v>
                </c:pt>
                <c:pt idx="11">
                  <c:v>47.225243367303342</c:v>
                </c:pt>
                <c:pt idx="12">
                  <c:v>47.225243367303342</c:v>
                </c:pt>
                <c:pt idx="13">
                  <c:v>47.225243367303342</c:v>
                </c:pt>
                <c:pt idx="14">
                  <c:v>47.225243367303342</c:v>
                </c:pt>
                <c:pt idx="15">
                  <c:v>47.225243367303342</c:v>
                </c:pt>
                <c:pt idx="16">
                  <c:v>47.225243367303342</c:v>
                </c:pt>
                <c:pt idx="17">
                  <c:v>47.225243367303342</c:v>
                </c:pt>
                <c:pt idx="18">
                  <c:v>47.225243367303342</c:v>
                </c:pt>
                <c:pt idx="19">
                  <c:v>47.225243367303342</c:v>
                </c:pt>
                <c:pt idx="20">
                  <c:v>47.225243367303342</c:v>
                </c:pt>
                <c:pt idx="21">
                  <c:v>47.225243367303342</c:v>
                </c:pt>
                <c:pt idx="22">
                  <c:v>47.225243367303342</c:v>
                </c:pt>
                <c:pt idx="23">
                  <c:v>47.225243367303342</c:v>
                </c:pt>
                <c:pt idx="24">
                  <c:v>47.225243367303342</c:v>
                </c:pt>
              </c:numCache>
            </c:numRef>
          </c:yVal>
          <c:smooth val="0"/>
          <c:extLst>
            <c:ext xmlns:c16="http://schemas.microsoft.com/office/drawing/2014/chart" uri="{C3380CC4-5D6E-409C-BE32-E72D297353CC}">
              <c16:uniqueId val="{00000003-78D7-41DB-9C2E-0073ACB3A958}"/>
            </c:ext>
          </c:extLst>
        </c:ser>
        <c:ser>
          <c:idx val="4"/>
          <c:order val="4"/>
          <c:tx>
            <c:strRef>
              <c:f>'Profile &amp; Deck Method'!$P$160</c:f>
              <c:strCache>
                <c:ptCount val="1"/>
                <c:pt idx="0">
                  <c:v>Haunch check points</c:v>
                </c:pt>
              </c:strCache>
            </c:strRef>
          </c:tx>
          <c:spPr>
            <a:ln>
              <a:noFill/>
              <a:prstDash val="solid"/>
            </a:ln>
          </c:spPr>
          <c:marker>
            <c:symbol val="triangle"/>
            <c:size val="5"/>
            <c:spPr>
              <a:solidFill>
                <a:srgbClr val="C0392B"/>
              </a:solidFill>
              <a:ln>
                <a:solidFill>
                  <a:srgbClr val="C0392B"/>
                </a:solidFill>
                <a:prstDash val="solid"/>
              </a:ln>
            </c:spPr>
          </c:marker>
          <c:xVal>
            <c:numRef>
              <c:f>'Profile &amp; Deck Method'!$Q$160:$Q$167</c:f>
              <c:numCache>
                <c:formatCode>0.0000</c:formatCode>
                <c:ptCount val="8"/>
                <c:pt idx="0">
                  <c:v>-6.291666666666667</c:v>
                </c:pt>
                <c:pt idx="1">
                  <c:v>-4.291666666666667</c:v>
                </c:pt>
                <c:pt idx="2">
                  <c:v>-2.291666666666667</c:v>
                </c:pt>
                <c:pt idx="3">
                  <c:v>-2.291666666666667</c:v>
                </c:pt>
                <c:pt idx="4">
                  <c:v>2.291666666666667</c:v>
                </c:pt>
                <c:pt idx="5">
                  <c:v>4.291666666666667</c:v>
                </c:pt>
                <c:pt idx="6">
                  <c:v>6.291666666666667</c:v>
                </c:pt>
                <c:pt idx="7">
                  <c:v>2.291666666666667</c:v>
                </c:pt>
              </c:numCache>
            </c:numRef>
          </c:xVal>
          <c:yVal>
            <c:numRef>
              <c:f>'Profile &amp; Deck Method'!$R$160:$R$167</c:f>
              <c:numCache>
                <c:formatCode>0.0000</c:formatCode>
                <c:ptCount val="8"/>
                <c:pt idx="0">
                  <c:v>47.225243367303342</c:v>
                </c:pt>
                <c:pt idx="1">
                  <c:v>47.225243367303342</c:v>
                </c:pt>
                <c:pt idx="2">
                  <c:v>47.225243367303342</c:v>
                </c:pt>
                <c:pt idx="3">
                  <c:v>47.225243367303342</c:v>
                </c:pt>
                <c:pt idx="4">
                  <c:v>47.225243367303342</c:v>
                </c:pt>
                <c:pt idx="5">
                  <c:v>47.225243367303342</c:v>
                </c:pt>
                <c:pt idx="6">
                  <c:v>47.225243367303342</c:v>
                </c:pt>
                <c:pt idx="7">
                  <c:v>47.225243367303342</c:v>
                </c:pt>
              </c:numCache>
            </c:numRef>
          </c:yVal>
          <c:smooth val="0"/>
          <c:extLst>
            <c:ext xmlns:c16="http://schemas.microsoft.com/office/drawing/2014/chart" uri="{C3380CC4-5D6E-409C-BE32-E72D297353CC}">
              <c16:uniqueId val="{00000004-78D7-41DB-9C2E-0073ACB3A958}"/>
            </c:ext>
          </c:extLst>
        </c:ser>
        <c:ser>
          <c:idx val="5"/>
          <c:order val="5"/>
          <c:tx>
            <c:strRef>
              <c:f>'Profile &amp; Deck Method'!$P$170</c:f>
              <c:strCache>
                <c:ptCount val="1"/>
                <c:pt idx="0">
                  <c:v>Beam centerlines</c:v>
                </c:pt>
              </c:strCache>
            </c:strRef>
          </c:tx>
          <c:spPr>
            <a:ln w="7620">
              <a:solidFill>
                <a:srgbClr val="8A96A3"/>
              </a:solidFill>
              <a:prstDash val="dashDot"/>
            </a:ln>
          </c:spPr>
          <c:marker>
            <c:symbol val="none"/>
          </c:marker>
          <c:xVal>
            <c:numRef>
              <c:f>'Profile &amp; Deck Method'!$Q$170:$Q$174</c:f>
              <c:numCache>
                <c:formatCode>0.0000</c:formatCode>
                <c:ptCount val="5"/>
                <c:pt idx="0">
                  <c:v>-4.291666666666667</c:v>
                </c:pt>
                <c:pt idx="1">
                  <c:v>-4.291666666666667</c:v>
                </c:pt>
                <c:pt idx="3">
                  <c:v>4.291666666666667</c:v>
                </c:pt>
                <c:pt idx="4">
                  <c:v>4.291666666666667</c:v>
                </c:pt>
              </c:numCache>
            </c:numRef>
          </c:xVal>
          <c:yVal>
            <c:numRef>
              <c:f>'Profile &amp; Deck Method'!$R$170:$R$174</c:f>
              <c:numCache>
                <c:formatCode>0.0000</c:formatCode>
                <c:ptCount val="5"/>
                <c:pt idx="0">
                  <c:v>43.975243367303342</c:v>
                </c:pt>
                <c:pt idx="1">
                  <c:v>48.0937915938907</c:v>
                </c:pt>
                <c:pt idx="3">
                  <c:v>43.975243367303342</c:v>
                </c:pt>
                <c:pt idx="4">
                  <c:v>48.0937915938907</c:v>
                </c:pt>
              </c:numCache>
            </c:numRef>
          </c:yVal>
          <c:smooth val="0"/>
          <c:extLst>
            <c:ext xmlns:c16="http://schemas.microsoft.com/office/drawing/2014/chart" uri="{C3380CC4-5D6E-409C-BE32-E72D297353CC}">
              <c16:uniqueId val="{00000005-78D7-41DB-9C2E-0073ACB3A958}"/>
            </c:ext>
          </c:extLst>
        </c:ser>
        <c:ser>
          <c:idx val="6"/>
          <c:order val="6"/>
          <c:tx>
            <c:strRef>
              <c:f>'Profile &amp; Deck Method'!$P$176</c:f>
              <c:strCache>
                <c:ptCount val="1"/>
                <c:pt idx="0">
                  <c:v>PGL</c:v>
                </c:pt>
              </c:strCache>
            </c:strRef>
          </c:tx>
          <c:spPr>
            <a:ln w="9525">
              <a:solidFill>
                <a:srgbClr val="2B6CB0"/>
              </a:solidFill>
              <a:prstDash val="dash"/>
            </a:ln>
          </c:spPr>
          <c:marker>
            <c:symbol val="none"/>
          </c:marker>
          <c:xVal>
            <c:numRef>
              <c:f>'Profile &amp; Deck Method'!$Q$176:$Q$177</c:f>
              <c:numCache>
                <c:formatCode>0.0000</c:formatCode>
                <c:ptCount val="2"/>
                <c:pt idx="0">
                  <c:v>0</c:v>
                </c:pt>
                <c:pt idx="1">
                  <c:v>0</c:v>
                </c:pt>
              </c:numCache>
            </c:numRef>
          </c:xVal>
          <c:yVal>
            <c:numRef>
              <c:f>'Profile &amp; Deck Method'!$R$176:$R$177</c:f>
              <c:numCache>
                <c:formatCode>0.0000</c:formatCode>
                <c:ptCount val="2"/>
                <c:pt idx="0">
                  <c:v>43.975243367303342</c:v>
                </c:pt>
                <c:pt idx="1">
                  <c:v>48.279624927224035</c:v>
                </c:pt>
              </c:numCache>
            </c:numRef>
          </c:yVal>
          <c:smooth val="0"/>
          <c:extLst>
            <c:ext xmlns:c16="http://schemas.microsoft.com/office/drawing/2014/chart" uri="{C3380CC4-5D6E-409C-BE32-E72D297353CC}">
              <c16:uniqueId val="{00000006-78D7-41DB-9C2E-0073ACB3A958}"/>
            </c:ext>
          </c:extLst>
        </c:ser>
        <c:ser>
          <c:idx val="7"/>
          <c:order val="7"/>
          <c:tx>
            <c:strRef>
              <c:f>'Profile &amp; Deck Method'!$P$179</c:f>
              <c:strCache>
                <c:ptCount val="1"/>
                <c:pt idx="0">
                  <c:v>CL Beam 1  -4.2917 ft
haunch @ CL 1.42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Method'!$Q$179</c:f>
              <c:numCache>
                <c:formatCode>0.0000</c:formatCode>
                <c:ptCount val="1"/>
                <c:pt idx="0">
                  <c:v>-4.291666666666667</c:v>
                </c:pt>
              </c:numCache>
            </c:numRef>
          </c:xVal>
          <c:yVal>
            <c:numRef>
              <c:f>'Profile &amp; Deck Method'!$R$179</c:f>
              <c:numCache>
                <c:formatCode>0.0000</c:formatCode>
                <c:ptCount val="1"/>
                <c:pt idx="0">
                  <c:v>44.225243367303342</c:v>
                </c:pt>
              </c:numCache>
            </c:numRef>
          </c:yVal>
          <c:smooth val="0"/>
          <c:extLst>
            <c:ext xmlns:c16="http://schemas.microsoft.com/office/drawing/2014/chart" uri="{C3380CC4-5D6E-409C-BE32-E72D297353CC}">
              <c16:uniqueId val="{00000007-78D7-41DB-9C2E-0073ACB3A958}"/>
            </c:ext>
          </c:extLst>
        </c:ser>
        <c:ser>
          <c:idx val="8"/>
          <c:order val="8"/>
          <c:tx>
            <c:strRef>
              <c:f>'Profile &amp; Deck Method'!$P$181</c:f>
              <c:strCache>
                <c:ptCount val="1"/>
                <c:pt idx="0">
                  <c:v>CL Beam 2  +4.2917 ft
haunch @ CL 1.42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Method'!$Q$181</c:f>
              <c:numCache>
                <c:formatCode>0.0000</c:formatCode>
                <c:ptCount val="1"/>
                <c:pt idx="0">
                  <c:v>4.291666666666667</c:v>
                </c:pt>
              </c:numCache>
            </c:numRef>
          </c:xVal>
          <c:yVal>
            <c:numRef>
              <c:f>'Profile &amp; Deck Method'!$R$181</c:f>
              <c:numCache>
                <c:formatCode>0.0000</c:formatCode>
                <c:ptCount val="1"/>
                <c:pt idx="0">
                  <c:v>44.225243367303342</c:v>
                </c:pt>
              </c:numCache>
            </c:numRef>
          </c:yVal>
          <c:smooth val="0"/>
          <c:extLst>
            <c:ext xmlns:c16="http://schemas.microsoft.com/office/drawing/2014/chart" uri="{C3380CC4-5D6E-409C-BE32-E72D297353CC}">
              <c16:uniqueId val="{00000008-78D7-41DB-9C2E-0073ACB3A958}"/>
            </c:ext>
          </c:extLst>
        </c:ser>
        <c:ser>
          <c:idx val="9"/>
          <c:order val="9"/>
          <c:tx>
            <c:strRef>
              <c:f>'Profile &amp; Deck Method'!$P$183</c:f>
              <c:strCache>
                <c:ptCount val="1"/>
                <c:pt idx="0">
                  <c:v>deck edge
-6.7917 ft</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Method'!$Q$183</c:f>
              <c:numCache>
                <c:formatCode>0.0000</c:formatCode>
                <c:ptCount val="1"/>
                <c:pt idx="0">
                  <c:v>-6.7916666666666652</c:v>
                </c:pt>
              </c:numCache>
            </c:numRef>
          </c:xVal>
          <c:yVal>
            <c:numRef>
              <c:f>'Profile &amp; Deck Method'!$R$183</c:f>
              <c:numCache>
                <c:formatCode>0.0000</c:formatCode>
                <c:ptCount val="1"/>
                <c:pt idx="0">
                  <c:v>47.793791593890703</c:v>
                </c:pt>
              </c:numCache>
            </c:numRef>
          </c:yVal>
          <c:smooth val="0"/>
          <c:extLst>
            <c:ext xmlns:c16="http://schemas.microsoft.com/office/drawing/2014/chart" uri="{C3380CC4-5D6E-409C-BE32-E72D297353CC}">
              <c16:uniqueId val="{00000009-78D7-41DB-9C2E-0073ACB3A958}"/>
            </c:ext>
          </c:extLst>
        </c:ser>
        <c:ser>
          <c:idx val="10"/>
          <c:order val="10"/>
          <c:tx>
            <c:strRef>
              <c:f>'Profile &amp; Deck Method'!$P$185</c:f>
              <c:strCache>
                <c:ptCount val="1"/>
                <c:pt idx="0">
                  <c:v>deck edge
+6.7917 ft</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Method'!$Q$185</c:f>
              <c:numCache>
                <c:formatCode>0.0000</c:formatCode>
                <c:ptCount val="1"/>
                <c:pt idx="0">
                  <c:v>6.7916666666666652</c:v>
                </c:pt>
              </c:numCache>
            </c:numRef>
          </c:xVal>
          <c:yVal>
            <c:numRef>
              <c:f>'Profile &amp; Deck Method'!$R$185</c:f>
              <c:numCache>
                <c:formatCode>0.0000</c:formatCode>
                <c:ptCount val="1"/>
                <c:pt idx="0">
                  <c:v>47.793791593890703</c:v>
                </c:pt>
              </c:numCache>
            </c:numRef>
          </c:yVal>
          <c:smooth val="0"/>
          <c:extLst>
            <c:ext xmlns:c16="http://schemas.microsoft.com/office/drawing/2014/chart" uri="{C3380CC4-5D6E-409C-BE32-E72D297353CC}">
              <c16:uniqueId val="{0000000A-78D7-41DB-9C2E-0073ACB3A958}"/>
            </c:ext>
          </c:extLst>
        </c:ser>
        <c:ser>
          <c:idx val="11"/>
          <c:order val="11"/>
          <c:tx>
            <c:strRef>
              <c:f>'Profile &amp; Deck Method'!$P$187</c:f>
              <c:strCache>
                <c:ptCount val="1"/>
                <c:pt idx="0">
                  <c:v>PGL  EL 47.930
Sta 16+46.96</c:v>
                </c:pt>
              </c:strCache>
            </c:strRef>
          </c:tx>
          <c:spPr>
            <a:ln>
              <a:noFill/>
              <a:prstDash val="solid"/>
            </a:ln>
          </c:spPr>
          <c:marker>
            <c:symbol val="none"/>
          </c:marker>
          <c:dLbls>
            <c:spPr>
              <a:noFill/>
              <a:ln>
                <a:noFill/>
              </a:ln>
              <a:effectLst/>
            </c:spPr>
            <c:txPr>
              <a:bodyPr/>
              <a:lstStyle/>
              <a:p>
                <a:pPr>
                  <a:defRPr sz="70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Method'!$Q$187</c:f>
              <c:numCache>
                <c:formatCode>0.0000</c:formatCode>
                <c:ptCount val="1"/>
                <c:pt idx="0">
                  <c:v>0</c:v>
                </c:pt>
              </c:numCache>
            </c:numRef>
          </c:xVal>
          <c:yVal>
            <c:numRef>
              <c:f>'Profile &amp; Deck Method'!$R$187</c:f>
              <c:numCache>
                <c:formatCode>0.0000</c:formatCode>
                <c:ptCount val="1"/>
                <c:pt idx="0">
                  <c:v>48.279624927224035</c:v>
                </c:pt>
              </c:numCache>
            </c:numRef>
          </c:yVal>
          <c:smooth val="0"/>
          <c:extLst>
            <c:ext xmlns:c16="http://schemas.microsoft.com/office/drawing/2014/chart" uri="{C3380CC4-5D6E-409C-BE32-E72D297353CC}">
              <c16:uniqueId val="{0000000B-78D7-41DB-9C2E-0073ACB3A958}"/>
            </c:ext>
          </c:extLst>
        </c:ser>
        <c:ser>
          <c:idx val="12"/>
          <c:order val="12"/>
          <c:tx>
            <c:strRef>
              <c:f>'Profile &amp; Deck Method'!$P$189</c:f>
              <c:strCache>
                <c:ptCount val="1"/>
                <c:pt idx="0">
                  <c:v>2.0%</c:v>
                </c:pt>
              </c:strCache>
            </c:strRef>
          </c:tx>
          <c:spPr>
            <a:ln>
              <a:noFill/>
              <a:prstDash val="solid"/>
            </a:ln>
          </c:spPr>
          <c:marker>
            <c:symbol val="none"/>
          </c:marker>
          <c:dLbls>
            <c:spPr>
              <a:noFill/>
              <a:ln>
                <a:noFill/>
              </a:ln>
              <a:effectLst/>
            </c:spPr>
            <c:txPr>
              <a:bodyPr/>
              <a:lstStyle/>
              <a:p>
                <a:pPr>
                  <a:defRPr sz="8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Method'!$Q$189</c:f>
              <c:numCache>
                <c:formatCode>0.0000</c:formatCode>
                <c:ptCount val="1"/>
                <c:pt idx="0">
                  <c:v>-3.3958333333333326</c:v>
                </c:pt>
              </c:numCache>
            </c:numRef>
          </c:xVal>
          <c:yVal>
            <c:numRef>
              <c:f>'Profile &amp; Deck Method'!$R$189</c:f>
              <c:numCache>
                <c:formatCode>0.0000</c:formatCode>
                <c:ptCount val="1"/>
                <c:pt idx="0">
                  <c:v>47.861708260557364</c:v>
                </c:pt>
              </c:numCache>
            </c:numRef>
          </c:yVal>
          <c:smooth val="0"/>
          <c:extLst>
            <c:ext xmlns:c16="http://schemas.microsoft.com/office/drawing/2014/chart" uri="{C3380CC4-5D6E-409C-BE32-E72D297353CC}">
              <c16:uniqueId val="{0000000C-78D7-41DB-9C2E-0073ACB3A958}"/>
            </c:ext>
          </c:extLst>
        </c:ser>
        <c:ser>
          <c:idx val="13"/>
          <c:order val="13"/>
          <c:tx>
            <c:strRef>
              <c:f>'Profile &amp; Deck Method'!$P$191</c:f>
              <c:strCache>
                <c:ptCount val="1"/>
                <c:pt idx="0">
                  <c:v>2.0%</c:v>
                </c:pt>
              </c:strCache>
            </c:strRef>
          </c:tx>
          <c:spPr>
            <a:ln>
              <a:noFill/>
              <a:prstDash val="solid"/>
            </a:ln>
          </c:spPr>
          <c:marker>
            <c:symbol val="none"/>
          </c:marker>
          <c:dLbls>
            <c:spPr>
              <a:noFill/>
              <a:ln>
                <a:noFill/>
              </a:ln>
              <a:effectLst/>
            </c:spPr>
            <c:txPr>
              <a:bodyPr/>
              <a:lstStyle/>
              <a:p>
                <a:pPr>
                  <a:defRPr sz="8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Method'!$Q$191</c:f>
              <c:numCache>
                <c:formatCode>0.0000</c:formatCode>
                <c:ptCount val="1"/>
                <c:pt idx="0">
                  <c:v>3.3958333333333326</c:v>
                </c:pt>
              </c:numCache>
            </c:numRef>
          </c:xVal>
          <c:yVal>
            <c:numRef>
              <c:f>'Profile &amp; Deck Method'!$R$191</c:f>
              <c:numCache>
                <c:formatCode>0.0000</c:formatCode>
                <c:ptCount val="1"/>
                <c:pt idx="0">
                  <c:v>47.861708260557364</c:v>
                </c:pt>
              </c:numCache>
            </c:numRef>
          </c:yVal>
          <c:smooth val="0"/>
          <c:extLst>
            <c:ext xmlns:c16="http://schemas.microsoft.com/office/drawing/2014/chart" uri="{C3380CC4-5D6E-409C-BE32-E72D297353CC}">
              <c16:uniqueId val="{0000000D-78D7-41DB-9C2E-0073ACB3A958}"/>
            </c:ext>
          </c:extLst>
        </c:ser>
        <c:ser>
          <c:idx val="14"/>
          <c:order val="14"/>
          <c:tx>
            <c:strRef>
              <c:f>'Profile &amp; Deck Method'!$P$195</c:f>
              <c:strCache>
                <c:ptCount val="1"/>
                <c:pt idx="0">
                  <c:v>Spacing 1</c:v>
                </c:pt>
              </c:strCache>
            </c:strRef>
          </c:tx>
          <c:spPr>
            <a:ln w="9525">
              <a:solidFill>
                <a:srgbClr val="1F2A36"/>
              </a:solidFill>
              <a:prstDash val="solid"/>
              <a:headEnd type="triangle" w="sm" len="sm"/>
              <a:tailEnd type="triangle" w="sm" len="sm"/>
            </a:ln>
          </c:spPr>
          <c:marker>
            <c:symbol val="none"/>
          </c:marker>
          <c:xVal>
            <c:numRef>
              <c:f>'Profile &amp; Deck Method'!$Q$195:$Q$196</c:f>
              <c:numCache>
                <c:formatCode>0.0000</c:formatCode>
                <c:ptCount val="2"/>
                <c:pt idx="0">
                  <c:v>-4.291666666666667</c:v>
                </c:pt>
                <c:pt idx="1">
                  <c:v>4.291666666666667</c:v>
                </c:pt>
              </c:numCache>
            </c:numRef>
          </c:xVal>
          <c:yVal>
            <c:numRef>
              <c:f>'Profile &amp; Deck Method'!$R$195:$R$196</c:f>
              <c:numCache>
                <c:formatCode>0.0000</c:formatCode>
                <c:ptCount val="2"/>
                <c:pt idx="0">
                  <c:v>43.275243367303339</c:v>
                </c:pt>
                <c:pt idx="1">
                  <c:v>43.275243367303339</c:v>
                </c:pt>
              </c:numCache>
            </c:numRef>
          </c:yVal>
          <c:smooth val="0"/>
          <c:extLst>
            <c:ext xmlns:c16="http://schemas.microsoft.com/office/drawing/2014/chart" uri="{C3380CC4-5D6E-409C-BE32-E72D297353CC}">
              <c16:uniqueId val="{0000000E-78D7-41DB-9C2E-0073ACB3A958}"/>
            </c:ext>
          </c:extLst>
        </c:ser>
        <c:ser>
          <c:idx val="15"/>
          <c:order val="15"/>
          <c:tx>
            <c:strRef>
              <c:f>'Profile &amp; Deck Method'!$P$198</c:f>
              <c:strCache>
                <c:ptCount val="1"/>
                <c:pt idx="0">
                  <c:v>S = 8.5833 ft</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Method'!$Q$198</c:f>
              <c:numCache>
                <c:formatCode>0.0000</c:formatCode>
                <c:ptCount val="1"/>
                <c:pt idx="0">
                  <c:v>0</c:v>
                </c:pt>
              </c:numCache>
            </c:numRef>
          </c:xVal>
          <c:yVal>
            <c:numRef>
              <c:f>'Profile &amp; Deck Method'!$R$198</c:f>
              <c:numCache>
                <c:formatCode>0.0000</c:formatCode>
                <c:ptCount val="1"/>
                <c:pt idx="0">
                  <c:v>43.275243367303339</c:v>
                </c:pt>
              </c:numCache>
            </c:numRef>
          </c:yVal>
          <c:smooth val="0"/>
          <c:extLst>
            <c:ext xmlns:c16="http://schemas.microsoft.com/office/drawing/2014/chart" uri="{C3380CC4-5D6E-409C-BE32-E72D297353CC}">
              <c16:uniqueId val="{0000000F-78D7-41DB-9C2E-0073ACB3A958}"/>
            </c:ext>
          </c:extLst>
        </c:ser>
        <c:ser>
          <c:idx val="16"/>
          <c:order val="16"/>
          <c:tx>
            <c:strRef>
              <c:f>'Profile &amp; Deck Method'!$P$200</c:f>
              <c:strCache>
                <c:ptCount val="1"/>
                <c:pt idx="0">
                  <c:v>Deck width</c:v>
                </c:pt>
              </c:strCache>
            </c:strRef>
          </c:tx>
          <c:spPr>
            <a:ln w="9525">
              <a:solidFill>
                <a:srgbClr val="1F2A36"/>
              </a:solidFill>
              <a:prstDash val="solid"/>
              <a:headEnd type="triangle" w="sm" len="sm"/>
              <a:tailEnd type="triangle" w="sm" len="sm"/>
            </a:ln>
          </c:spPr>
          <c:marker>
            <c:symbol val="none"/>
          </c:marker>
          <c:xVal>
            <c:numRef>
              <c:f>'Profile &amp; Deck Method'!$Q$200:$Q$201</c:f>
              <c:numCache>
                <c:formatCode>0.0000</c:formatCode>
                <c:ptCount val="2"/>
                <c:pt idx="0">
                  <c:v>-6.7916666666666652</c:v>
                </c:pt>
                <c:pt idx="1">
                  <c:v>6.7916666666666652</c:v>
                </c:pt>
              </c:numCache>
            </c:numRef>
          </c:xVal>
          <c:yVal>
            <c:numRef>
              <c:f>'Profile &amp; Deck Method'!$R$200:$R$201</c:f>
              <c:numCache>
                <c:formatCode>0.0000</c:formatCode>
                <c:ptCount val="2"/>
                <c:pt idx="0">
                  <c:v>42.925243367303345</c:v>
                </c:pt>
                <c:pt idx="1">
                  <c:v>42.925243367303345</c:v>
                </c:pt>
              </c:numCache>
            </c:numRef>
          </c:yVal>
          <c:smooth val="0"/>
          <c:extLst>
            <c:ext xmlns:c16="http://schemas.microsoft.com/office/drawing/2014/chart" uri="{C3380CC4-5D6E-409C-BE32-E72D297353CC}">
              <c16:uniqueId val="{00000010-78D7-41DB-9C2E-0073ACB3A958}"/>
            </c:ext>
          </c:extLst>
        </c:ser>
        <c:ser>
          <c:idx val="17"/>
          <c:order val="17"/>
          <c:tx>
            <c:strRef>
              <c:f>'Profile &amp; Deck Method'!$P$203</c:f>
              <c:strCache>
                <c:ptCount val="1"/>
                <c:pt idx="0">
                  <c:v>deck width 163.0 in (13.5833 ft)</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'Profile &amp; Deck Method'!$Q$203</c:f>
              <c:numCache>
                <c:formatCode>0.0000</c:formatCode>
                <c:ptCount val="1"/>
                <c:pt idx="0">
                  <c:v>0</c:v>
                </c:pt>
              </c:numCache>
            </c:numRef>
          </c:xVal>
          <c:yVal>
            <c:numRef>
              <c:f>'Profile &amp; Deck Method'!$R$203</c:f>
              <c:numCache>
                <c:formatCode>0.0000</c:formatCode>
                <c:ptCount val="1"/>
                <c:pt idx="0">
                  <c:v>42.925243367303345</c:v>
                </c:pt>
              </c:numCache>
            </c:numRef>
          </c:yVal>
          <c:smooth val="0"/>
          <c:extLst>
            <c:ext xmlns:c16="http://schemas.microsoft.com/office/drawing/2014/chart" uri="{C3380CC4-5D6E-409C-BE32-E72D297353CC}">
              <c16:uniqueId val="{00000011-78D7-41DB-9C2E-0073ACB3A958}"/>
            </c:ext>
          </c:extLst>
        </c:ser>
        <c:ser>
          <c:idx val="18"/>
          <c:order val="18"/>
          <c:tx>
            <c:strRef>
              <c:f>'Profile &amp; Deck Method'!$P$205</c:f>
              <c:strCache>
                <c:ptCount val="1"/>
                <c:pt idx="0">
                  <c:v>frame (invisible, sets the chart window)</c:v>
                </c:pt>
              </c:strCache>
            </c:strRef>
          </c:tx>
          <c:spPr>
            <a:ln>
              <a:noFill/>
              <a:prstDash val="solid"/>
            </a:ln>
          </c:spPr>
          <c:marker>
            <c:symbol val="none"/>
          </c:marker>
          <c:xVal>
            <c:numRef>
              <c:f>'Profile &amp; Deck Method'!$Q$205:$Q$206</c:f>
              <c:numCache>
                <c:formatCode>0.0000</c:formatCode>
                <c:ptCount val="2"/>
                <c:pt idx="0">
                  <c:v>-7.3916666666666648</c:v>
                </c:pt>
                <c:pt idx="1">
                  <c:v>7.3916666666666648</c:v>
                </c:pt>
              </c:numCache>
            </c:numRef>
          </c:xVal>
          <c:yVal>
            <c:numRef>
              <c:f>'Profile &amp; Deck Method'!$R$205:$R$206</c:f>
              <c:numCache>
                <c:formatCode>0.0000</c:formatCode>
                <c:ptCount val="2"/>
                <c:pt idx="0">
                  <c:v>42.575243367303344</c:v>
                </c:pt>
                <c:pt idx="1">
                  <c:v>48.829624927224032</c:v>
                </c:pt>
              </c:numCache>
            </c:numRef>
          </c:yVal>
          <c:smooth val="0"/>
          <c:extLst>
            <c:ext xmlns:c16="http://schemas.microsoft.com/office/drawing/2014/chart" uri="{C3380CC4-5D6E-409C-BE32-E72D297353CC}">
              <c16:uniqueId val="{00000012-78D7-41DB-9C2E-0073ACB3A958}"/>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6350">
              <a:solidFill>
                <a:srgbClr val="E6E9ED"/>
              </a:solidFill>
              <a:prstDash val="solid"/>
            </a:ln>
          </c:spPr>
        </c:majorGridlines>
        <c:title>
          <c:tx>
            <c:rich>
              <a:bodyPr/>
              <a:lstStyle/>
              <a:p>
                <a:pPr>
                  <a:defRPr/>
                </a:pPr>
                <a:r>
                  <a:t>Offset from PGL (ft), looking up-station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0"/>
        <c:axPos val="l"/>
        <c:majorGridlines>
          <c:spPr>
            <a:ln w="6350">
              <a:solidFill>
                <a:srgbClr val="E6E9ED"/>
              </a:solidFill>
              <a:prstDash val="solid"/>
            </a:ln>
          </c:spPr>
        </c:majorGridlines>
        <c:title>
          <c:tx>
            <c:rich>
              <a:bodyPr/>
              <a:lstStyle/>
              <a:p>
                <a:pPr>
                  <a:defRPr/>
                </a:pPr>
                <a:r>
                  <a:t>Elevation (ft)</a:t>
                </a:r>
              </a:p>
            </c:rich>
          </c:tx>
          <c:overlay val="0"/>
        </c:title>
        <c:numFmt formatCode="0.0" sourceLinked="0"/>
        <c:majorTickMark val="out"/>
        <c:minorTickMark val="none"/>
        <c:tickLblPos val="nextTo"/>
        <c:txPr>
          <a:bodyPr/>
          <a:lstStyle/>
          <a:p>
            <a:pPr>
              <a:defRPr sz="800" b="0">
                <a:solidFill>
                  <a:srgbClr val="5A6570"/>
                </a:solidFill>
              </a:defRPr>
            </a:pPr>
            <a:endParaRPr lang="en-US"/>
          </a:p>
        </c:txPr>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'Camber &amp; Haunch Method'!$P$7</c:f>
              <c:strCache>
                <c:ptCount val="1"/>
                <c:pt idx="0">
                  <c:v>Deck soffit over CL beam 1</c:v>
                </c:pt>
              </c:strCache>
            </c:strRef>
          </c:tx>
          <c:spPr>
            <a:ln w="19050">
              <a:solidFill>
                <a:srgbClr val="2B6CB0"/>
              </a:solidFill>
              <a:prstDash val="solid"/>
            </a:ln>
          </c:spPr>
          <c:marker>
            <c:symbol val="none"/>
          </c:marker>
          <c:xVal>
            <c:numRef>
              <c:f>'Camber &amp; Haunch Method'!$Q$7:$Q$47</c:f>
              <c:numCache>
                <c:formatCode>0.0000</c:formatCode>
                <c:ptCount val="41"/>
                <c:pt idx="0">
                  <c:v>1700.6949999999999</c:v>
                </c:pt>
                <c:pt idx="1">
                  <c:v>1703.308125</c:v>
                </c:pt>
                <c:pt idx="2">
                  <c:v>1705.9212499999999</c:v>
                </c:pt>
                <c:pt idx="3">
                  <c:v>1708.534375</c:v>
                </c:pt>
                <c:pt idx="4">
                  <c:v>1711.1475</c:v>
                </c:pt>
                <c:pt idx="5">
                  <c:v>1713.7606249999999</c:v>
                </c:pt>
                <c:pt idx="6">
                  <c:v>1716.37375</c:v>
                </c:pt>
                <c:pt idx="7">
                  <c:v>1718.9868750000001</c:v>
                </c:pt>
                <c:pt idx="8">
                  <c:v>1721.6</c:v>
                </c:pt>
                <c:pt idx="9">
                  <c:v>1724.213125</c:v>
                </c:pt>
                <c:pt idx="10">
                  <c:v>1726.8262500000001</c:v>
                </c:pt>
                <c:pt idx="11">
                  <c:v>1729.4393749999999</c:v>
                </c:pt>
                <c:pt idx="12">
                  <c:v>1732.0525</c:v>
                </c:pt>
                <c:pt idx="13">
                  <c:v>1734.6656249999999</c:v>
                </c:pt>
                <c:pt idx="14">
                  <c:v>1737.2787499999999</c:v>
                </c:pt>
                <c:pt idx="15">
                  <c:v>1739.891875</c:v>
                </c:pt>
                <c:pt idx="16">
                  <c:v>1742.5049999999999</c:v>
                </c:pt>
                <c:pt idx="17">
                  <c:v>1745.118125</c:v>
                </c:pt>
                <c:pt idx="18">
                  <c:v>1747.73125</c:v>
                </c:pt>
                <c:pt idx="19">
                  <c:v>1750.3443749999999</c:v>
                </c:pt>
                <c:pt idx="20">
                  <c:v>1752.9575</c:v>
                </c:pt>
                <c:pt idx="21">
                  <c:v>1755.5706250000001</c:v>
                </c:pt>
                <c:pt idx="22">
                  <c:v>1758.1837499999999</c:v>
                </c:pt>
                <c:pt idx="23">
                  <c:v>1760.796875</c:v>
                </c:pt>
                <c:pt idx="24">
                  <c:v>1763.41</c:v>
                </c:pt>
                <c:pt idx="25">
                  <c:v>1766.0231249999999</c:v>
                </c:pt>
                <c:pt idx="26">
                  <c:v>1768.63625</c:v>
                </c:pt>
                <c:pt idx="27">
                  <c:v>1771.2493750000001</c:v>
                </c:pt>
                <c:pt idx="28">
                  <c:v>1773.8625</c:v>
                </c:pt>
                <c:pt idx="29">
                  <c:v>1776.475625</c:v>
                </c:pt>
                <c:pt idx="30">
                  <c:v>1779.0887499999999</c:v>
                </c:pt>
                <c:pt idx="31">
                  <c:v>1781.701875</c:v>
                </c:pt>
                <c:pt idx="32">
                  <c:v>1784.3150000000001</c:v>
                </c:pt>
                <c:pt idx="33">
                  <c:v>1786.9281249999999</c:v>
                </c:pt>
                <c:pt idx="34">
                  <c:v>1789.54125</c:v>
                </c:pt>
                <c:pt idx="35">
                  <c:v>1792.1543750000001</c:v>
                </c:pt>
                <c:pt idx="36">
                  <c:v>1794.7674999999999</c:v>
                </c:pt>
                <c:pt idx="37">
                  <c:v>1797.380625</c:v>
                </c:pt>
                <c:pt idx="38">
                  <c:v>1799.9937500000001</c:v>
                </c:pt>
                <c:pt idx="39">
                  <c:v>1802.6068749999999</c:v>
                </c:pt>
                <c:pt idx="40">
                  <c:v>1805.22</c:v>
                </c:pt>
              </c:numCache>
            </c:numRef>
          </c:xVal>
          <c:yVal>
            <c:numRef>
              <c:f>'Camber &amp; Haunch Method'!$R$7:$R$47</c:f>
              <c:numCache>
                <c:formatCode>0.0000</c:formatCode>
                <c:ptCount val="41"/>
                <c:pt idx="0">
                  <c:v>5.1572382101832659</c:v>
                </c:pt>
                <c:pt idx="1">
                  <c:v>5.1572382101832659</c:v>
                </c:pt>
                <c:pt idx="2">
                  <c:v>5.1572382101835501</c:v>
                </c:pt>
                <c:pt idx="3">
                  <c:v>5.1572382101832659</c:v>
                </c:pt>
                <c:pt idx="4">
                  <c:v>5.1572382101835501</c:v>
                </c:pt>
                <c:pt idx="5">
                  <c:v>5.1572382101832659</c:v>
                </c:pt>
                <c:pt idx="6">
                  <c:v>5.1572382101835501</c:v>
                </c:pt>
                <c:pt idx="7">
                  <c:v>5.1572382101832659</c:v>
                </c:pt>
                <c:pt idx="8">
                  <c:v>5.1572382101832659</c:v>
                </c:pt>
                <c:pt idx="9">
                  <c:v>5.1572382101835501</c:v>
                </c:pt>
                <c:pt idx="10">
                  <c:v>5.1572382101832659</c:v>
                </c:pt>
                <c:pt idx="11">
                  <c:v>5.1572382101835501</c:v>
                </c:pt>
                <c:pt idx="12">
                  <c:v>5.1572382101832659</c:v>
                </c:pt>
                <c:pt idx="13">
                  <c:v>5.1572382101832659</c:v>
                </c:pt>
                <c:pt idx="14">
                  <c:v>5.1572382101832659</c:v>
                </c:pt>
                <c:pt idx="15">
                  <c:v>5.1572382101832659</c:v>
                </c:pt>
                <c:pt idx="16">
                  <c:v>5.1572382101835501</c:v>
                </c:pt>
                <c:pt idx="17">
                  <c:v>5.1572382101832659</c:v>
                </c:pt>
                <c:pt idx="18">
                  <c:v>5.1572382101835501</c:v>
                </c:pt>
                <c:pt idx="19">
                  <c:v>5.1572382101832659</c:v>
                </c:pt>
                <c:pt idx="20">
                  <c:v>5.1572382101832659</c:v>
                </c:pt>
                <c:pt idx="21">
                  <c:v>5.1572382101832659</c:v>
                </c:pt>
                <c:pt idx="22">
                  <c:v>5.1572382101832659</c:v>
                </c:pt>
                <c:pt idx="23">
                  <c:v>5.1572382101832659</c:v>
                </c:pt>
                <c:pt idx="24">
                  <c:v>5.1572382101832659</c:v>
                </c:pt>
                <c:pt idx="25">
                  <c:v>5.1572382101835501</c:v>
                </c:pt>
                <c:pt idx="26">
                  <c:v>5.1572382101832659</c:v>
                </c:pt>
                <c:pt idx="27">
                  <c:v>5.1572382101835501</c:v>
                </c:pt>
                <c:pt idx="28">
                  <c:v>5.1572382101832659</c:v>
                </c:pt>
                <c:pt idx="29">
                  <c:v>5.1572382101832659</c:v>
                </c:pt>
                <c:pt idx="30">
                  <c:v>5.1572382101832659</c:v>
                </c:pt>
                <c:pt idx="31">
                  <c:v>5.1572382101832659</c:v>
                </c:pt>
                <c:pt idx="32">
                  <c:v>5.1572382101832659</c:v>
                </c:pt>
                <c:pt idx="33">
                  <c:v>5.1572382101832659</c:v>
                </c:pt>
                <c:pt idx="34">
                  <c:v>5.1572382101832659</c:v>
                </c:pt>
                <c:pt idx="35">
                  <c:v>5.1572382101832659</c:v>
                </c:pt>
                <c:pt idx="36">
                  <c:v>5.1572382101832659</c:v>
                </c:pt>
                <c:pt idx="37">
                  <c:v>5.1572382101832659</c:v>
                </c:pt>
                <c:pt idx="38">
                  <c:v>5.1572382101832659</c:v>
                </c:pt>
                <c:pt idx="39">
                  <c:v>5.1572382101832659</c:v>
                </c:pt>
                <c:pt idx="40">
                  <c:v>5.1572382101832659</c:v>
                </c:pt>
              </c:numCache>
            </c:numRef>
          </c:yVal>
          <c:smooth val="0"/>
          <c:extLst>
            <c:ext xmlns:c16="http://schemas.microsoft.com/office/drawing/2014/chart" uri="{C3380CC4-5D6E-409C-BE32-E72D297353CC}">
              <c16:uniqueId val="{00000000-F196-40EA-BF9B-98343C106DD7}"/>
            </c:ext>
          </c:extLst>
        </c:ser>
        <c:ser>
          <c:idx val="1"/>
          <c:order val="1"/>
          <c:tx>
            <c:strRef>
              <c:f>'Camber &amp; Haunch Method'!$P$49</c:f>
              <c:strCache>
                <c:ptCount val="1"/>
                <c:pt idx="0">
                  <c:v>Cambered beam top</c:v>
                </c:pt>
              </c:strCache>
            </c:strRef>
          </c:tx>
          <c:spPr>
            <a:ln w="19050">
              <a:solidFill>
                <a:srgbClr val="1F2A36"/>
              </a:solidFill>
              <a:prstDash val="solid"/>
            </a:ln>
          </c:spPr>
          <c:marker>
            <c:symbol val="none"/>
          </c:marker>
          <c:errBars>
            <c:errDir val="y"/>
            <c:errBarType val="plus"/>
            <c:errValType val="cust"/>
            <c:noEndCap val="1"/>
            <c:plus>
              <c:numRef>
                <c:f>'Camber &amp; Haunch Method'!$S$49:$S$89</c:f>
                <c:numCache>
                  <c:formatCode>General</c:formatCode>
                  <c:ptCount val="41"/>
                  <c:pt idx="0">
                    <c:v>5.2126908042325226</c:v>
                  </c:pt>
                  <c:pt idx="1">
                    <c:v>5.0229534508198981</c:v>
                  </c:pt>
                  <c:pt idx="2">
                    <c:v>4.8429462180951077</c:v>
                  </c:pt>
                  <c:pt idx="3">
                    <c:v>4.6726691060578673</c:v>
                  </c:pt>
                  <c:pt idx="4">
                    <c:v>4.5121221147090296</c:v>
                  </c:pt>
                  <c:pt idx="5">
                    <c:v>4.3613052440474576</c:v>
                  </c:pt>
                  <c:pt idx="6">
                    <c:v>4.2202184940742882</c:v>
                  </c:pt>
                  <c:pt idx="7">
                    <c:v>4.0888618647881003</c:v>
                  </c:pt>
                  <c:pt idx="8">
                    <c:v>3.9672353561903151</c:v>
                  </c:pt>
                  <c:pt idx="9">
                    <c:v>3.8553389682806483</c:v>
                  </c:pt>
                  <c:pt idx="10">
                    <c:v>3.753172701057963</c:v>
                  </c:pt>
                  <c:pt idx="11">
                    <c:v>3.6607365545239645</c:v>
                  </c:pt>
                  <c:pt idx="12">
                    <c:v>3.5780305286772318</c:v>
                  </c:pt>
                  <c:pt idx="13">
                    <c:v>3.5050546235183333</c:v>
                  </c:pt>
                  <c:pt idx="14">
                    <c:v>3.4418088390475532</c:v>
                  </c:pt>
                  <c:pt idx="15">
                    <c:v>3.3882931752643231</c:v>
                  </c:pt>
                  <c:pt idx="16">
                    <c:v>3.3445076321694955</c:v>
                  </c:pt>
                  <c:pt idx="17">
                    <c:v>3.3104522097619338</c:v>
                  </c:pt>
                  <c:pt idx="18">
                    <c:v>3.2861269080424904</c:v>
                  </c:pt>
                  <c:pt idx="19">
                    <c:v>3.271531727010597</c:v>
                  </c:pt>
                  <c:pt idx="20">
                    <c:v>3.2666666666665378</c:v>
                  </c:pt>
                  <c:pt idx="21">
                    <c:v>3.271531727010597</c:v>
                  </c:pt>
                  <c:pt idx="22">
                    <c:v>3.2861269080422062</c:v>
                  </c:pt>
                  <c:pt idx="23">
                    <c:v>3.3104522097619338</c:v>
                  </c:pt>
                  <c:pt idx="24">
                    <c:v>3.3445076321692113</c:v>
                  </c:pt>
                  <c:pt idx="25">
                    <c:v>3.3882931752646073</c:v>
                  </c:pt>
                  <c:pt idx="26">
                    <c:v>3.4418088390475532</c:v>
                  </c:pt>
                  <c:pt idx="27">
                    <c:v>3.5050546235186175</c:v>
                  </c:pt>
                  <c:pt idx="28">
                    <c:v>3.5780305286772318</c:v>
                  </c:pt>
                  <c:pt idx="29">
                    <c:v>3.6607365545236803</c:v>
                  </c:pt>
                  <c:pt idx="30">
                    <c:v>3.753172701057963</c:v>
                  </c:pt>
                  <c:pt idx="31">
                    <c:v>3.855338968280364</c:v>
                  </c:pt>
                  <c:pt idx="32">
                    <c:v>3.9672353561903151</c:v>
                  </c:pt>
                  <c:pt idx="33">
                    <c:v>4.0888618647881003</c:v>
                  </c:pt>
                  <c:pt idx="34">
                    <c:v>4.220218494074004</c:v>
                  </c:pt>
                  <c:pt idx="35">
                    <c:v>4.3613052440474576</c:v>
                  </c:pt>
                  <c:pt idx="36">
                    <c:v>4.5121221147087454</c:v>
                  </c:pt>
                  <c:pt idx="37">
                    <c:v>4.6726691060578673</c:v>
                  </c:pt>
                  <c:pt idx="38">
                    <c:v>4.8429462180948235</c:v>
                  </c:pt>
                  <c:pt idx="39">
                    <c:v>5.0229534508198981</c:v>
                  </c:pt>
                  <c:pt idx="40">
                    <c:v>5.2126908042325226</c:v>
                  </c:pt>
                </c:numCache>
              </c:numRef>
            </c:plus>
            <c:spPr>
              <a:ln w="38100">
                <a:solidFill>
                  <a:srgbClr val="E3B85C"/>
                </a:solidFill>
                <a:prstDash val="solid"/>
              </a:ln>
            </c:spPr>
          </c:errBars>
          <c:xVal>
            <c:numRef>
              <c:f>'Camber &amp; Haunch Method'!$Q$49:$Q$89</c:f>
              <c:numCache>
                <c:formatCode>0.0000</c:formatCode>
                <c:ptCount val="41"/>
                <c:pt idx="0">
                  <c:v>1700.6949999999999</c:v>
                </c:pt>
                <c:pt idx="1">
                  <c:v>1703.308125</c:v>
                </c:pt>
                <c:pt idx="2">
                  <c:v>1705.9212499999999</c:v>
                </c:pt>
                <c:pt idx="3">
                  <c:v>1708.534375</c:v>
                </c:pt>
                <c:pt idx="4">
                  <c:v>1711.1475</c:v>
                </c:pt>
                <c:pt idx="5">
                  <c:v>1713.7606249999999</c:v>
                </c:pt>
                <c:pt idx="6">
                  <c:v>1716.37375</c:v>
                </c:pt>
                <c:pt idx="7">
                  <c:v>1718.9868750000001</c:v>
                </c:pt>
                <c:pt idx="8">
                  <c:v>1721.6</c:v>
                </c:pt>
                <c:pt idx="9">
                  <c:v>1724.213125</c:v>
                </c:pt>
                <c:pt idx="10">
                  <c:v>1726.8262500000001</c:v>
                </c:pt>
                <c:pt idx="11">
                  <c:v>1729.4393749999999</c:v>
                </c:pt>
                <c:pt idx="12">
                  <c:v>1732.0525</c:v>
                </c:pt>
                <c:pt idx="13">
                  <c:v>1734.6656249999999</c:v>
                </c:pt>
                <c:pt idx="14">
                  <c:v>1737.2787499999999</c:v>
                </c:pt>
                <c:pt idx="15">
                  <c:v>1739.891875</c:v>
                </c:pt>
                <c:pt idx="16">
                  <c:v>1742.5049999999999</c:v>
                </c:pt>
                <c:pt idx="17">
                  <c:v>1745.118125</c:v>
                </c:pt>
                <c:pt idx="18">
                  <c:v>1747.73125</c:v>
                </c:pt>
                <c:pt idx="19">
                  <c:v>1750.3443749999999</c:v>
                </c:pt>
                <c:pt idx="20">
                  <c:v>1752.9575</c:v>
                </c:pt>
                <c:pt idx="21">
                  <c:v>1755.5706250000001</c:v>
                </c:pt>
                <c:pt idx="22">
                  <c:v>1758.1837499999999</c:v>
                </c:pt>
                <c:pt idx="23">
                  <c:v>1760.796875</c:v>
                </c:pt>
                <c:pt idx="24">
                  <c:v>1763.41</c:v>
                </c:pt>
                <c:pt idx="25">
                  <c:v>1766.0231249999999</c:v>
                </c:pt>
                <c:pt idx="26">
                  <c:v>1768.63625</c:v>
                </c:pt>
                <c:pt idx="27">
                  <c:v>1771.2493750000001</c:v>
                </c:pt>
                <c:pt idx="28">
                  <c:v>1773.8625</c:v>
                </c:pt>
                <c:pt idx="29">
                  <c:v>1776.475625</c:v>
                </c:pt>
                <c:pt idx="30">
                  <c:v>1779.0887499999999</c:v>
                </c:pt>
                <c:pt idx="31">
                  <c:v>1781.701875</c:v>
                </c:pt>
                <c:pt idx="32">
                  <c:v>1784.3150000000001</c:v>
                </c:pt>
                <c:pt idx="33">
                  <c:v>1786.9281249999999</c:v>
                </c:pt>
                <c:pt idx="34">
                  <c:v>1789.54125</c:v>
                </c:pt>
                <c:pt idx="35">
                  <c:v>1792.1543750000001</c:v>
                </c:pt>
                <c:pt idx="36">
                  <c:v>1794.7674999999999</c:v>
                </c:pt>
                <c:pt idx="37">
                  <c:v>1797.380625</c:v>
                </c:pt>
                <c:pt idx="38">
                  <c:v>1799.9937500000001</c:v>
                </c:pt>
                <c:pt idx="39">
                  <c:v>1802.6068749999999</c:v>
                </c:pt>
                <c:pt idx="40">
                  <c:v>1805.22</c:v>
                </c:pt>
              </c:numCache>
            </c:numRef>
          </c:xVal>
          <c:yVal>
            <c:numRef>
              <c:f>'Camber &amp; Haunch Method'!$R$49:$R$89</c:f>
              <c:numCache>
                <c:formatCode>0.0000</c:formatCode>
                <c:ptCount val="41"/>
                <c:pt idx="0">
                  <c:v>-5.5452594049256732E-2</c:v>
                </c:pt>
                <c:pt idx="1">
                  <c:v>0.13428475936336781</c:v>
                </c:pt>
                <c:pt idx="2">
                  <c:v>0.31429199208844238</c:v>
                </c:pt>
                <c:pt idx="3">
                  <c:v>0.48456910412539855</c:v>
                </c:pt>
                <c:pt idx="4">
                  <c:v>0.64511609547452053</c:v>
                </c:pt>
                <c:pt idx="5">
                  <c:v>0.79593296613580833</c:v>
                </c:pt>
                <c:pt idx="6">
                  <c:v>0.93701971610926194</c:v>
                </c:pt>
                <c:pt idx="7">
                  <c:v>1.0683763453951656</c:v>
                </c:pt>
                <c:pt idx="8">
                  <c:v>1.1900028539929508</c:v>
                </c:pt>
                <c:pt idx="9">
                  <c:v>1.3018992419029018</c:v>
                </c:pt>
                <c:pt idx="10">
                  <c:v>1.4040655091253029</c:v>
                </c:pt>
                <c:pt idx="11">
                  <c:v>1.4965016556595856</c:v>
                </c:pt>
                <c:pt idx="12">
                  <c:v>1.5792076815060341</c:v>
                </c:pt>
                <c:pt idx="13">
                  <c:v>1.6521835866649326</c:v>
                </c:pt>
                <c:pt idx="14">
                  <c:v>1.7154293711357127</c:v>
                </c:pt>
                <c:pt idx="15">
                  <c:v>1.7689450349189428</c:v>
                </c:pt>
                <c:pt idx="16">
                  <c:v>1.8127305780140546</c:v>
                </c:pt>
                <c:pt idx="17">
                  <c:v>1.8467860004213321</c:v>
                </c:pt>
                <c:pt idx="18">
                  <c:v>1.8711113021410597</c:v>
                </c:pt>
                <c:pt idx="19">
                  <c:v>1.8857064831726689</c:v>
                </c:pt>
                <c:pt idx="20">
                  <c:v>1.8905715435167281</c:v>
                </c:pt>
                <c:pt idx="21">
                  <c:v>1.8857064831726689</c:v>
                </c:pt>
                <c:pt idx="22">
                  <c:v>1.8711113021410597</c:v>
                </c:pt>
                <c:pt idx="23">
                  <c:v>1.8467860004213321</c:v>
                </c:pt>
                <c:pt idx="24">
                  <c:v>1.8127305780140546</c:v>
                </c:pt>
                <c:pt idx="25">
                  <c:v>1.7689450349189428</c:v>
                </c:pt>
                <c:pt idx="26">
                  <c:v>1.7154293711357127</c:v>
                </c:pt>
                <c:pt idx="27">
                  <c:v>1.6521835866649326</c:v>
                </c:pt>
                <c:pt idx="28">
                  <c:v>1.5792076815060341</c:v>
                </c:pt>
                <c:pt idx="29">
                  <c:v>1.4965016556595856</c:v>
                </c:pt>
                <c:pt idx="30">
                  <c:v>1.4040655091253029</c:v>
                </c:pt>
                <c:pt idx="31">
                  <c:v>1.3018992419029018</c:v>
                </c:pt>
                <c:pt idx="32">
                  <c:v>1.1900028539929508</c:v>
                </c:pt>
                <c:pt idx="33">
                  <c:v>1.0683763453951656</c:v>
                </c:pt>
                <c:pt idx="34">
                  <c:v>0.93701971610926194</c:v>
                </c:pt>
                <c:pt idx="35">
                  <c:v>0.79593296613580833</c:v>
                </c:pt>
                <c:pt idx="36">
                  <c:v>0.64511609547452053</c:v>
                </c:pt>
                <c:pt idx="37">
                  <c:v>0.48456910412539855</c:v>
                </c:pt>
                <c:pt idx="38">
                  <c:v>0.31429199208844238</c:v>
                </c:pt>
                <c:pt idx="39">
                  <c:v>0.13428475936336781</c:v>
                </c:pt>
                <c:pt idx="40">
                  <c:v>-5.5452594049256732E-2</c:v>
                </c:pt>
              </c:numCache>
            </c:numRef>
          </c:yVal>
          <c:smooth val="0"/>
          <c:extLst>
            <c:ext xmlns:c16="http://schemas.microsoft.com/office/drawing/2014/chart" uri="{C3380CC4-5D6E-409C-BE32-E72D297353CC}">
              <c16:uniqueId val="{00000001-F196-40EA-BF9B-98343C106DD7}"/>
            </c:ext>
          </c:extLst>
        </c:ser>
        <c:ser>
          <c:idx val="2"/>
          <c:order val="2"/>
          <c:tx>
            <c:strRef>
              <c:f>'Camber &amp; Haunch Method'!$P$91</c:f>
              <c:strCache>
                <c:ptCount val="1"/>
                <c:pt idx="0">
                  <c:v>Beam top with zero camber</c:v>
                </c:pt>
              </c:strCache>
            </c:strRef>
          </c:tx>
          <c:spPr>
            <a:ln w="12700">
              <a:solidFill>
                <a:srgbClr val="8A96A3"/>
              </a:solidFill>
              <a:prstDash val="dash"/>
            </a:ln>
          </c:spPr>
          <c:marker>
            <c:symbol val="none"/>
          </c:marker>
          <c:xVal>
            <c:numRef>
              <c:f>'Camber &amp; Haunch Method'!$Q$91:$Q$92</c:f>
              <c:numCache>
                <c:formatCode>0.0000</c:formatCode>
                <c:ptCount val="2"/>
                <c:pt idx="0">
                  <c:v>1700.6949999999999</c:v>
                </c:pt>
                <c:pt idx="1">
                  <c:v>1805.22</c:v>
                </c:pt>
              </c:numCache>
            </c:numRef>
          </c:xVal>
          <c:yVal>
            <c:numRef>
              <c:f>'Camber &amp; Haunch Method'!$R$91:$R$92</c:f>
              <c:numCache>
                <c:formatCode>0.0000</c:formatCode>
                <c:ptCount val="2"/>
                <c:pt idx="0">
                  <c:v>0</c:v>
                </c:pt>
                <c:pt idx="1">
                  <c:v>0</c:v>
                </c:pt>
              </c:numCache>
            </c:numRef>
          </c:yVal>
          <c:smooth val="0"/>
          <c:extLst>
            <c:ext xmlns:c16="http://schemas.microsoft.com/office/drawing/2014/chart" uri="{C3380CC4-5D6E-409C-BE32-E72D297353CC}">
              <c16:uniqueId val="{00000002-F196-40EA-BF9B-98343C106DD7}"/>
            </c:ext>
          </c:extLst>
        </c:ser>
        <c:ser>
          <c:idx val="3"/>
          <c:order val="3"/>
          <c:tx>
            <c:strRef>
              <c:f>'Camber &amp; Haunch Method'!$P$94</c:f>
              <c:strCache>
                <c:ptCount val="1"/>
                <c:pt idx="0">
                  <c:v>deck soffit over CL beam 1</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Method'!$Q$94</c:f>
              <c:numCache>
                <c:formatCode>0.0000</c:formatCode>
                <c:ptCount val="1"/>
                <c:pt idx="0">
                  <c:v>1726.8262500000001</c:v>
                </c:pt>
              </c:numCache>
            </c:numRef>
          </c:xVal>
          <c:yVal>
            <c:numRef>
              <c:f>'Camber &amp; Haunch Method'!$R$94</c:f>
              <c:numCache>
                <c:formatCode>0.0000</c:formatCode>
                <c:ptCount val="1"/>
                <c:pt idx="0">
                  <c:v>5.1572382101832659</c:v>
                </c:pt>
              </c:numCache>
            </c:numRef>
          </c:yVal>
          <c:smooth val="0"/>
          <c:extLst>
            <c:ext xmlns:c16="http://schemas.microsoft.com/office/drawing/2014/chart" uri="{C3380CC4-5D6E-409C-BE32-E72D297353CC}">
              <c16:uniqueId val="{00000003-F196-40EA-BF9B-98343C106DD7}"/>
            </c:ext>
          </c:extLst>
        </c:ser>
        <c:ser>
          <c:idx val="4"/>
          <c:order val="4"/>
          <c:tx>
            <c:strRef>
              <c:f>'Camber &amp; Haunch Method'!$P$96</c:f>
              <c:strCache>
                <c:ptCount val="1"/>
                <c:pt idx="0">
                  <c:v>cambered beam top, C = 0.567 in</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Method'!$Q$96</c:f>
              <c:numCache>
                <c:formatCode>0.0000</c:formatCode>
                <c:ptCount val="1"/>
                <c:pt idx="0">
                  <c:v>1739.891875</c:v>
                </c:pt>
              </c:numCache>
            </c:numRef>
          </c:xVal>
          <c:yVal>
            <c:numRef>
              <c:f>'Camber &amp; Haunch Method'!$R$96</c:f>
              <c:numCache>
                <c:formatCode>0.0000</c:formatCode>
                <c:ptCount val="1"/>
                <c:pt idx="0">
                  <c:v>1.7689450349189428</c:v>
                </c:pt>
              </c:numCache>
            </c:numRef>
          </c:yVal>
          <c:smooth val="0"/>
          <c:extLst>
            <c:ext xmlns:c16="http://schemas.microsoft.com/office/drawing/2014/chart" uri="{C3380CC4-5D6E-409C-BE32-E72D297353CC}">
              <c16:uniqueId val="{00000004-F196-40EA-BF9B-98343C106DD7}"/>
            </c:ext>
          </c:extLst>
        </c:ser>
        <c:ser>
          <c:idx val="5"/>
          <c:order val="5"/>
          <c:tx>
            <c:strRef>
              <c:f>'Camber &amp; Haunch Method'!$P$98</c:f>
              <c:strCache>
                <c:ptCount val="1"/>
                <c:pt idx="0">
                  <c:v>beam top with zero camber (chord less D)</c:v>
                </c:pt>
              </c:strCache>
            </c:strRef>
          </c:tx>
          <c:spPr>
            <a:ln>
              <a:noFill/>
              <a:prstDash val="solid"/>
            </a:ln>
          </c:spPr>
          <c:marker>
            <c:symbol val="none"/>
          </c:marker>
          <c:dLbls>
            <c:spPr>
              <a:noFill/>
              <a:ln>
                <a:noFill/>
              </a:ln>
              <a:effectLst/>
            </c:spPr>
            <c:txPr>
              <a:bodyPr/>
              <a:lstStyle/>
              <a:p>
                <a:pPr>
                  <a:defRPr sz="750" b="0">
                    <a:solidFill>
                      <a:srgbClr val="8A96A3"/>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Method'!$Q$98</c:f>
              <c:numCache>
                <c:formatCode>0.0000</c:formatCode>
                <c:ptCount val="1"/>
                <c:pt idx="0">
                  <c:v>1779.0887499999999</c:v>
                </c:pt>
              </c:numCache>
            </c:numRef>
          </c:xVal>
          <c:yVal>
            <c:numRef>
              <c:f>'Camber &amp; Haunch Method'!$R$98</c:f>
              <c:numCache>
                <c:formatCode>0.0000</c:formatCode>
                <c:ptCount val="1"/>
                <c:pt idx="0">
                  <c:v>0</c:v>
                </c:pt>
              </c:numCache>
            </c:numRef>
          </c:yVal>
          <c:smooth val="0"/>
          <c:extLst>
            <c:ext xmlns:c16="http://schemas.microsoft.com/office/drawing/2014/chart" uri="{C3380CC4-5D6E-409C-BE32-E72D297353CC}">
              <c16:uniqueId val="{00000005-F196-40EA-BF9B-98343C106DD7}"/>
            </c:ext>
          </c:extLst>
        </c:ser>
        <c:ser>
          <c:idx val="6"/>
          <c:order val="6"/>
          <c:tx>
            <c:strRef>
              <c:f>'Camber &amp; Haunch Method'!$P$100</c:f>
              <c:strCache>
                <c:ptCount val="1"/>
                <c:pt idx="0">
                  <c:v>Dim B arrow</c:v>
                </c:pt>
              </c:strCache>
            </c:strRef>
          </c:tx>
          <c:spPr>
            <a:ln w="11430">
              <a:solidFill>
                <a:srgbClr val="C0392B"/>
              </a:solidFill>
              <a:prstDash val="solid"/>
              <a:headEnd type="triangle" w="sm" len="sm"/>
              <a:tailEnd type="triangle" w="sm" len="sm"/>
            </a:ln>
          </c:spPr>
          <c:marker>
            <c:symbol val="none"/>
          </c:marker>
          <c:xVal>
            <c:numRef>
              <c:f>'Camber &amp; Haunch Method'!$Q$100:$Q$101</c:f>
              <c:numCache>
                <c:formatCode>0.0000</c:formatCode>
                <c:ptCount val="2"/>
                <c:pt idx="0">
                  <c:v>1701.4449999999999</c:v>
                </c:pt>
                <c:pt idx="1">
                  <c:v>1701.4449999999999</c:v>
                </c:pt>
              </c:numCache>
            </c:numRef>
          </c:xVal>
          <c:yVal>
            <c:numRef>
              <c:f>'Camber &amp; Haunch Method'!$R$100:$R$101</c:f>
              <c:numCache>
                <c:formatCode>0.0000</c:formatCode>
                <c:ptCount val="2"/>
                <c:pt idx="0">
                  <c:v>0</c:v>
                </c:pt>
                <c:pt idx="1">
                  <c:v>5.1572382101832659</c:v>
                </c:pt>
              </c:numCache>
            </c:numRef>
          </c:yVal>
          <c:smooth val="0"/>
          <c:extLst>
            <c:ext xmlns:c16="http://schemas.microsoft.com/office/drawing/2014/chart" uri="{C3380CC4-5D6E-409C-BE32-E72D297353CC}">
              <c16:uniqueId val="{00000006-F196-40EA-BF9B-98343C106DD7}"/>
            </c:ext>
          </c:extLst>
        </c:ser>
        <c:ser>
          <c:idx val="7"/>
          <c:order val="7"/>
          <c:tx>
            <c:strRef>
              <c:f>'Camber &amp; Haunch Method'!$P$103</c:f>
              <c:strCache>
                <c:ptCount val="1"/>
                <c:pt idx="0">
                  <c:v>Dim B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Method'!$Q$103</c:f>
              <c:numCache>
                <c:formatCode>0.0000</c:formatCode>
                <c:ptCount val="1"/>
                <c:pt idx="0">
                  <c:v>1701.4449999999999</c:v>
                </c:pt>
              </c:numCache>
            </c:numRef>
          </c:xVal>
          <c:yVal>
            <c:numRef>
              <c:f>'Camber &amp; Haunch Method'!$R$103</c:f>
              <c:numCache>
                <c:formatCode>0.0000</c:formatCode>
                <c:ptCount val="1"/>
                <c:pt idx="0">
                  <c:v>5.1572382101832659</c:v>
                </c:pt>
              </c:numCache>
            </c:numRef>
          </c:yVal>
          <c:smooth val="0"/>
          <c:extLst>
            <c:ext xmlns:c16="http://schemas.microsoft.com/office/drawing/2014/chart" uri="{C3380CC4-5D6E-409C-BE32-E72D297353CC}">
              <c16:uniqueId val="{00000007-F196-40EA-BF9B-98343C106DD7}"/>
            </c:ext>
          </c:extLst>
        </c:ser>
        <c:ser>
          <c:idx val="8"/>
          <c:order val="8"/>
          <c:tx>
            <c:strRef>
              <c:f>'Camber &amp; Haunch Method'!$P$105</c:f>
              <c:strCache>
                <c:ptCount val="1"/>
                <c:pt idx="0">
                  <c:v>Dim C arrow</c:v>
                </c:pt>
              </c:strCache>
            </c:strRef>
          </c:tx>
          <c:spPr>
            <a:ln w="11430">
              <a:solidFill>
                <a:srgbClr val="C0392B"/>
              </a:solidFill>
              <a:prstDash val="solid"/>
              <a:headEnd type="triangle" w="sm" len="sm"/>
              <a:tailEnd type="triangle" w="sm" len="sm"/>
            </a:ln>
          </c:spPr>
          <c:marker>
            <c:symbol val="none"/>
          </c:marker>
          <c:xVal>
            <c:numRef>
              <c:f>'Camber &amp; Haunch Method'!$Q$105:$Q$106</c:f>
              <c:numCache>
                <c:formatCode>0.0000</c:formatCode>
                <c:ptCount val="2"/>
                <c:pt idx="0">
                  <c:v>1752.9575</c:v>
                </c:pt>
                <c:pt idx="1">
                  <c:v>1752.9575</c:v>
                </c:pt>
              </c:numCache>
            </c:numRef>
          </c:xVal>
          <c:yVal>
            <c:numRef>
              <c:f>'Camber &amp; Haunch Method'!$R$105:$R$106</c:f>
              <c:numCache>
                <c:formatCode>0.0000</c:formatCode>
                <c:ptCount val="2"/>
                <c:pt idx="0">
                  <c:v>1.8905715435167281</c:v>
                </c:pt>
                <c:pt idx="1">
                  <c:v>5.1572382101832659</c:v>
                </c:pt>
              </c:numCache>
            </c:numRef>
          </c:yVal>
          <c:smooth val="0"/>
          <c:extLst>
            <c:ext xmlns:c16="http://schemas.microsoft.com/office/drawing/2014/chart" uri="{C3380CC4-5D6E-409C-BE32-E72D297353CC}">
              <c16:uniqueId val="{00000008-F196-40EA-BF9B-98343C106DD7}"/>
            </c:ext>
          </c:extLst>
        </c:ser>
        <c:ser>
          <c:idx val="9"/>
          <c:order val="9"/>
          <c:tx>
            <c:strRef>
              <c:f>'Camber &amp; Haunch Method'!$P$108</c:f>
              <c:strCache>
                <c:ptCount val="1"/>
                <c:pt idx="0">
                  <c:v>Dim C
0.980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Method'!$Q$108</c:f>
              <c:numCache>
                <c:formatCode>0.0000</c:formatCode>
                <c:ptCount val="1"/>
                <c:pt idx="0">
                  <c:v>1752.9575</c:v>
                </c:pt>
              </c:numCache>
            </c:numRef>
          </c:xVal>
          <c:yVal>
            <c:numRef>
              <c:f>'Camber &amp; Haunch Method'!$R$108</c:f>
              <c:numCache>
                <c:formatCode>0.0000</c:formatCode>
                <c:ptCount val="1"/>
                <c:pt idx="0">
                  <c:v>5.1572382101832659</c:v>
                </c:pt>
              </c:numCache>
            </c:numRef>
          </c:yVal>
          <c:smooth val="0"/>
          <c:extLst>
            <c:ext xmlns:c16="http://schemas.microsoft.com/office/drawing/2014/chart" uri="{C3380CC4-5D6E-409C-BE32-E72D297353CC}">
              <c16:uniqueId val="{00000009-F196-40EA-BF9B-98343C106DD7}"/>
            </c:ext>
          </c:extLst>
        </c:ser>
        <c:ser>
          <c:idx val="10"/>
          <c:order val="10"/>
          <c:tx>
            <c:strRef>
              <c:f>'Camber &amp; Haunch Method'!$P$110</c:f>
              <c:strCache>
                <c:ptCount val="1"/>
                <c:pt idx="0">
                  <c:v>Dim D arrow</c:v>
                </c:pt>
              </c:strCache>
            </c:strRef>
          </c:tx>
          <c:spPr>
            <a:ln w="11430">
              <a:solidFill>
                <a:srgbClr val="C0392B"/>
              </a:solidFill>
              <a:prstDash val="solid"/>
              <a:headEnd type="triangle" w="sm" len="sm"/>
              <a:tailEnd type="triangle" w="sm" len="sm"/>
            </a:ln>
          </c:spPr>
          <c:marker>
            <c:symbol val="none"/>
          </c:marker>
          <c:xVal>
            <c:numRef>
              <c:f>'Camber &amp; Haunch Method'!$Q$110:$Q$111</c:f>
              <c:numCache>
                <c:formatCode>0.0000</c:formatCode>
                <c:ptCount val="2"/>
                <c:pt idx="0">
                  <c:v>1804.47</c:v>
                </c:pt>
                <c:pt idx="1">
                  <c:v>1804.47</c:v>
                </c:pt>
              </c:numCache>
            </c:numRef>
          </c:xVal>
          <c:yVal>
            <c:numRef>
              <c:f>'Camber &amp; Haunch Method'!$R$110:$R$111</c:f>
              <c:numCache>
                <c:formatCode>0.0000</c:formatCode>
                <c:ptCount val="2"/>
                <c:pt idx="0">
                  <c:v>0</c:v>
                </c:pt>
                <c:pt idx="1">
                  <c:v>5.1572382101832659</c:v>
                </c:pt>
              </c:numCache>
            </c:numRef>
          </c:yVal>
          <c:smooth val="0"/>
          <c:extLst>
            <c:ext xmlns:c16="http://schemas.microsoft.com/office/drawing/2014/chart" uri="{C3380CC4-5D6E-409C-BE32-E72D297353CC}">
              <c16:uniqueId val="{0000000A-F196-40EA-BF9B-98343C106DD7}"/>
            </c:ext>
          </c:extLst>
        </c:ser>
        <c:ser>
          <c:idx val="11"/>
          <c:order val="11"/>
          <c:tx>
            <c:strRef>
              <c:f>'Camber &amp; Haunch Method'!$P$113</c:f>
              <c:strCache>
                <c:ptCount val="1"/>
                <c:pt idx="0">
                  <c:v>Dim D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Method'!$Q$113</c:f>
              <c:numCache>
                <c:formatCode>0.0000</c:formatCode>
                <c:ptCount val="1"/>
                <c:pt idx="0">
                  <c:v>1804.47</c:v>
                </c:pt>
              </c:numCache>
            </c:numRef>
          </c:xVal>
          <c:yVal>
            <c:numRef>
              <c:f>'Camber &amp; Haunch Method'!$R$113</c:f>
              <c:numCache>
                <c:formatCode>0.0000</c:formatCode>
                <c:ptCount val="1"/>
                <c:pt idx="0">
                  <c:v>5.1572382101832659</c:v>
                </c:pt>
              </c:numCache>
            </c:numRef>
          </c:yVal>
          <c:smooth val="0"/>
          <c:extLst>
            <c:ext xmlns:c16="http://schemas.microsoft.com/office/drawing/2014/chart" uri="{C3380CC4-5D6E-409C-BE32-E72D297353CC}">
              <c16:uniqueId val="{0000000B-F196-40EA-BF9B-98343C106DD7}"/>
            </c:ext>
          </c:extLst>
        </c:ser>
        <c:ser>
          <c:idx val="12"/>
          <c:order val="12"/>
          <c:tx>
            <c:strRef>
              <c:f>'Camber &amp; Haunch Method'!$P$115</c:f>
              <c:strCache>
                <c:ptCount val="1"/>
                <c:pt idx="0">
                  <c:v>frame (invisible, sets the chart window)</c:v>
                </c:pt>
              </c:strCache>
            </c:strRef>
          </c:tx>
          <c:spPr>
            <a:ln>
              <a:noFill/>
              <a:prstDash val="solid"/>
            </a:ln>
          </c:spPr>
          <c:marker>
            <c:symbol val="none"/>
          </c:marker>
          <c:xVal>
            <c:numRef>
              <c:f>'Camber &amp; Haunch Method'!$Q$115:$Q$116</c:f>
              <c:numCache>
                <c:formatCode>0.0000</c:formatCode>
                <c:ptCount val="2"/>
                <c:pt idx="0">
                  <c:v>1698.6949999999999</c:v>
                </c:pt>
                <c:pt idx="1">
                  <c:v>1807.22</c:v>
                </c:pt>
              </c:numCache>
            </c:numRef>
          </c:xVal>
          <c:yVal>
            <c:numRef>
              <c:f>'Camber &amp; Haunch Method'!$R$115:$R$116</c:f>
              <c:numCache>
                <c:formatCode>0.0000</c:formatCode>
                <c:ptCount val="2"/>
                <c:pt idx="0">
                  <c:v>-1.5</c:v>
                </c:pt>
                <c:pt idx="1">
                  <c:v>7.6572382101835501</c:v>
                </c:pt>
              </c:numCache>
            </c:numRef>
          </c:yVal>
          <c:smooth val="0"/>
          <c:extLst>
            <c:ext xmlns:c16="http://schemas.microsoft.com/office/drawing/2014/chart" uri="{C3380CC4-5D6E-409C-BE32-E72D297353CC}">
              <c16:uniqueId val="{0000000C-F196-40EA-BF9B-98343C106DD7}"/>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'Camber &amp; Haunch Method'!$P$122</c:f>
              <c:strCache>
                <c:ptCount val="1"/>
                <c:pt idx="0">
                  <c:v>Deck soffit over CL beam 1</c:v>
                </c:pt>
              </c:strCache>
            </c:strRef>
          </c:tx>
          <c:spPr>
            <a:ln w="19050">
              <a:solidFill>
                <a:srgbClr val="2B6CB0"/>
              </a:solidFill>
              <a:prstDash val="solid"/>
            </a:ln>
          </c:spPr>
          <c:marker>
            <c:symbol val="none"/>
          </c:marker>
          <c:xVal>
            <c:numRef>
              <c:f>'Camber &amp; Haunch Method'!$Q$122:$Q$162</c:f>
              <c:numCache>
                <c:formatCode>0.0000</c:formatCode>
                <c:ptCount val="41"/>
                <c:pt idx="0">
                  <c:v>1593.47</c:v>
                </c:pt>
                <c:pt idx="1">
                  <c:v>1596.1443750000001</c:v>
                </c:pt>
                <c:pt idx="2">
                  <c:v>1598.8187499999999</c:v>
                </c:pt>
                <c:pt idx="3">
                  <c:v>1601.493125</c:v>
                </c:pt>
                <c:pt idx="4">
                  <c:v>1604.1675</c:v>
                </c:pt>
                <c:pt idx="5">
                  <c:v>1606.8418750000001</c:v>
                </c:pt>
                <c:pt idx="6">
                  <c:v>1609.5162500000001</c:v>
                </c:pt>
                <c:pt idx="7">
                  <c:v>1612.190625</c:v>
                </c:pt>
                <c:pt idx="8">
                  <c:v>1614.865</c:v>
                </c:pt>
                <c:pt idx="9">
                  <c:v>1617.5393750000001</c:v>
                </c:pt>
                <c:pt idx="10">
                  <c:v>1620.2137499999999</c:v>
                </c:pt>
                <c:pt idx="11">
                  <c:v>1622.8881249999999</c:v>
                </c:pt>
                <c:pt idx="12">
                  <c:v>1625.5625</c:v>
                </c:pt>
                <c:pt idx="13">
                  <c:v>1628.2368750000001</c:v>
                </c:pt>
                <c:pt idx="14">
                  <c:v>1630.9112500000001</c:v>
                </c:pt>
                <c:pt idx="15">
                  <c:v>1633.5856249999999</c:v>
                </c:pt>
                <c:pt idx="16">
                  <c:v>1636.26</c:v>
                </c:pt>
                <c:pt idx="17">
                  <c:v>1638.934375</c:v>
                </c:pt>
                <c:pt idx="18">
                  <c:v>1641.6087499999999</c:v>
                </c:pt>
                <c:pt idx="19">
                  <c:v>1644.2831249999999</c:v>
                </c:pt>
                <c:pt idx="20">
                  <c:v>1646.9575</c:v>
                </c:pt>
                <c:pt idx="21">
                  <c:v>1649.631875</c:v>
                </c:pt>
                <c:pt idx="22">
                  <c:v>1652.3062500000001</c:v>
                </c:pt>
                <c:pt idx="23">
                  <c:v>1654.9806249999999</c:v>
                </c:pt>
                <c:pt idx="24">
                  <c:v>1657.655</c:v>
                </c:pt>
                <c:pt idx="25">
                  <c:v>1660.329375</c:v>
                </c:pt>
                <c:pt idx="26">
                  <c:v>1663.0037499999999</c:v>
                </c:pt>
                <c:pt idx="27">
                  <c:v>1665.6781249999999</c:v>
                </c:pt>
                <c:pt idx="28">
                  <c:v>1668.3525</c:v>
                </c:pt>
                <c:pt idx="29">
                  <c:v>1671.026875</c:v>
                </c:pt>
                <c:pt idx="30">
                  <c:v>1673.7012500000001</c:v>
                </c:pt>
                <c:pt idx="31">
                  <c:v>1676.3756249999999</c:v>
                </c:pt>
                <c:pt idx="32">
                  <c:v>1679.05</c:v>
                </c:pt>
                <c:pt idx="33">
                  <c:v>1681.724375</c:v>
                </c:pt>
                <c:pt idx="34">
                  <c:v>1684.3987499999998</c:v>
                </c:pt>
                <c:pt idx="35">
                  <c:v>1687.0731249999999</c:v>
                </c:pt>
                <c:pt idx="36">
                  <c:v>1689.7474999999999</c:v>
                </c:pt>
                <c:pt idx="37">
                  <c:v>1692.421875</c:v>
                </c:pt>
                <c:pt idx="38">
                  <c:v>1695.0962500000001</c:v>
                </c:pt>
                <c:pt idx="39">
                  <c:v>1697.7706249999999</c:v>
                </c:pt>
                <c:pt idx="40">
                  <c:v>1700.4449999999999</c:v>
                </c:pt>
              </c:numCache>
            </c:numRef>
          </c:xVal>
          <c:yVal>
            <c:numRef>
              <c:f>'Camber &amp; Haunch Method'!$R$122:$R$162</c:f>
              <c:numCache>
                <c:formatCode>0.0000</c:formatCode>
                <c:ptCount val="41"/>
                <c:pt idx="0">
                  <c:v>5.1572382101832659</c:v>
                </c:pt>
                <c:pt idx="1">
                  <c:v>5.1572382101832659</c:v>
                </c:pt>
                <c:pt idx="2">
                  <c:v>5.1572382101832659</c:v>
                </c:pt>
                <c:pt idx="3">
                  <c:v>5.1572382101832659</c:v>
                </c:pt>
                <c:pt idx="4">
                  <c:v>5.1572382101829817</c:v>
                </c:pt>
                <c:pt idx="5">
                  <c:v>5.1572382101832659</c:v>
                </c:pt>
                <c:pt idx="6">
                  <c:v>5.1572382101832659</c:v>
                </c:pt>
                <c:pt idx="7">
                  <c:v>5.1572382101832659</c:v>
                </c:pt>
                <c:pt idx="8">
                  <c:v>5.1572382101832659</c:v>
                </c:pt>
                <c:pt idx="9">
                  <c:v>5.1572382101832659</c:v>
                </c:pt>
                <c:pt idx="10">
                  <c:v>5.1572382101832659</c:v>
                </c:pt>
                <c:pt idx="11">
                  <c:v>5.1572382101832659</c:v>
                </c:pt>
                <c:pt idx="12">
                  <c:v>5.1572382101832659</c:v>
                </c:pt>
                <c:pt idx="13">
                  <c:v>5.1572382101832659</c:v>
                </c:pt>
                <c:pt idx="14">
                  <c:v>5.1572382101832659</c:v>
                </c:pt>
                <c:pt idx="15">
                  <c:v>5.1572382101832659</c:v>
                </c:pt>
                <c:pt idx="16">
                  <c:v>5.1572382101832659</c:v>
                </c:pt>
                <c:pt idx="17">
                  <c:v>5.1572382101829817</c:v>
                </c:pt>
                <c:pt idx="18">
                  <c:v>5.1572382101832659</c:v>
                </c:pt>
                <c:pt idx="19">
                  <c:v>5.1572382101832659</c:v>
                </c:pt>
                <c:pt idx="20">
                  <c:v>5.1572382101829817</c:v>
                </c:pt>
                <c:pt idx="21">
                  <c:v>5.1572382101832659</c:v>
                </c:pt>
                <c:pt idx="22">
                  <c:v>5.1572382101832659</c:v>
                </c:pt>
                <c:pt idx="23">
                  <c:v>5.1572382101832659</c:v>
                </c:pt>
                <c:pt idx="24">
                  <c:v>5.1572382101832659</c:v>
                </c:pt>
                <c:pt idx="25">
                  <c:v>5.1572382101832659</c:v>
                </c:pt>
                <c:pt idx="26">
                  <c:v>5.1572382101832659</c:v>
                </c:pt>
                <c:pt idx="27">
                  <c:v>5.1572382101829817</c:v>
                </c:pt>
                <c:pt idx="28">
                  <c:v>5.1572382101832659</c:v>
                </c:pt>
                <c:pt idx="29">
                  <c:v>5.1572382101832659</c:v>
                </c:pt>
                <c:pt idx="30">
                  <c:v>5.1572382101829817</c:v>
                </c:pt>
                <c:pt idx="31">
                  <c:v>5.1572382101832659</c:v>
                </c:pt>
                <c:pt idx="32">
                  <c:v>5.1572382101832659</c:v>
                </c:pt>
                <c:pt idx="33">
                  <c:v>5.1572382101829817</c:v>
                </c:pt>
                <c:pt idx="34">
                  <c:v>5.1572382101829817</c:v>
                </c:pt>
                <c:pt idx="35">
                  <c:v>5.1572382101832659</c:v>
                </c:pt>
                <c:pt idx="36">
                  <c:v>5.1572382101832659</c:v>
                </c:pt>
                <c:pt idx="37">
                  <c:v>5.1572382101832659</c:v>
                </c:pt>
                <c:pt idx="38">
                  <c:v>5.1572382101832659</c:v>
                </c:pt>
                <c:pt idx="39">
                  <c:v>5.1572382101832659</c:v>
                </c:pt>
                <c:pt idx="40">
                  <c:v>5.1572382101829817</c:v>
                </c:pt>
              </c:numCache>
            </c:numRef>
          </c:yVal>
          <c:smooth val="0"/>
          <c:extLst>
            <c:ext xmlns:c16="http://schemas.microsoft.com/office/drawing/2014/chart" uri="{C3380CC4-5D6E-409C-BE32-E72D297353CC}">
              <c16:uniqueId val="{00000000-3A2D-49B0-A8C7-2D3B4EFD7F8E}"/>
            </c:ext>
          </c:extLst>
        </c:ser>
        <c:ser>
          <c:idx val="1"/>
          <c:order val="1"/>
          <c:tx>
            <c:strRef>
              <c:f>'Camber &amp; Haunch Method'!$P$164</c:f>
              <c:strCache>
                <c:ptCount val="1"/>
                <c:pt idx="0">
                  <c:v>Cambered beam top</c:v>
                </c:pt>
              </c:strCache>
            </c:strRef>
          </c:tx>
          <c:spPr>
            <a:ln w="19050">
              <a:solidFill>
                <a:srgbClr val="1F2A36"/>
              </a:solidFill>
              <a:prstDash val="solid"/>
            </a:ln>
          </c:spPr>
          <c:marker>
            <c:symbol val="none"/>
          </c:marker>
          <c:errBars>
            <c:errDir val="y"/>
            <c:errBarType val="plus"/>
            <c:errValType val="cust"/>
            <c:noEndCap val="1"/>
            <c:plus>
              <c:numRef>
                <c:f>'Camber &amp; Haunch Method'!$S$164:$S$204</c:f>
                <c:numCache>
                  <c:formatCode>General</c:formatCode>
                  <c:ptCount val="41"/>
                  <c:pt idx="0">
                    <c:v>5.16913474342374</c:v>
                  </c:pt>
                  <c:pt idx="1">
                    <c:v>5.1274821896305411</c:v>
                  </c:pt>
                  <c:pt idx="2">
                    <c:v>5.0879656642371174</c:v>
                  </c:pt>
                  <c:pt idx="3">
                    <c:v>5.0505851672434687</c:v>
                  </c:pt>
                  <c:pt idx="4">
                    <c:v>5.0153406986490268</c:v>
                  </c:pt>
                  <c:pt idx="5">
                    <c:v>4.9822322584546441</c:v>
                  </c:pt>
                  <c:pt idx="6">
                    <c:v>4.9512598466597524</c:v>
                  </c:pt>
                  <c:pt idx="7">
                    <c:v>4.9224234632646358</c:v>
                  </c:pt>
                  <c:pt idx="8">
                    <c:v>4.89572310826901</c:v>
                  </c:pt>
                  <c:pt idx="9">
                    <c:v>4.8711587816731594</c:v>
                  </c:pt>
                  <c:pt idx="10">
                    <c:v>4.8487304834767997</c:v>
                  </c:pt>
                  <c:pt idx="11">
                    <c:v>4.8284382136802151</c:v>
                  </c:pt>
                  <c:pt idx="12">
                    <c:v>4.8102819722834056</c:v>
                  </c:pt>
                  <c:pt idx="13">
                    <c:v>4.794261759286087</c:v>
                  </c:pt>
                  <c:pt idx="14">
                    <c:v>4.7803775746882593</c:v>
                  </c:pt>
                  <c:pt idx="15">
                    <c:v>4.7686294184902067</c:v>
                  </c:pt>
                  <c:pt idx="16">
                    <c:v>4.7590172906919292</c:v>
                  </c:pt>
                  <c:pt idx="17">
                    <c:v>4.7515411912928585</c:v>
                  </c:pt>
                  <c:pt idx="18">
                    <c:v>4.746201120293847</c:v>
                  </c:pt>
                  <c:pt idx="19">
                    <c:v>4.7429970776946107</c:v>
                  </c:pt>
                  <c:pt idx="20">
                    <c:v>4.7419290634942968</c:v>
                  </c:pt>
                  <c:pt idx="21">
                    <c:v>4.7429970776946107</c:v>
                  </c:pt>
                  <c:pt idx="22">
                    <c:v>4.746201120293847</c:v>
                  </c:pt>
                  <c:pt idx="23">
                    <c:v>4.7515411912931427</c:v>
                  </c:pt>
                  <c:pt idx="24">
                    <c:v>4.7590172906919292</c:v>
                  </c:pt>
                  <c:pt idx="25">
                    <c:v>4.7686294184902067</c:v>
                  </c:pt>
                  <c:pt idx="26">
                    <c:v>4.7803775746882593</c:v>
                  </c:pt>
                  <c:pt idx="27">
                    <c:v>4.7942617592858028</c:v>
                  </c:pt>
                  <c:pt idx="28">
                    <c:v>4.8102819722834056</c:v>
                  </c:pt>
                  <c:pt idx="29">
                    <c:v>4.8284382136802151</c:v>
                  </c:pt>
                  <c:pt idx="30">
                    <c:v>4.8487304834765155</c:v>
                  </c:pt>
                  <c:pt idx="31">
                    <c:v>4.8711587816731594</c:v>
                  </c:pt>
                  <c:pt idx="32">
                    <c:v>4.89572310826901</c:v>
                  </c:pt>
                  <c:pt idx="33">
                    <c:v>4.9224234632643515</c:v>
                  </c:pt>
                  <c:pt idx="34">
                    <c:v>4.9512598466594682</c:v>
                  </c:pt>
                  <c:pt idx="35">
                    <c:v>4.9822322584546441</c:v>
                  </c:pt>
                  <c:pt idx="36">
                    <c:v>5.015340698649311</c:v>
                  </c:pt>
                  <c:pt idx="37">
                    <c:v>5.0505851672434687</c:v>
                  </c:pt>
                  <c:pt idx="38">
                    <c:v>5.0879656642371174</c:v>
                  </c:pt>
                  <c:pt idx="39">
                    <c:v>5.1274821896305411</c:v>
                  </c:pt>
                  <c:pt idx="40">
                    <c:v>5.1691347434234558</c:v>
                  </c:pt>
                </c:numCache>
              </c:numRef>
            </c:plus>
            <c:spPr>
              <a:ln w="38100">
                <a:solidFill>
                  <a:srgbClr val="E3B85C"/>
                </a:solidFill>
                <a:prstDash val="solid"/>
              </a:ln>
            </c:spPr>
          </c:errBars>
          <c:xVal>
            <c:numRef>
              <c:f>'Camber &amp; Haunch Method'!$Q$164:$Q$204</c:f>
              <c:numCache>
                <c:formatCode>0.0000</c:formatCode>
                <c:ptCount val="41"/>
                <c:pt idx="0">
                  <c:v>1593.47</c:v>
                </c:pt>
                <c:pt idx="1">
                  <c:v>1596.1443750000001</c:v>
                </c:pt>
                <c:pt idx="2">
                  <c:v>1598.8187499999999</c:v>
                </c:pt>
                <c:pt idx="3">
                  <c:v>1601.493125</c:v>
                </c:pt>
                <c:pt idx="4">
                  <c:v>1604.1675</c:v>
                </c:pt>
                <c:pt idx="5">
                  <c:v>1606.8418750000001</c:v>
                </c:pt>
                <c:pt idx="6">
                  <c:v>1609.5162500000001</c:v>
                </c:pt>
                <c:pt idx="7">
                  <c:v>1612.190625</c:v>
                </c:pt>
                <c:pt idx="8">
                  <c:v>1614.865</c:v>
                </c:pt>
                <c:pt idx="9">
                  <c:v>1617.5393750000001</c:v>
                </c:pt>
                <c:pt idx="10">
                  <c:v>1620.2137499999999</c:v>
                </c:pt>
                <c:pt idx="11">
                  <c:v>1622.8881249999999</c:v>
                </c:pt>
                <c:pt idx="12">
                  <c:v>1625.5625</c:v>
                </c:pt>
                <c:pt idx="13">
                  <c:v>1628.2368750000001</c:v>
                </c:pt>
                <c:pt idx="14">
                  <c:v>1630.9112500000001</c:v>
                </c:pt>
                <c:pt idx="15">
                  <c:v>1633.5856249999999</c:v>
                </c:pt>
                <c:pt idx="16">
                  <c:v>1636.26</c:v>
                </c:pt>
                <c:pt idx="17">
                  <c:v>1638.934375</c:v>
                </c:pt>
                <c:pt idx="18">
                  <c:v>1641.6087499999999</c:v>
                </c:pt>
                <c:pt idx="19">
                  <c:v>1644.2831249999999</c:v>
                </c:pt>
                <c:pt idx="20">
                  <c:v>1646.9575</c:v>
                </c:pt>
                <c:pt idx="21">
                  <c:v>1649.631875</c:v>
                </c:pt>
                <c:pt idx="22">
                  <c:v>1652.3062500000001</c:v>
                </c:pt>
                <c:pt idx="23">
                  <c:v>1654.9806249999999</c:v>
                </c:pt>
                <c:pt idx="24">
                  <c:v>1657.655</c:v>
                </c:pt>
                <c:pt idx="25">
                  <c:v>1660.329375</c:v>
                </c:pt>
                <c:pt idx="26">
                  <c:v>1663.0037499999999</c:v>
                </c:pt>
                <c:pt idx="27">
                  <c:v>1665.6781249999999</c:v>
                </c:pt>
                <c:pt idx="28">
                  <c:v>1668.3525</c:v>
                </c:pt>
                <c:pt idx="29">
                  <c:v>1671.026875</c:v>
                </c:pt>
                <c:pt idx="30">
                  <c:v>1673.7012500000001</c:v>
                </c:pt>
                <c:pt idx="31">
                  <c:v>1676.3756249999999</c:v>
                </c:pt>
                <c:pt idx="32">
                  <c:v>1679.05</c:v>
                </c:pt>
                <c:pt idx="33">
                  <c:v>1681.724375</c:v>
                </c:pt>
                <c:pt idx="34">
                  <c:v>1684.3987499999998</c:v>
                </c:pt>
                <c:pt idx="35">
                  <c:v>1687.0731249999999</c:v>
                </c:pt>
                <c:pt idx="36">
                  <c:v>1689.7474999999999</c:v>
                </c:pt>
                <c:pt idx="37">
                  <c:v>1692.421875</c:v>
                </c:pt>
                <c:pt idx="38">
                  <c:v>1695.0962500000001</c:v>
                </c:pt>
                <c:pt idx="39">
                  <c:v>1697.7706249999999</c:v>
                </c:pt>
                <c:pt idx="40">
                  <c:v>1700.4449999999999</c:v>
                </c:pt>
              </c:numCache>
            </c:numRef>
          </c:xVal>
          <c:yVal>
            <c:numRef>
              <c:f>'Camber &amp; Haunch Method'!$R$164:$R$204</c:f>
              <c:numCache>
                <c:formatCode>0.0000</c:formatCode>
                <c:ptCount val="41"/>
                <c:pt idx="0">
                  <c:v>-1.1896533240474128E-2</c:v>
                </c:pt>
                <c:pt idx="1">
                  <c:v>2.9756020552724749E-2</c:v>
                </c:pt>
                <c:pt idx="2">
                  <c:v>6.9272545946148512E-2</c:v>
                </c:pt>
                <c:pt idx="3">
                  <c:v>0.10665304293979716</c:v>
                </c:pt>
                <c:pt idx="4">
                  <c:v>0.14189751153395491</c:v>
                </c:pt>
                <c:pt idx="5">
                  <c:v>0.17500595172862177</c:v>
                </c:pt>
                <c:pt idx="6">
                  <c:v>0.20597836352351351</c:v>
                </c:pt>
                <c:pt idx="7">
                  <c:v>0.23481474691863014</c:v>
                </c:pt>
                <c:pt idx="8">
                  <c:v>0.26151510191425587</c:v>
                </c:pt>
                <c:pt idx="9">
                  <c:v>0.28607942851010648</c:v>
                </c:pt>
                <c:pt idx="10">
                  <c:v>0.3085077267064662</c:v>
                </c:pt>
                <c:pt idx="11">
                  <c:v>0.32879999650305081</c:v>
                </c:pt>
                <c:pt idx="12">
                  <c:v>0.3469562378998603</c:v>
                </c:pt>
                <c:pt idx="13">
                  <c:v>0.36297645089717889</c:v>
                </c:pt>
                <c:pt idx="14">
                  <c:v>0.37686063549500659</c:v>
                </c:pt>
                <c:pt idx="15">
                  <c:v>0.38860879169305917</c:v>
                </c:pt>
                <c:pt idx="16">
                  <c:v>0.39822091949133664</c:v>
                </c:pt>
                <c:pt idx="17">
                  <c:v>0.40569701889012322</c:v>
                </c:pt>
                <c:pt idx="18">
                  <c:v>0.41103708988941889</c:v>
                </c:pt>
                <c:pt idx="19">
                  <c:v>0.41424113248865524</c:v>
                </c:pt>
                <c:pt idx="20">
                  <c:v>0.4153091466886849</c:v>
                </c:pt>
                <c:pt idx="21">
                  <c:v>0.41424113248865524</c:v>
                </c:pt>
                <c:pt idx="22">
                  <c:v>0.41103708988941889</c:v>
                </c:pt>
                <c:pt idx="23">
                  <c:v>0.40569701889012322</c:v>
                </c:pt>
                <c:pt idx="24">
                  <c:v>0.39822091949133664</c:v>
                </c:pt>
                <c:pt idx="25">
                  <c:v>0.38860879169305917</c:v>
                </c:pt>
                <c:pt idx="26">
                  <c:v>0.37686063549500659</c:v>
                </c:pt>
                <c:pt idx="27">
                  <c:v>0.36297645089717889</c:v>
                </c:pt>
                <c:pt idx="28">
                  <c:v>0.3469562378998603</c:v>
                </c:pt>
                <c:pt idx="29">
                  <c:v>0.32879999650305081</c:v>
                </c:pt>
                <c:pt idx="30">
                  <c:v>0.3085077267064662</c:v>
                </c:pt>
                <c:pt idx="31">
                  <c:v>0.28607942851010648</c:v>
                </c:pt>
                <c:pt idx="32">
                  <c:v>0.26151510191425587</c:v>
                </c:pt>
                <c:pt idx="33">
                  <c:v>0.23481474691863014</c:v>
                </c:pt>
                <c:pt idx="34">
                  <c:v>0.20597836352351351</c:v>
                </c:pt>
                <c:pt idx="35">
                  <c:v>0.17500595172862177</c:v>
                </c:pt>
                <c:pt idx="36">
                  <c:v>0.14189751153395491</c:v>
                </c:pt>
                <c:pt idx="37">
                  <c:v>0.10665304293979716</c:v>
                </c:pt>
                <c:pt idx="38">
                  <c:v>6.9272545946148512E-2</c:v>
                </c:pt>
                <c:pt idx="39">
                  <c:v>2.9756020552724749E-2</c:v>
                </c:pt>
                <c:pt idx="40">
                  <c:v>-1.1896533240474128E-2</c:v>
                </c:pt>
              </c:numCache>
            </c:numRef>
          </c:yVal>
          <c:smooth val="0"/>
          <c:extLst>
            <c:ext xmlns:c16="http://schemas.microsoft.com/office/drawing/2014/chart" uri="{C3380CC4-5D6E-409C-BE32-E72D297353CC}">
              <c16:uniqueId val="{00000001-3A2D-49B0-A8C7-2D3B4EFD7F8E}"/>
            </c:ext>
          </c:extLst>
        </c:ser>
        <c:ser>
          <c:idx val="2"/>
          <c:order val="2"/>
          <c:tx>
            <c:strRef>
              <c:f>'Camber &amp; Haunch Method'!$P$206</c:f>
              <c:strCache>
                <c:ptCount val="1"/>
                <c:pt idx="0">
                  <c:v>Beam top with zero camber</c:v>
                </c:pt>
              </c:strCache>
            </c:strRef>
          </c:tx>
          <c:spPr>
            <a:ln w="12700">
              <a:solidFill>
                <a:srgbClr val="8A96A3"/>
              </a:solidFill>
              <a:prstDash val="dash"/>
            </a:ln>
          </c:spPr>
          <c:marker>
            <c:symbol val="none"/>
          </c:marker>
          <c:xVal>
            <c:numRef>
              <c:f>'Camber &amp; Haunch Method'!$Q$206:$Q$207</c:f>
              <c:numCache>
                <c:formatCode>0.0000</c:formatCode>
                <c:ptCount val="2"/>
                <c:pt idx="0">
                  <c:v>1593.47</c:v>
                </c:pt>
                <c:pt idx="1">
                  <c:v>1700.4449999999999</c:v>
                </c:pt>
              </c:numCache>
            </c:numRef>
          </c:xVal>
          <c:yVal>
            <c:numRef>
              <c:f>'Camber &amp; Haunch Method'!$R$206:$R$207</c:f>
              <c:numCache>
                <c:formatCode>0.0000</c:formatCode>
                <c:ptCount val="2"/>
                <c:pt idx="0">
                  <c:v>0</c:v>
                </c:pt>
                <c:pt idx="1">
                  <c:v>0</c:v>
                </c:pt>
              </c:numCache>
            </c:numRef>
          </c:yVal>
          <c:smooth val="0"/>
          <c:extLst>
            <c:ext xmlns:c16="http://schemas.microsoft.com/office/drawing/2014/chart" uri="{C3380CC4-5D6E-409C-BE32-E72D297353CC}">
              <c16:uniqueId val="{00000002-3A2D-49B0-A8C7-2D3B4EFD7F8E}"/>
            </c:ext>
          </c:extLst>
        </c:ser>
        <c:ser>
          <c:idx val="3"/>
          <c:order val="3"/>
          <c:tx>
            <c:strRef>
              <c:f>'Camber &amp; Haunch Method'!$P$209</c:f>
              <c:strCache>
                <c:ptCount val="1"/>
                <c:pt idx="0">
                  <c:v>deck soffit over CL beam 1</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Method'!$Q$209</c:f>
              <c:numCache>
                <c:formatCode>0.0000</c:formatCode>
                <c:ptCount val="1"/>
                <c:pt idx="0">
                  <c:v>1620.2137499999999</c:v>
                </c:pt>
              </c:numCache>
            </c:numRef>
          </c:xVal>
          <c:yVal>
            <c:numRef>
              <c:f>'Camber &amp; Haunch Method'!$R$209</c:f>
              <c:numCache>
                <c:formatCode>0.0000</c:formatCode>
                <c:ptCount val="1"/>
                <c:pt idx="0">
                  <c:v>5.1572382101832659</c:v>
                </c:pt>
              </c:numCache>
            </c:numRef>
          </c:yVal>
          <c:smooth val="0"/>
          <c:extLst>
            <c:ext xmlns:c16="http://schemas.microsoft.com/office/drawing/2014/chart" uri="{C3380CC4-5D6E-409C-BE32-E72D297353CC}">
              <c16:uniqueId val="{00000003-3A2D-49B0-A8C7-2D3B4EFD7F8E}"/>
            </c:ext>
          </c:extLst>
        </c:ser>
        <c:ser>
          <c:idx val="4"/>
          <c:order val="4"/>
          <c:tx>
            <c:strRef>
              <c:f>'Camber &amp; Haunch Method'!$P$211</c:f>
              <c:strCache>
                <c:ptCount val="1"/>
                <c:pt idx="0">
                  <c:v>cambered beam top, C = 0.125 in</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Method'!$Q$211</c:f>
              <c:numCache>
                <c:formatCode>0.0000</c:formatCode>
                <c:ptCount val="1"/>
                <c:pt idx="0">
                  <c:v>1633.5856249999999</c:v>
                </c:pt>
              </c:numCache>
            </c:numRef>
          </c:xVal>
          <c:yVal>
            <c:numRef>
              <c:f>'Camber &amp; Haunch Method'!$R$211</c:f>
              <c:numCache>
                <c:formatCode>0.0000</c:formatCode>
                <c:ptCount val="1"/>
                <c:pt idx="0">
                  <c:v>0.38860879169305917</c:v>
                </c:pt>
              </c:numCache>
            </c:numRef>
          </c:yVal>
          <c:smooth val="0"/>
          <c:extLst>
            <c:ext xmlns:c16="http://schemas.microsoft.com/office/drawing/2014/chart" uri="{C3380CC4-5D6E-409C-BE32-E72D297353CC}">
              <c16:uniqueId val="{00000004-3A2D-49B0-A8C7-2D3B4EFD7F8E}"/>
            </c:ext>
          </c:extLst>
        </c:ser>
        <c:ser>
          <c:idx val="5"/>
          <c:order val="5"/>
          <c:tx>
            <c:strRef>
              <c:f>'Camber &amp; Haunch Method'!$P$213</c:f>
              <c:strCache>
                <c:ptCount val="1"/>
                <c:pt idx="0">
                  <c:v>beam top with zero camber (chord less D)</c:v>
                </c:pt>
              </c:strCache>
            </c:strRef>
          </c:tx>
          <c:spPr>
            <a:ln>
              <a:noFill/>
              <a:prstDash val="solid"/>
            </a:ln>
          </c:spPr>
          <c:marker>
            <c:symbol val="none"/>
          </c:marker>
          <c:dLbls>
            <c:spPr>
              <a:noFill/>
              <a:ln>
                <a:noFill/>
              </a:ln>
              <a:effectLst/>
            </c:spPr>
            <c:txPr>
              <a:bodyPr/>
              <a:lstStyle/>
              <a:p>
                <a:pPr>
                  <a:defRPr sz="750" b="0">
                    <a:solidFill>
                      <a:srgbClr val="8A96A3"/>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Method'!$Q$213</c:f>
              <c:numCache>
                <c:formatCode>0.0000</c:formatCode>
                <c:ptCount val="1"/>
                <c:pt idx="0">
                  <c:v>1673.7012500000001</c:v>
                </c:pt>
              </c:numCache>
            </c:numRef>
          </c:xVal>
          <c:yVal>
            <c:numRef>
              <c:f>'Camber &amp; Haunch Method'!$R$213</c:f>
              <c:numCache>
                <c:formatCode>0.0000</c:formatCode>
                <c:ptCount val="1"/>
                <c:pt idx="0">
                  <c:v>0</c:v>
                </c:pt>
              </c:numCache>
            </c:numRef>
          </c:yVal>
          <c:smooth val="0"/>
          <c:extLst>
            <c:ext xmlns:c16="http://schemas.microsoft.com/office/drawing/2014/chart" uri="{C3380CC4-5D6E-409C-BE32-E72D297353CC}">
              <c16:uniqueId val="{00000005-3A2D-49B0-A8C7-2D3B4EFD7F8E}"/>
            </c:ext>
          </c:extLst>
        </c:ser>
        <c:ser>
          <c:idx val="6"/>
          <c:order val="6"/>
          <c:tx>
            <c:strRef>
              <c:f>'Camber &amp; Haunch Method'!$P$215</c:f>
              <c:strCache>
                <c:ptCount val="1"/>
                <c:pt idx="0">
                  <c:v>Dim B arrow</c:v>
                </c:pt>
              </c:strCache>
            </c:strRef>
          </c:tx>
          <c:spPr>
            <a:ln w="11430">
              <a:solidFill>
                <a:srgbClr val="C0392B"/>
              </a:solidFill>
              <a:prstDash val="solid"/>
              <a:headEnd type="triangle" w="sm" len="sm"/>
              <a:tailEnd type="triangle" w="sm" len="sm"/>
            </a:ln>
          </c:spPr>
          <c:marker>
            <c:symbol val="none"/>
          </c:marker>
          <c:xVal>
            <c:numRef>
              <c:f>'Camber &amp; Haunch Method'!$Q$215:$Q$216</c:f>
              <c:numCache>
                <c:formatCode>0.0000</c:formatCode>
                <c:ptCount val="2"/>
                <c:pt idx="0">
                  <c:v>1594.22</c:v>
                </c:pt>
                <c:pt idx="1">
                  <c:v>1594.22</c:v>
                </c:pt>
              </c:numCache>
            </c:numRef>
          </c:xVal>
          <c:yVal>
            <c:numRef>
              <c:f>'Camber &amp; Haunch Method'!$R$215:$R$216</c:f>
              <c:numCache>
                <c:formatCode>0.0000</c:formatCode>
                <c:ptCount val="2"/>
                <c:pt idx="0">
                  <c:v>0</c:v>
                </c:pt>
                <c:pt idx="1">
                  <c:v>5.1572382101832659</c:v>
                </c:pt>
              </c:numCache>
            </c:numRef>
          </c:yVal>
          <c:smooth val="0"/>
          <c:extLst>
            <c:ext xmlns:c16="http://schemas.microsoft.com/office/drawing/2014/chart" uri="{C3380CC4-5D6E-409C-BE32-E72D297353CC}">
              <c16:uniqueId val="{00000006-3A2D-49B0-A8C7-2D3B4EFD7F8E}"/>
            </c:ext>
          </c:extLst>
        </c:ser>
        <c:ser>
          <c:idx val="7"/>
          <c:order val="7"/>
          <c:tx>
            <c:strRef>
              <c:f>'Camber &amp; Haunch Method'!$P$218</c:f>
              <c:strCache>
                <c:ptCount val="1"/>
                <c:pt idx="0">
                  <c:v>Dim B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Method'!$Q$218</c:f>
              <c:numCache>
                <c:formatCode>0.0000</c:formatCode>
                <c:ptCount val="1"/>
                <c:pt idx="0">
                  <c:v>1594.22</c:v>
                </c:pt>
              </c:numCache>
            </c:numRef>
          </c:xVal>
          <c:yVal>
            <c:numRef>
              <c:f>'Camber &amp; Haunch Method'!$R$218</c:f>
              <c:numCache>
                <c:formatCode>0.0000</c:formatCode>
                <c:ptCount val="1"/>
                <c:pt idx="0">
                  <c:v>5.1572382101832659</c:v>
                </c:pt>
              </c:numCache>
            </c:numRef>
          </c:yVal>
          <c:smooth val="0"/>
          <c:extLst>
            <c:ext xmlns:c16="http://schemas.microsoft.com/office/drawing/2014/chart" uri="{C3380CC4-5D6E-409C-BE32-E72D297353CC}">
              <c16:uniqueId val="{00000007-3A2D-49B0-A8C7-2D3B4EFD7F8E}"/>
            </c:ext>
          </c:extLst>
        </c:ser>
        <c:ser>
          <c:idx val="8"/>
          <c:order val="8"/>
          <c:tx>
            <c:strRef>
              <c:f>'Camber &amp; Haunch Method'!$P$220</c:f>
              <c:strCache>
                <c:ptCount val="1"/>
                <c:pt idx="0">
                  <c:v>Dim C arrow</c:v>
                </c:pt>
              </c:strCache>
            </c:strRef>
          </c:tx>
          <c:spPr>
            <a:ln w="11430">
              <a:solidFill>
                <a:srgbClr val="C0392B"/>
              </a:solidFill>
              <a:prstDash val="solid"/>
              <a:headEnd type="triangle" w="sm" len="sm"/>
              <a:tailEnd type="triangle" w="sm" len="sm"/>
            </a:ln>
          </c:spPr>
          <c:marker>
            <c:symbol val="none"/>
          </c:marker>
          <c:xVal>
            <c:numRef>
              <c:f>'Camber &amp; Haunch Method'!$Q$220:$Q$221</c:f>
              <c:numCache>
                <c:formatCode>0.0000</c:formatCode>
                <c:ptCount val="2"/>
                <c:pt idx="0">
                  <c:v>1646.9575</c:v>
                </c:pt>
                <c:pt idx="1">
                  <c:v>1646.9575</c:v>
                </c:pt>
              </c:numCache>
            </c:numRef>
          </c:xVal>
          <c:yVal>
            <c:numRef>
              <c:f>'Camber &amp; Haunch Method'!$R$220:$R$221</c:f>
              <c:numCache>
                <c:formatCode>0.0000</c:formatCode>
                <c:ptCount val="2"/>
                <c:pt idx="0">
                  <c:v>0.4153091466886849</c:v>
                </c:pt>
                <c:pt idx="1">
                  <c:v>5.1572382101829817</c:v>
                </c:pt>
              </c:numCache>
            </c:numRef>
          </c:yVal>
          <c:smooth val="0"/>
          <c:extLst>
            <c:ext xmlns:c16="http://schemas.microsoft.com/office/drawing/2014/chart" uri="{C3380CC4-5D6E-409C-BE32-E72D297353CC}">
              <c16:uniqueId val="{00000008-3A2D-49B0-A8C7-2D3B4EFD7F8E}"/>
            </c:ext>
          </c:extLst>
        </c:ser>
        <c:ser>
          <c:idx val="9"/>
          <c:order val="9"/>
          <c:tx>
            <c:strRef>
              <c:f>'Camber &amp; Haunch Method'!$P$223</c:f>
              <c:strCache>
                <c:ptCount val="1"/>
                <c:pt idx="0">
                  <c:v>Dim C
1.423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Method'!$Q$223</c:f>
              <c:numCache>
                <c:formatCode>0.0000</c:formatCode>
                <c:ptCount val="1"/>
                <c:pt idx="0">
                  <c:v>1646.9575</c:v>
                </c:pt>
              </c:numCache>
            </c:numRef>
          </c:xVal>
          <c:yVal>
            <c:numRef>
              <c:f>'Camber &amp; Haunch Method'!$R$223</c:f>
              <c:numCache>
                <c:formatCode>0.0000</c:formatCode>
                <c:ptCount val="1"/>
                <c:pt idx="0">
                  <c:v>5.1572382101829817</c:v>
                </c:pt>
              </c:numCache>
            </c:numRef>
          </c:yVal>
          <c:smooth val="0"/>
          <c:extLst>
            <c:ext xmlns:c16="http://schemas.microsoft.com/office/drawing/2014/chart" uri="{C3380CC4-5D6E-409C-BE32-E72D297353CC}">
              <c16:uniqueId val="{00000009-3A2D-49B0-A8C7-2D3B4EFD7F8E}"/>
            </c:ext>
          </c:extLst>
        </c:ser>
        <c:ser>
          <c:idx val="10"/>
          <c:order val="10"/>
          <c:tx>
            <c:strRef>
              <c:f>'Camber &amp; Haunch Method'!$P$225</c:f>
              <c:strCache>
                <c:ptCount val="1"/>
                <c:pt idx="0">
                  <c:v>Dim D arrow</c:v>
                </c:pt>
              </c:strCache>
            </c:strRef>
          </c:tx>
          <c:spPr>
            <a:ln w="11430">
              <a:solidFill>
                <a:srgbClr val="C0392B"/>
              </a:solidFill>
              <a:prstDash val="solid"/>
              <a:headEnd type="triangle" w="sm" len="sm"/>
              <a:tailEnd type="triangle" w="sm" len="sm"/>
            </a:ln>
          </c:spPr>
          <c:marker>
            <c:symbol val="none"/>
          </c:marker>
          <c:xVal>
            <c:numRef>
              <c:f>'Camber &amp; Haunch Method'!$Q$225:$Q$226</c:f>
              <c:numCache>
                <c:formatCode>0.0000</c:formatCode>
                <c:ptCount val="2"/>
                <c:pt idx="0">
                  <c:v>1699.6949999999999</c:v>
                </c:pt>
                <c:pt idx="1">
                  <c:v>1699.6949999999999</c:v>
                </c:pt>
              </c:numCache>
            </c:numRef>
          </c:xVal>
          <c:yVal>
            <c:numRef>
              <c:f>'Camber &amp; Haunch Method'!$R$225:$R$226</c:f>
              <c:numCache>
                <c:formatCode>0.0000</c:formatCode>
                <c:ptCount val="2"/>
                <c:pt idx="0">
                  <c:v>0</c:v>
                </c:pt>
                <c:pt idx="1">
                  <c:v>5.1572382101832659</c:v>
                </c:pt>
              </c:numCache>
            </c:numRef>
          </c:yVal>
          <c:smooth val="0"/>
          <c:extLst>
            <c:ext xmlns:c16="http://schemas.microsoft.com/office/drawing/2014/chart" uri="{C3380CC4-5D6E-409C-BE32-E72D297353CC}">
              <c16:uniqueId val="{0000000A-3A2D-49B0-A8C7-2D3B4EFD7F8E}"/>
            </c:ext>
          </c:extLst>
        </c:ser>
        <c:ser>
          <c:idx val="11"/>
          <c:order val="11"/>
          <c:tx>
            <c:strRef>
              <c:f>'Camber &amp; Haunch Method'!$P$228</c:f>
              <c:strCache>
                <c:ptCount val="1"/>
                <c:pt idx="0">
                  <c:v>Dim D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'Camber &amp; Haunch Method'!$Q$228</c:f>
              <c:numCache>
                <c:formatCode>0.0000</c:formatCode>
                <c:ptCount val="1"/>
                <c:pt idx="0">
                  <c:v>1699.6949999999999</c:v>
                </c:pt>
              </c:numCache>
            </c:numRef>
          </c:xVal>
          <c:yVal>
            <c:numRef>
              <c:f>'Camber &amp; Haunch Method'!$R$228</c:f>
              <c:numCache>
                <c:formatCode>0.0000</c:formatCode>
                <c:ptCount val="1"/>
                <c:pt idx="0">
                  <c:v>5.1572382101832659</c:v>
                </c:pt>
              </c:numCache>
            </c:numRef>
          </c:yVal>
          <c:smooth val="0"/>
          <c:extLst>
            <c:ext xmlns:c16="http://schemas.microsoft.com/office/drawing/2014/chart" uri="{C3380CC4-5D6E-409C-BE32-E72D297353CC}">
              <c16:uniqueId val="{0000000B-3A2D-49B0-A8C7-2D3B4EFD7F8E}"/>
            </c:ext>
          </c:extLst>
        </c:ser>
        <c:ser>
          <c:idx val="12"/>
          <c:order val="12"/>
          <c:tx>
            <c:strRef>
              <c:f>'Camber &amp; Haunch Method'!$P$230</c:f>
              <c:strCache>
                <c:ptCount val="1"/>
                <c:pt idx="0">
                  <c:v>frame (invisible, sets the chart window)</c:v>
                </c:pt>
              </c:strCache>
            </c:strRef>
          </c:tx>
          <c:spPr>
            <a:ln>
              <a:noFill/>
              <a:prstDash val="solid"/>
            </a:ln>
          </c:spPr>
          <c:marker>
            <c:symbol val="none"/>
          </c:marker>
          <c:xVal>
            <c:numRef>
              <c:f>'Camber &amp; Haunch Method'!$Q$230:$Q$231</c:f>
              <c:numCache>
                <c:formatCode>0.0000</c:formatCode>
                <c:ptCount val="2"/>
                <c:pt idx="0">
                  <c:v>1591.47</c:v>
                </c:pt>
                <c:pt idx="1">
                  <c:v>1702.4449999999999</c:v>
                </c:pt>
              </c:numCache>
            </c:numRef>
          </c:xVal>
          <c:yVal>
            <c:numRef>
              <c:f>'Camber &amp; Haunch Method'!$R$230:$R$231</c:f>
              <c:numCache>
                <c:formatCode>0.0000</c:formatCode>
                <c:ptCount val="2"/>
                <c:pt idx="0">
                  <c:v>-1.5</c:v>
                </c:pt>
                <c:pt idx="1">
                  <c:v>7.6572382101832659</c:v>
                </c:pt>
              </c:numCache>
            </c:numRef>
          </c:yVal>
          <c:smooth val="0"/>
          <c:extLst>
            <c:ext xmlns:c16="http://schemas.microsoft.com/office/drawing/2014/chart" uri="{C3380CC4-5D6E-409C-BE32-E72D297353CC}">
              <c16:uniqueId val="{0000000C-3A2D-49B0-A8C7-2D3B4EFD7F8E}"/>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'FGE Method'!$P$8</c:f>
              <c:strCache>
                <c:ptCount val="1"/>
                <c:pt idx="0">
                  <c:v>Station lines</c:v>
                </c:pt>
              </c:strCache>
            </c:strRef>
          </c:tx>
          <c:spPr>
            <a:ln w="6350">
              <a:solidFill>
                <a:srgbClr val="8A96A3"/>
              </a:solidFill>
              <a:prstDash val="solid"/>
            </a:ln>
          </c:spPr>
          <c:marker>
            <c:symbol val="none"/>
          </c:marker>
          <c:xVal>
            <c:numRef>
              <c:f>'FGE Method'!$Q$8:$Q$45</c:f>
              <c:numCache>
                <c:formatCode>0.0000</c:formatCode>
                <c:ptCount val="38"/>
                <c:pt idx="0">
                  <c:v>1593.22</c:v>
                </c:pt>
                <c:pt idx="1">
                  <c:v>1593.22</c:v>
                </c:pt>
                <c:pt idx="3">
                  <c:v>1594.22</c:v>
                </c:pt>
                <c:pt idx="4">
                  <c:v>1594.22</c:v>
                </c:pt>
                <c:pt idx="6">
                  <c:v>1604.7674999999999</c:v>
                </c:pt>
                <c:pt idx="7">
                  <c:v>1604.7674999999999</c:v>
                </c:pt>
                <c:pt idx="9">
                  <c:v>1615.3150000000001</c:v>
                </c:pt>
                <c:pt idx="10">
                  <c:v>1615.3150000000001</c:v>
                </c:pt>
                <c:pt idx="12">
                  <c:v>1625.8625</c:v>
                </c:pt>
                <c:pt idx="13">
                  <c:v>1625.8625</c:v>
                </c:pt>
                <c:pt idx="15">
                  <c:v>1636.41</c:v>
                </c:pt>
                <c:pt idx="16">
                  <c:v>1636.41</c:v>
                </c:pt>
                <c:pt idx="18">
                  <c:v>1646.9575</c:v>
                </c:pt>
                <c:pt idx="19">
                  <c:v>1646.9575</c:v>
                </c:pt>
                <c:pt idx="21">
                  <c:v>1657.5049999999999</c:v>
                </c:pt>
                <c:pt idx="22">
                  <c:v>1657.5049999999999</c:v>
                </c:pt>
                <c:pt idx="24">
                  <c:v>1668.0525</c:v>
                </c:pt>
                <c:pt idx="25">
                  <c:v>1668.0525</c:v>
                </c:pt>
                <c:pt idx="27">
                  <c:v>1678.6</c:v>
                </c:pt>
                <c:pt idx="28">
                  <c:v>1678.6</c:v>
                </c:pt>
                <c:pt idx="30">
                  <c:v>1689.1475</c:v>
                </c:pt>
                <c:pt idx="31">
                  <c:v>1689.1475</c:v>
                </c:pt>
                <c:pt idx="33">
                  <c:v>1699.6949999999999</c:v>
                </c:pt>
                <c:pt idx="34">
                  <c:v>1699.6949999999999</c:v>
                </c:pt>
                <c:pt idx="36">
                  <c:v>1700.57</c:v>
                </c:pt>
                <c:pt idx="37">
                  <c:v>1700.57</c:v>
                </c:pt>
              </c:numCache>
            </c:numRef>
          </c:xVal>
          <c:yVal>
            <c:numRef>
              <c:f>'FGE Method'!$R$8:$R$45</c:f>
              <c:numCache>
                <c:formatCode>0.0000</c:formatCode>
                <c:ptCount val="38"/>
                <c:pt idx="0">
                  <c:v>-6.7916666666666652</c:v>
                </c:pt>
                <c:pt idx="1">
                  <c:v>6.7916666666666652</c:v>
                </c:pt>
                <c:pt idx="3">
                  <c:v>-6.7916666666666652</c:v>
                </c:pt>
                <c:pt idx="4">
                  <c:v>6.7916666666666652</c:v>
                </c:pt>
                <c:pt idx="6">
                  <c:v>-6.7916666666666652</c:v>
                </c:pt>
                <c:pt idx="7">
                  <c:v>6.7916666666666652</c:v>
                </c:pt>
                <c:pt idx="9">
                  <c:v>-6.7916666666666652</c:v>
                </c:pt>
                <c:pt idx="10">
                  <c:v>6.7916666666666652</c:v>
                </c:pt>
                <c:pt idx="12">
                  <c:v>-6.7916666666666652</c:v>
                </c:pt>
                <c:pt idx="13">
                  <c:v>6.7916666666666652</c:v>
                </c:pt>
                <c:pt idx="15">
                  <c:v>-6.7916666666666652</c:v>
                </c:pt>
                <c:pt idx="16">
                  <c:v>6.7916666666666652</c:v>
                </c:pt>
                <c:pt idx="18">
                  <c:v>-6.7916666666666652</c:v>
                </c:pt>
                <c:pt idx="19">
                  <c:v>6.7916666666666652</c:v>
                </c:pt>
                <c:pt idx="21">
                  <c:v>-6.7916666666666652</c:v>
                </c:pt>
                <c:pt idx="22">
                  <c:v>6.7916666666666652</c:v>
                </c:pt>
                <c:pt idx="24">
                  <c:v>-6.7916666666666652</c:v>
                </c:pt>
                <c:pt idx="25">
                  <c:v>6.7916666666666652</c:v>
                </c:pt>
                <c:pt idx="27">
                  <c:v>-6.7916666666666652</c:v>
                </c:pt>
                <c:pt idx="28">
                  <c:v>6.7916666666666652</c:v>
                </c:pt>
                <c:pt idx="30">
                  <c:v>-6.7916666666666652</c:v>
                </c:pt>
                <c:pt idx="31">
                  <c:v>6.7916666666666652</c:v>
                </c:pt>
                <c:pt idx="33">
                  <c:v>-6.7916666666666652</c:v>
                </c:pt>
                <c:pt idx="34">
                  <c:v>6.7916666666666652</c:v>
                </c:pt>
                <c:pt idx="36">
                  <c:v>-6.7916666666666652</c:v>
                </c:pt>
                <c:pt idx="37">
                  <c:v>6.7916666666666652</c:v>
                </c:pt>
              </c:numCache>
            </c:numRef>
          </c:yVal>
          <c:smooth val="0"/>
          <c:extLst>
            <c:ext xmlns:c16="http://schemas.microsoft.com/office/drawing/2014/chart" uri="{C3380CC4-5D6E-409C-BE32-E72D297353CC}">
              <c16:uniqueId val="{00000000-65C3-4DF8-9B2B-5D468060F4B5}"/>
            </c:ext>
          </c:extLst>
        </c:ser>
        <c:ser>
          <c:idx val="1"/>
          <c:order val="1"/>
          <c:tx>
            <c:strRef>
              <c:f>'FGE Method'!$P$47</c:f>
              <c:strCache>
                <c:ptCount val="1"/>
                <c:pt idx="0">
                  <c:v>Left coping (deck edge)</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'FGE Method'!$Q$47:$Q$59</c:f>
              <c:numCache>
                <c:formatCode>0.0000</c:formatCode>
                <c:ptCount val="13"/>
                <c:pt idx="0">
                  <c:v>1593.22</c:v>
                </c:pt>
                <c:pt idx="1">
                  <c:v>1594.22</c:v>
                </c:pt>
                <c:pt idx="2">
                  <c:v>1604.7674999999999</c:v>
                </c:pt>
                <c:pt idx="3">
                  <c:v>1615.3150000000001</c:v>
                </c:pt>
                <c:pt idx="4">
                  <c:v>1625.8625</c:v>
                </c:pt>
                <c:pt idx="5">
                  <c:v>1636.41</c:v>
                </c:pt>
                <c:pt idx="6">
                  <c:v>1646.9575</c:v>
                </c:pt>
                <c:pt idx="7">
                  <c:v>1657.5049999999999</c:v>
                </c:pt>
                <c:pt idx="8">
                  <c:v>1668.0525</c:v>
                </c:pt>
                <c:pt idx="9">
                  <c:v>1678.6</c:v>
                </c:pt>
                <c:pt idx="10">
                  <c:v>1689.1475</c:v>
                </c:pt>
                <c:pt idx="11">
                  <c:v>1699.6949999999999</c:v>
                </c:pt>
                <c:pt idx="12">
                  <c:v>1700.57</c:v>
                </c:pt>
              </c:numCache>
            </c:numRef>
          </c:xVal>
          <c:yVal>
            <c:numRef>
              <c:f>'FGE Method'!$R$47:$R$59</c:f>
              <c:numCache>
                <c:formatCode>0.0000</c:formatCode>
                <c:ptCount val="13"/>
                <c:pt idx="0">
                  <c:v>-6.7916666666666652</c:v>
                </c:pt>
                <c:pt idx="1">
                  <c:v>-6.7916666666666652</c:v>
                </c:pt>
                <c:pt idx="2">
                  <c:v>-6.7916666666666652</c:v>
                </c:pt>
                <c:pt idx="3">
                  <c:v>-6.7916666666666652</c:v>
                </c:pt>
                <c:pt idx="4">
                  <c:v>-6.7916666666666652</c:v>
                </c:pt>
                <c:pt idx="5">
                  <c:v>-6.7916666666666652</c:v>
                </c:pt>
                <c:pt idx="6">
                  <c:v>-6.7916666666666652</c:v>
                </c:pt>
                <c:pt idx="7">
                  <c:v>-6.7916666666666652</c:v>
                </c:pt>
                <c:pt idx="8">
                  <c:v>-6.7916666666666652</c:v>
                </c:pt>
                <c:pt idx="9">
                  <c:v>-6.7916666666666652</c:v>
                </c:pt>
                <c:pt idx="10">
                  <c:v>-6.7916666666666652</c:v>
                </c:pt>
                <c:pt idx="11">
                  <c:v>-6.7916666666666652</c:v>
                </c:pt>
                <c:pt idx="12">
                  <c:v>-6.7916666666666652</c:v>
                </c:pt>
              </c:numCache>
            </c:numRef>
          </c:yVal>
          <c:smooth val="0"/>
          <c:extLst>
            <c:ext xmlns:c16="http://schemas.microsoft.com/office/drawing/2014/chart" uri="{C3380CC4-5D6E-409C-BE32-E72D297353CC}">
              <c16:uniqueId val="{00000001-65C3-4DF8-9B2B-5D468060F4B5}"/>
            </c:ext>
          </c:extLst>
        </c:ser>
        <c:ser>
          <c:idx val="2"/>
          <c:order val="2"/>
          <c:tx>
            <c:strRef>
              <c:f>'FGE Method'!$P$61</c:f>
              <c:strCache>
                <c:ptCount val="1"/>
                <c:pt idx="0">
                  <c:v>Left coping (deck edge)</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Method'!$Q$61</c:f>
              <c:numCache>
                <c:formatCode>0.0000</c:formatCode>
                <c:ptCount val="1"/>
                <c:pt idx="0">
                  <c:v>1591.72</c:v>
                </c:pt>
              </c:numCache>
            </c:numRef>
          </c:xVal>
          <c:yVal>
            <c:numRef>
              <c:f>'FGE Method'!$R$61</c:f>
              <c:numCache>
                <c:formatCode>0.0000</c:formatCode>
                <c:ptCount val="1"/>
                <c:pt idx="0">
                  <c:v>-6.7916666666666652</c:v>
                </c:pt>
              </c:numCache>
            </c:numRef>
          </c:yVal>
          <c:smooth val="0"/>
          <c:extLst>
            <c:ext xmlns:c16="http://schemas.microsoft.com/office/drawing/2014/chart" uri="{C3380CC4-5D6E-409C-BE32-E72D297353CC}">
              <c16:uniqueId val="{00000002-65C3-4DF8-9B2B-5D468060F4B5}"/>
            </c:ext>
          </c:extLst>
        </c:ser>
        <c:ser>
          <c:idx val="3"/>
          <c:order val="3"/>
          <c:tx>
            <c:strRef>
              <c:f>'FGE Method'!$P$63</c:f>
              <c:strCache>
                <c:ptCount val="1"/>
                <c:pt idx="0">
                  <c:v>CL Beam 1-1</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'FGE Method'!$Q$63:$Q$75</c:f>
              <c:numCache>
                <c:formatCode>0.0000</c:formatCode>
                <c:ptCount val="13"/>
                <c:pt idx="0">
                  <c:v>1593.22</c:v>
                </c:pt>
                <c:pt idx="1">
                  <c:v>1594.22</c:v>
                </c:pt>
                <c:pt idx="2">
                  <c:v>1604.7674999999999</c:v>
                </c:pt>
                <c:pt idx="3">
                  <c:v>1615.3150000000001</c:v>
                </c:pt>
                <c:pt idx="4">
                  <c:v>1625.8625</c:v>
                </c:pt>
                <c:pt idx="5">
                  <c:v>1636.41</c:v>
                </c:pt>
                <c:pt idx="6">
                  <c:v>1646.9575</c:v>
                </c:pt>
                <c:pt idx="7">
                  <c:v>1657.5049999999999</c:v>
                </c:pt>
                <c:pt idx="8">
                  <c:v>1668.0525</c:v>
                </c:pt>
                <c:pt idx="9">
                  <c:v>1678.6</c:v>
                </c:pt>
                <c:pt idx="10">
                  <c:v>1689.1475</c:v>
                </c:pt>
                <c:pt idx="11">
                  <c:v>1699.6949999999999</c:v>
                </c:pt>
                <c:pt idx="12">
                  <c:v>1700.57</c:v>
                </c:pt>
              </c:numCache>
            </c:numRef>
          </c:xVal>
          <c:yVal>
            <c:numRef>
              <c:f>'FGE Method'!$R$63:$R$75</c:f>
              <c:numCache>
                <c:formatCode>0.0000</c:formatCode>
                <c:ptCount val="13"/>
                <c:pt idx="0">
                  <c:v>-4.291666666666667</c:v>
                </c:pt>
                <c:pt idx="1">
                  <c:v>-4.291666666666667</c:v>
                </c:pt>
                <c:pt idx="2">
                  <c:v>-4.291666666666667</c:v>
                </c:pt>
                <c:pt idx="3">
                  <c:v>-4.291666666666667</c:v>
                </c:pt>
                <c:pt idx="4">
                  <c:v>-4.291666666666667</c:v>
                </c:pt>
                <c:pt idx="5">
                  <c:v>-4.291666666666667</c:v>
                </c:pt>
                <c:pt idx="6">
                  <c:v>-4.291666666666667</c:v>
                </c:pt>
                <c:pt idx="7">
                  <c:v>-4.291666666666667</c:v>
                </c:pt>
                <c:pt idx="8">
                  <c:v>-4.291666666666667</c:v>
                </c:pt>
                <c:pt idx="9">
                  <c:v>-4.291666666666667</c:v>
                </c:pt>
                <c:pt idx="10">
                  <c:v>-4.291666666666667</c:v>
                </c:pt>
                <c:pt idx="11">
                  <c:v>-4.291666666666667</c:v>
                </c:pt>
                <c:pt idx="12">
                  <c:v>-4.291666666666667</c:v>
                </c:pt>
              </c:numCache>
            </c:numRef>
          </c:yVal>
          <c:smooth val="0"/>
          <c:extLst>
            <c:ext xmlns:c16="http://schemas.microsoft.com/office/drawing/2014/chart" uri="{C3380CC4-5D6E-409C-BE32-E72D297353CC}">
              <c16:uniqueId val="{00000003-65C3-4DF8-9B2B-5D468060F4B5}"/>
            </c:ext>
          </c:extLst>
        </c:ser>
        <c:ser>
          <c:idx val="4"/>
          <c:order val="4"/>
          <c:tx>
            <c:strRef>
              <c:f>'FGE Method'!$P$77</c:f>
              <c:strCache>
                <c:ptCount val="1"/>
                <c:pt idx="0">
                  <c:v>CL Beam 1-1</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Method'!$Q$77</c:f>
              <c:numCache>
                <c:formatCode>0.0000</c:formatCode>
                <c:ptCount val="1"/>
                <c:pt idx="0">
                  <c:v>1591.72</c:v>
                </c:pt>
              </c:numCache>
            </c:numRef>
          </c:xVal>
          <c:yVal>
            <c:numRef>
              <c:f>'FGE Method'!$R$77</c:f>
              <c:numCache>
                <c:formatCode>0.0000</c:formatCode>
                <c:ptCount val="1"/>
                <c:pt idx="0">
                  <c:v>-4.291666666666667</c:v>
                </c:pt>
              </c:numCache>
            </c:numRef>
          </c:yVal>
          <c:smooth val="0"/>
          <c:extLst>
            <c:ext xmlns:c16="http://schemas.microsoft.com/office/drawing/2014/chart" uri="{C3380CC4-5D6E-409C-BE32-E72D297353CC}">
              <c16:uniqueId val="{00000004-65C3-4DF8-9B2B-5D468060F4B5}"/>
            </c:ext>
          </c:extLst>
        </c:ser>
        <c:ser>
          <c:idx val="5"/>
          <c:order val="5"/>
          <c:tx>
            <c:strRef>
              <c:f>'FGE Method'!$P$79</c:f>
              <c:strCache>
                <c:ptCount val="1"/>
                <c:pt idx="0">
                  <c:v>PGL</c:v>
                </c:pt>
              </c:strCache>
            </c:strRef>
          </c:tx>
          <c:spPr>
            <a:ln w="11430">
              <a:solidFill>
                <a:srgbClr val="2B6CB0"/>
              </a:solidFill>
              <a:prstDash val="dash"/>
            </a:ln>
          </c:spPr>
          <c:marker>
            <c:symbol val="circle"/>
            <c:size val="3"/>
            <c:spPr>
              <a:solidFill>
                <a:srgbClr val="2B6CB0"/>
              </a:solidFill>
              <a:ln>
                <a:solidFill>
                  <a:srgbClr val="2B6CB0"/>
                </a:solidFill>
                <a:prstDash val="solid"/>
              </a:ln>
            </c:spPr>
          </c:marker>
          <c:xVal>
            <c:numRef>
              <c:f>'FGE Method'!$Q$79:$Q$91</c:f>
              <c:numCache>
                <c:formatCode>0.0000</c:formatCode>
                <c:ptCount val="13"/>
                <c:pt idx="0">
                  <c:v>1593.22</c:v>
                </c:pt>
                <c:pt idx="1">
                  <c:v>1594.22</c:v>
                </c:pt>
                <c:pt idx="2">
                  <c:v>1604.7674999999999</c:v>
                </c:pt>
                <c:pt idx="3">
                  <c:v>1615.3150000000001</c:v>
                </c:pt>
                <c:pt idx="4">
                  <c:v>1625.8625</c:v>
                </c:pt>
                <c:pt idx="5">
                  <c:v>1636.41</c:v>
                </c:pt>
                <c:pt idx="6">
                  <c:v>1646.9575</c:v>
                </c:pt>
                <c:pt idx="7">
                  <c:v>1657.5049999999999</c:v>
                </c:pt>
                <c:pt idx="8">
                  <c:v>1668.0525</c:v>
                </c:pt>
                <c:pt idx="9">
                  <c:v>1678.6</c:v>
                </c:pt>
                <c:pt idx="10">
                  <c:v>1689.1475</c:v>
                </c:pt>
                <c:pt idx="11">
                  <c:v>1699.6949999999999</c:v>
                </c:pt>
                <c:pt idx="12">
                  <c:v>1700.57</c:v>
                </c:pt>
              </c:numCache>
            </c:numRef>
          </c:xVal>
          <c:yVal>
            <c:numRef>
              <c:f>'FGE Method'!$R$79:$R$91</c:f>
              <c:numCache>
                <c:formatCode>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yVal>
          <c:smooth val="0"/>
          <c:extLst>
            <c:ext xmlns:c16="http://schemas.microsoft.com/office/drawing/2014/chart" uri="{C3380CC4-5D6E-409C-BE32-E72D297353CC}">
              <c16:uniqueId val="{00000005-65C3-4DF8-9B2B-5D468060F4B5}"/>
            </c:ext>
          </c:extLst>
        </c:ser>
        <c:ser>
          <c:idx val="6"/>
          <c:order val="6"/>
          <c:tx>
            <c:strRef>
              <c:f>'FGE Method'!$P$93</c:f>
              <c:strCache>
                <c:ptCount val="1"/>
                <c:pt idx="0">
                  <c:v>PGL</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Method'!$Q$93</c:f>
              <c:numCache>
                <c:formatCode>0.0000</c:formatCode>
                <c:ptCount val="1"/>
                <c:pt idx="0">
                  <c:v>1591.72</c:v>
                </c:pt>
              </c:numCache>
            </c:numRef>
          </c:xVal>
          <c:yVal>
            <c:numRef>
              <c:f>'FGE Method'!$R$93</c:f>
              <c:numCache>
                <c:formatCode>0.0000</c:formatCode>
                <c:ptCount val="1"/>
                <c:pt idx="0">
                  <c:v>0</c:v>
                </c:pt>
              </c:numCache>
            </c:numRef>
          </c:yVal>
          <c:smooth val="0"/>
          <c:extLst>
            <c:ext xmlns:c16="http://schemas.microsoft.com/office/drawing/2014/chart" uri="{C3380CC4-5D6E-409C-BE32-E72D297353CC}">
              <c16:uniqueId val="{00000006-65C3-4DF8-9B2B-5D468060F4B5}"/>
            </c:ext>
          </c:extLst>
        </c:ser>
        <c:ser>
          <c:idx val="7"/>
          <c:order val="7"/>
          <c:tx>
            <c:strRef>
              <c:f>'FGE Method'!$P$95</c:f>
              <c:strCache>
                <c:ptCount val="1"/>
                <c:pt idx="0">
                  <c:v>CL Beam 1-2</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'FGE Method'!$Q$95:$Q$107</c:f>
              <c:numCache>
                <c:formatCode>0.0000</c:formatCode>
                <c:ptCount val="13"/>
                <c:pt idx="0">
                  <c:v>1593.22</c:v>
                </c:pt>
                <c:pt idx="1">
                  <c:v>1594.22</c:v>
                </c:pt>
                <c:pt idx="2">
                  <c:v>1604.7674999999999</c:v>
                </c:pt>
                <c:pt idx="3">
                  <c:v>1615.3150000000001</c:v>
                </c:pt>
                <c:pt idx="4">
                  <c:v>1625.8625</c:v>
                </c:pt>
                <c:pt idx="5">
                  <c:v>1636.41</c:v>
                </c:pt>
                <c:pt idx="6">
                  <c:v>1646.9575</c:v>
                </c:pt>
                <c:pt idx="7">
                  <c:v>1657.5049999999999</c:v>
                </c:pt>
                <c:pt idx="8">
                  <c:v>1668.0525</c:v>
                </c:pt>
                <c:pt idx="9">
                  <c:v>1678.6</c:v>
                </c:pt>
                <c:pt idx="10">
                  <c:v>1689.1475</c:v>
                </c:pt>
                <c:pt idx="11">
                  <c:v>1699.6949999999999</c:v>
                </c:pt>
                <c:pt idx="12">
                  <c:v>1700.57</c:v>
                </c:pt>
              </c:numCache>
            </c:numRef>
          </c:xVal>
          <c:yVal>
            <c:numRef>
              <c:f>'FGE Method'!$R$95:$R$107</c:f>
              <c:numCache>
                <c:formatCode>0.0000</c:formatCode>
                <c:ptCount val="13"/>
                <c:pt idx="0">
                  <c:v>4.291666666666667</c:v>
                </c:pt>
                <c:pt idx="1">
                  <c:v>4.291666666666667</c:v>
                </c:pt>
                <c:pt idx="2">
                  <c:v>4.291666666666667</c:v>
                </c:pt>
                <c:pt idx="3">
                  <c:v>4.291666666666667</c:v>
                </c:pt>
                <c:pt idx="4">
                  <c:v>4.291666666666667</c:v>
                </c:pt>
                <c:pt idx="5">
                  <c:v>4.291666666666667</c:v>
                </c:pt>
                <c:pt idx="6">
                  <c:v>4.291666666666667</c:v>
                </c:pt>
                <c:pt idx="7">
                  <c:v>4.291666666666667</c:v>
                </c:pt>
                <c:pt idx="8">
                  <c:v>4.291666666666667</c:v>
                </c:pt>
                <c:pt idx="9">
                  <c:v>4.291666666666667</c:v>
                </c:pt>
                <c:pt idx="10">
                  <c:v>4.291666666666667</c:v>
                </c:pt>
                <c:pt idx="11">
                  <c:v>4.291666666666667</c:v>
                </c:pt>
                <c:pt idx="12">
                  <c:v>4.291666666666667</c:v>
                </c:pt>
              </c:numCache>
            </c:numRef>
          </c:yVal>
          <c:smooth val="0"/>
          <c:extLst>
            <c:ext xmlns:c16="http://schemas.microsoft.com/office/drawing/2014/chart" uri="{C3380CC4-5D6E-409C-BE32-E72D297353CC}">
              <c16:uniqueId val="{00000007-65C3-4DF8-9B2B-5D468060F4B5}"/>
            </c:ext>
          </c:extLst>
        </c:ser>
        <c:ser>
          <c:idx val="8"/>
          <c:order val="8"/>
          <c:tx>
            <c:strRef>
              <c:f>'FGE Method'!$P$109</c:f>
              <c:strCache>
                <c:ptCount val="1"/>
                <c:pt idx="0">
                  <c:v>CL Beam 1-2</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Method'!$Q$109</c:f>
              <c:numCache>
                <c:formatCode>0.0000</c:formatCode>
                <c:ptCount val="1"/>
                <c:pt idx="0">
                  <c:v>1591.72</c:v>
                </c:pt>
              </c:numCache>
            </c:numRef>
          </c:xVal>
          <c:yVal>
            <c:numRef>
              <c:f>'FGE Method'!$R$109</c:f>
              <c:numCache>
                <c:formatCode>0.0000</c:formatCode>
                <c:ptCount val="1"/>
                <c:pt idx="0">
                  <c:v>4.291666666666667</c:v>
                </c:pt>
              </c:numCache>
            </c:numRef>
          </c:yVal>
          <c:smooth val="0"/>
          <c:extLst>
            <c:ext xmlns:c16="http://schemas.microsoft.com/office/drawing/2014/chart" uri="{C3380CC4-5D6E-409C-BE32-E72D297353CC}">
              <c16:uniqueId val="{00000008-65C3-4DF8-9B2B-5D468060F4B5}"/>
            </c:ext>
          </c:extLst>
        </c:ser>
        <c:ser>
          <c:idx val="9"/>
          <c:order val="9"/>
          <c:tx>
            <c:strRef>
              <c:f>'FGE Method'!$P$111</c:f>
              <c:strCache>
                <c:ptCount val="1"/>
                <c:pt idx="0">
                  <c:v>Right coping (deck edge)</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'FGE Method'!$Q$111:$Q$123</c:f>
              <c:numCache>
                <c:formatCode>0.0000</c:formatCode>
                <c:ptCount val="13"/>
                <c:pt idx="0">
                  <c:v>1593.22</c:v>
                </c:pt>
                <c:pt idx="1">
                  <c:v>1594.22</c:v>
                </c:pt>
                <c:pt idx="2">
                  <c:v>1604.7674999999999</c:v>
                </c:pt>
                <c:pt idx="3">
                  <c:v>1615.3150000000001</c:v>
                </c:pt>
                <c:pt idx="4">
                  <c:v>1625.8625</c:v>
                </c:pt>
                <c:pt idx="5">
                  <c:v>1636.41</c:v>
                </c:pt>
                <c:pt idx="6">
                  <c:v>1646.9575</c:v>
                </c:pt>
                <c:pt idx="7">
                  <c:v>1657.5049999999999</c:v>
                </c:pt>
                <c:pt idx="8">
                  <c:v>1668.0525</c:v>
                </c:pt>
                <c:pt idx="9">
                  <c:v>1678.6</c:v>
                </c:pt>
                <c:pt idx="10">
                  <c:v>1689.1475</c:v>
                </c:pt>
                <c:pt idx="11">
                  <c:v>1699.6949999999999</c:v>
                </c:pt>
                <c:pt idx="12">
                  <c:v>1700.57</c:v>
                </c:pt>
              </c:numCache>
            </c:numRef>
          </c:xVal>
          <c:yVal>
            <c:numRef>
              <c:f>'FGE Method'!$R$111:$R$123</c:f>
              <c:numCache>
                <c:formatCode>0.0000</c:formatCode>
                <c:ptCount val="13"/>
                <c:pt idx="0">
                  <c:v>6.7916666666666652</c:v>
                </c:pt>
                <c:pt idx="1">
                  <c:v>6.7916666666666652</c:v>
                </c:pt>
                <c:pt idx="2">
                  <c:v>6.7916666666666652</c:v>
                </c:pt>
                <c:pt idx="3">
                  <c:v>6.7916666666666652</c:v>
                </c:pt>
                <c:pt idx="4">
                  <c:v>6.7916666666666652</c:v>
                </c:pt>
                <c:pt idx="5">
                  <c:v>6.7916666666666652</c:v>
                </c:pt>
                <c:pt idx="6">
                  <c:v>6.7916666666666652</c:v>
                </c:pt>
                <c:pt idx="7">
                  <c:v>6.7916666666666652</c:v>
                </c:pt>
                <c:pt idx="8">
                  <c:v>6.7916666666666652</c:v>
                </c:pt>
                <c:pt idx="9">
                  <c:v>6.7916666666666652</c:v>
                </c:pt>
                <c:pt idx="10">
                  <c:v>6.7916666666666652</c:v>
                </c:pt>
                <c:pt idx="11">
                  <c:v>6.7916666666666652</c:v>
                </c:pt>
                <c:pt idx="12">
                  <c:v>6.7916666666666652</c:v>
                </c:pt>
              </c:numCache>
            </c:numRef>
          </c:yVal>
          <c:smooth val="0"/>
          <c:extLst>
            <c:ext xmlns:c16="http://schemas.microsoft.com/office/drawing/2014/chart" uri="{C3380CC4-5D6E-409C-BE32-E72D297353CC}">
              <c16:uniqueId val="{00000009-65C3-4DF8-9B2B-5D468060F4B5}"/>
            </c:ext>
          </c:extLst>
        </c:ser>
        <c:ser>
          <c:idx val="10"/>
          <c:order val="10"/>
          <c:tx>
            <c:strRef>
              <c:f>'FGE Method'!$P$125</c:f>
              <c:strCache>
                <c:ptCount val="1"/>
                <c:pt idx="0">
                  <c:v>Right coping (deck edge)</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Method'!$Q$125</c:f>
              <c:numCache>
                <c:formatCode>0.0000</c:formatCode>
                <c:ptCount val="1"/>
                <c:pt idx="0">
                  <c:v>1591.72</c:v>
                </c:pt>
              </c:numCache>
            </c:numRef>
          </c:xVal>
          <c:yVal>
            <c:numRef>
              <c:f>'FGE Method'!$R$125</c:f>
              <c:numCache>
                <c:formatCode>0.0000</c:formatCode>
                <c:ptCount val="1"/>
                <c:pt idx="0">
                  <c:v>6.7916666666666652</c:v>
                </c:pt>
              </c:numCache>
            </c:numRef>
          </c:yVal>
          <c:smooth val="0"/>
          <c:extLst>
            <c:ext xmlns:c16="http://schemas.microsoft.com/office/drawing/2014/chart" uri="{C3380CC4-5D6E-409C-BE32-E72D297353CC}">
              <c16:uniqueId val="{0000000A-65C3-4DF8-9B2B-5D468060F4B5}"/>
            </c:ext>
          </c:extLst>
        </c:ser>
        <c:ser>
          <c:idx val="11"/>
          <c:order val="11"/>
          <c:tx>
            <c:strRef>
              <c:f>'FGE Method'!$P$127</c:f>
              <c:strCache>
                <c:ptCount val="1"/>
                <c:pt idx="0">
                  <c:v>FFBW EB 1  15+93.22</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Method'!$Q$127</c:f>
              <c:numCache>
                <c:formatCode>0.0000</c:formatCode>
                <c:ptCount val="1"/>
                <c:pt idx="0">
                  <c:v>1593.22</c:v>
                </c:pt>
              </c:numCache>
            </c:numRef>
          </c:xVal>
          <c:yVal>
            <c:numRef>
              <c:f>'FGE Method'!$R$127</c:f>
              <c:numCache>
                <c:formatCode>0.0000</c:formatCode>
                <c:ptCount val="1"/>
                <c:pt idx="0">
                  <c:v>-6.7916666666666652</c:v>
                </c:pt>
              </c:numCache>
            </c:numRef>
          </c:yVal>
          <c:smooth val="0"/>
          <c:extLst>
            <c:ext xmlns:c16="http://schemas.microsoft.com/office/drawing/2014/chart" uri="{C3380CC4-5D6E-409C-BE32-E72D297353CC}">
              <c16:uniqueId val="{0000000B-65C3-4DF8-9B2B-5D468060F4B5}"/>
            </c:ext>
          </c:extLst>
        </c:ser>
        <c:ser>
          <c:idx val="12"/>
          <c:order val="12"/>
          <c:tx>
            <c:strRef>
              <c:f>'FGE Method'!$P$129</c:f>
              <c:strCache>
                <c:ptCount val="1"/>
                <c:pt idx="0">
                  <c:v>CL Brg  15+94.22</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Method'!$Q$129</c:f>
              <c:numCache>
                <c:formatCode>0.0000</c:formatCode>
                <c:ptCount val="1"/>
                <c:pt idx="0">
                  <c:v>1594.22</c:v>
                </c:pt>
              </c:numCache>
            </c:numRef>
          </c:xVal>
          <c:yVal>
            <c:numRef>
              <c:f>'FGE Method'!$R$129</c:f>
              <c:numCache>
                <c:formatCode>0.0000</c:formatCode>
                <c:ptCount val="1"/>
                <c:pt idx="0">
                  <c:v>6.7916666666666652</c:v>
                </c:pt>
              </c:numCache>
            </c:numRef>
          </c:yVal>
          <c:smooth val="0"/>
          <c:extLst>
            <c:ext xmlns:c16="http://schemas.microsoft.com/office/drawing/2014/chart" uri="{C3380CC4-5D6E-409C-BE32-E72D297353CC}">
              <c16:uniqueId val="{0000000C-65C3-4DF8-9B2B-5D468060F4B5}"/>
            </c:ext>
          </c:extLst>
        </c:ser>
        <c:ser>
          <c:idx val="13"/>
          <c:order val="13"/>
          <c:tx>
            <c:strRef>
              <c:f>'FGE Method'!$P$131</c:f>
              <c:strCache>
                <c:ptCount val="1"/>
                <c:pt idx="0">
                  <c:v>1  16+04.77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Method'!$Q$131</c:f>
              <c:numCache>
                <c:formatCode>0.0000</c:formatCode>
                <c:ptCount val="1"/>
                <c:pt idx="0">
                  <c:v>1604.7674999999999</c:v>
                </c:pt>
              </c:numCache>
            </c:numRef>
          </c:xVal>
          <c:yVal>
            <c:numRef>
              <c:f>'FGE Method'!$R$131</c:f>
              <c:numCache>
                <c:formatCode>0.0000</c:formatCode>
                <c:ptCount val="1"/>
                <c:pt idx="0">
                  <c:v>6.7916666666666652</c:v>
                </c:pt>
              </c:numCache>
            </c:numRef>
          </c:yVal>
          <c:smooth val="0"/>
          <c:extLst>
            <c:ext xmlns:c16="http://schemas.microsoft.com/office/drawing/2014/chart" uri="{C3380CC4-5D6E-409C-BE32-E72D297353CC}">
              <c16:uniqueId val="{0000000D-65C3-4DF8-9B2B-5D468060F4B5}"/>
            </c:ext>
          </c:extLst>
        </c:ser>
        <c:ser>
          <c:idx val="14"/>
          <c:order val="14"/>
          <c:tx>
            <c:strRef>
              <c:f>'FGE Method'!$P$133</c:f>
              <c:strCache>
                <c:ptCount val="1"/>
                <c:pt idx="0">
                  <c:v>2  16+15.32</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Method'!$Q$133</c:f>
              <c:numCache>
                <c:formatCode>0.0000</c:formatCode>
                <c:ptCount val="1"/>
                <c:pt idx="0">
                  <c:v>1615.3150000000001</c:v>
                </c:pt>
              </c:numCache>
            </c:numRef>
          </c:xVal>
          <c:yVal>
            <c:numRef>
              <c:f>'FGE Method'!$R$133</c:f>
              <c:numCache>
                <c:formatCode>0.0000</c:formatCode>
                <c:ptCount val="1"/>
                <c:pt idx="0">
                  <c:v>6.7916666666666652</c:v>
                </c:pt>
              </c:numCache>
            </c:numRef>
          </c:yVal>
          <c:smooth val="0"/>
          <c:extLst>
            <c:ext xmlns:c16="http://schemas.microsoft.com/office/drawing/2014/chart" uri="{C3380CC4-5D6E-409C-BE32-E72D297353CC}">
              <c16:uniqueId val="{0000000E-65C3-4DF8-9B2B-5D468060F4B5}"/>
            </c:ext>
          </c:extLst>
        </c:ser>
        <c:ser>
          <c:idx val="15"/>
          <c:order val="15"/>
          <c:tx>
            <c:strRef>
              <c:f>'FGE Method'!$P$135</c:f>
              <c:strCache>
                <c:ptCount val="1"/>
                <c:pt idx="0">
                  <c:v>3  16+25.86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Method'!$Q$135</c:f>
              <c:numCache>
                <c:formatCode>0.0000</c:formatCode>
                <c:ptCount val="1"/>
                <c:pt idx="0">
                  <c:v>1625.8625</c:v>
                </c:pt>
              </c:numCache>
            </c:numRef>
          </c:xVal>
          <c:yVal>
            <c:numRef>
              <c:f>'FGE Method'!$R$135</c:f>
              <c:numCache>
                <c:formatCode>0.0000</c:formatCode>
                <c:ptCount val="1"/>
                <c:pt idx="0">
                  <c:v>6.7916666666666652</c:v>
                </c:pt>
              </c:numCache>
            </c:numRef>
          </c:yVal>
          <c:smooth val="0"/>
          <c:extLst>
            <c:ext xmlns:c16="http://schemas.microsoft.com/office/drawing/2014/chart" uri="{C3380CC4-5D6E-409C-BE32-E72D297353CC}">
              <c16:uniqueId val="{0000000F-65C3-4DF8-9B2B-5D468060F4B5}"/>
            </c:ext>
          </c:extLst>
        </c:ser>
        <c:ser>
          <c:idx val="16"/>
          <c:order val="16"/>
          <c:tx>
            <c:strRef>
              <c:f>'FGE Method'!$P$137</c:f>
              <c:strCache>
                <c:ptCount val="1"/>
                <c:pt idx="0">
                  <c:v>4  16+36.41</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Method'!$Q$137</c:f>
              <c:numCache>
                <c:formatCode>0.0000</c:formatCode>
                <c:ptCount val="1"/>
                <c:pt idx="0">
                  <c:v>1636.41</c:v>
                </c:pt>
              </c:numCache>
            </c:numRef>
          </c:xVal>
          <c:yVal>
            <c:numRef>
              <c:f>'FGE Method'!$R$137</c:f>
              <c:numCache>
                <c:formatCode>0.0000</c:formatCode>
                <c:ptCount val="1"/>
                <c:pt idx="0">
                  <c:v>6.7916666666666652</c:v>
                </c:pt>
              </c:numCache>
            </c:numRef>
          </c:yVal>
          <c:smooth val="0"/>
          <c:extLst>
            <c:ext xmlns:c16="http://schemas.microsoft.com/office/drawing/2014/chart" uri="{C3380CC4-5D6E-409C-BE32-E72D297353CC}">
              <c16:uniqueId val="{00000010-65C3-4DF8-9B2B-5D468060F4B5}"/>
            </c:ext>
          </c:extLst>
        </c:ser>
        <c:ser>
          <c:idx val="17"/>
          <c:order val="17"/>
          <c:tx>
            <c:strRef>
              <c:f>'FGE Method'!$P$139</c:f>
              <c:strCache>
                <c:ptCount val="1"/>
                <c:pt idx="0">
                  <c:v>5  16+46.96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Method'!$Q$139</c:f>
              <c:numCache>
                <c:formatCode>0.0000</c:formatCode>
                <c:ptCount val="1"/>
                <c:pt idx="0">
                  <c:v>1646.9575</c:v>
                </c:pt>
              </c:numCache>
            </c:numRef>
          </c:xVal>
          <c:yVal>
            <c:numRef>
              <c:f>'FGE Method'!$R$139</c:f>
              <c:numCache>
                <c:formatCode>0.0000</c:formatCode>
                <c:ptCount val="1"/>
                <c:pt idx="0">
                  <c:v>6.7916666666666652</c:v>
                </c:pt>
              </c:numCache>
            </c:numRef>
          </c:yVal>
          <c:smooth val="0"/>
          <c:extLst>
            <c:ext xmlns:c16="http://schemas.microsoft.com/office/drawing/2014/chart" uri="{C3380CC4-5D6E-409C-BE32-E72D297353CC}">
              <c16:uniqueId val="{00000011-65C3-4DF8-9B2B-5D468060F4B5}"/>
            </c:ext>
          </c:extLst>
        </c:ser>
        <c:ser>
          <c:idx val="18"/>
          <c:order val="18"/>
          <c:tx>
            <c:strRef>
              <c:f>'FGE Method'!$P$141</c:f>
              <c:strCache>
                <c:ptCount val="1"/>
                <c:pt idx="0">
                  <c:v>6  16+57.51</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Method'!$Q$141</c:f>
              <c:numCache>
                <c:formatCode>0.0000</c:formatCode>
                <c:ptCount val="1"/>
                <c:pt idx="0">
                  <c:v>1657.5049999999999</c:v>
                </c:pt>
              </c:numCache>
            </c:numRef>
          </c:xVal>
          <c:yVal>
            <c:numRef>
              <c:f>'FGE Method'!$R$141</c:f>
              <c:numCache>
                <c:formatCode>0.0000</c:formatCode>
                <c:ptCount val="1"/>
                <c:pt idx="0">
                  <c:v>6.7916666666666652</c:v>
                </c:pt>
              </c:numCache>
            </c:numRef>
          </c:yVal>
          <c:smooth val="0"/>
          <c:extLst>
            <c:ext xmlns:c16="http://schemas.microsoft.com/office/drawing/2014/chart" uri="{C3380CC4-5D6E-409C-BE32-E72D297353CC}">
              <c16:uniqueId val="{00000012-65C3-4DF8-9B2B-5D468060F4B5}"/>
            </c:ext>
          </c:extLst>
        </c:ser>
        <c:ser>
          <c:idx val="19"/>
          <c:order val="19"/>
          <c:tx>
            <c:strRef>
              <c:f>'FGE Method'!$P$143</c:f>
              <c:strCache>
                <c:ptCount val="1"/>
                <c:pt idx="0">
                  <c:v>7  16+68.05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Method'!$Q$143</c:f>
              <c:numCache>
                <c:formatCode>0.0000</c:formatCode>
                <c:ptCount val="1"/>
                <c:pt idx="0">
                  <c:v>1668.0525</c:v>
                </c:pt>
              </c:numCache>
            </c:numRef>
          </c:xVal>
          <c:yVal>
            <c:numRef>
              <c:f>'FGE Method'!$R$143</c:f>
              <c:numCache>
                <c:formatCode>0.0000</c:formatCode>
                <c:ptCount val="1"/>
                <c:pt idx="0">
                  <c:v>6.7916666666666652</c:v>
                </c:pt>
              </c:numCache>
            </c:numRef>
          </c:yVal>
          <c:smooth val="0"/>
          <c:extLst>
            <c:ext xmlns:c16="http://schemas.microsoft.com/office/drawing/2014/chart" uri="{C3380CC4-5D6E-409C-BE32-E72D297353CC}">
              <c16:uniqueId val="{00000013-65C3-4DF8-9B2B-5D468060F4B5}"/>
            </c:ext>
          </c:extLst>
        </c:ser>
        <c:ser>
          <c:idx val="20"/>
          <c:order val="20"/>
          <c:tx>
            <c:strRef>
              <c:f>'FGE Method'!$P$145</c:f>
              <c:strCache>
                <c:ptCount val="1"/>
                <c:pt idx="0">
                  <c:v>8  16+78.60</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Method'!$Q$145</c:f>
              <c:numCache>
                <c:formatCode>0.0000</c:formatCode>
                <c:ptCount val="1"/>
                <c:pt idx="0">
                  <c:v>1678.6</c:v>
                </c:pt>
              </c:numCache>
            </c:numRef>
          </c:xVal>
          <c:yVal>
            <c:numRef>
              <c:f>'FGE Method'!$R$145</c:f>
              <c:numCache>
                <c:formatCode>0.0000</c:formatCode>
                <c:ptCount val="1"/>
                <c:pt idx="0">
                  <c:v>6.7916666666666652</c:v>
                </c:pt>
              </c:numCache>
            </c:numRef>
          </c:yVal>
          <c:smooth val="0"/>
          <c:extLst>
            <c:ext xmlns:c16="http://schemas.microsoft.com/office/drawing/2014/chart" uri="{C3380CC4-5D6E-409C-BE32-E72D297353CC}">
              <c16:uniqueId val="{00000014-65C3-4DF8-9B2B-5D468060F4B5}"/>
            </c:ext>
          </c:extLst>
        </c:ser>
        <c:ser>
          <c:idx val="21"/>
          <c:order val="21"/>
          <c:tx>
            <c:strRef>
              <c:f>'FGE Method'!$P$147</c:f>
              <c:strCache>
                <c:ptCount val="1"/>
                <c:pt idx="0">
                  <c:v>9  16+89.15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Method'!$Q$147</c:f>
              <c:numCache>
                <c:formatCode>0.0000</c:formatCode>
                <c:ptCount val="1"/>
                <c:pt idx="0">
                  <c:v>1689.1475</c:v>
                </c:pt>
              </c:numCache>
            </c:numRef>
          </c:xVal>
          <c:yVal>
            <c:numRef>
              <c:f>'FGE Method'!$R$147</c:f>
              <c:numCache>
                <c:formatCode>0.0000</c:formatCode>
                <c:ptCount val="1"/>
                <c:pt idx="0">
                  <c:v>6.7916666666666652</c:v>
                </c:pt>
              </c:numCache>
            </c:numRef>
          </c:yVal>
          <c:smooth val="0"/>
          <c:extLst>
            <c:ext xmlns:c16="http://schemas.microsoft.com/office/drawing/2014/chart" uri="{C3380CC4-5D6E-409C-BE32-E72D297353CC}">
              <c16:uniqueId val="{00000015-65C3-4DF8-9B2B-5D468060F4B5}"/>
            </c:ext>
          </c:extLst>
        </c:ser>
        <c:ser>
          <c:idx val="22"/>
          <c:order val="22"/>
          <c:tx>
            <c:strRef>
              <c:f>'FGE Method'!$P$149</c:f>
              <c:strCache>
                <c:ptCount val="1"/>
                <c:pt idx="0">
                  <c:v>CL Brg  16+99.70</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Method'!$Q$149</c:f>
              <c:numCache>
                <c:formatCode>0.0000</c:formatCode>
                <c:ptCount val="1"/>
                <c:pt idx="0">
                  <c:v>1699.6949999999999</c:v>
                </c:pt>
              </c:numCache>
            </c:numRef>
          </c:xVal>
          <c:yVal>
            <c:numRef>
              <c:f>'FGE Method'!$R$149</c:f>
              <c:numCache>
                <c:formatCode>0.0000</c:formatCode>
                <c:ptCount val="1"/>
                <c:pt idx="0">
                  <c:v>6.7916666666666652</c:v>
                </c:pt>
              </c:numCache>
            </c:numRef>
          </c:yVal>
          <c:smooth val="0"/>
          <c:extLst>
            <c:ext xmlns:c16="http://schemas.microsoft.com/office/drawing/2014/chart" uri="{C3380CC4-5D6E-409C-BE32-E72D297353CC}">
              <c16:uniqueId val="{00000016-65C3-4DF8-9B2B-5D468060F4B5}"/>
            </c:ext>
          </c:extLst>
        </c:ser>
        <c:ser>
          <c:idx val="23"/>
          <c:order val="23"/>
          <c:tx>
            <c:strRef>
              <c:f>'FGE Method'!$P$151</c:f>
              <c:strCache>
                <c:ptCount val="1"/>
                <c:pt idx="0">
                  <c:v>CL Pier  17+00.57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'FGE Method'!$Q$151</c:f>
              <c:numCache>
                <c:formatCode>0.0000</c:formatCode>
                <c:ptCount val="1"/>
                <c:pt idx="0">
                  <c:v>1700.57</c:v>
                </c:pt>
              </c:numCache>
            </c:numRef>
          </c:xVal>
          <c:yVal>
            <c:numRef>
              <c:f>'FGE Method'!$R$151</c:f>
              <c:numCache>
                <c:formatCode>0.0000</c:formatCode>
                <c:ptCount val="1"/>
                <c:pt idx="0">
                  <c:v>-6.7916666666666652</c:v>
                </c:pt>
              </c:numCache>
            </c:numRef>
          </c:yVal>
          <c:smooth val="0"/>
          <c:extLst>
            <c:ext xmlns:c16="http://schemas.microsoft.com/office/drawing/2014/chart" uri="{C3380CC4-5D6E-409C-BE32-E72D297353CC}">
              <c16:uniqueId val="{00000017-65C3-4DF8-9B2B-5D468060F4B5}"/>
            </c:ext>
          </c:extLst>
        </c:ser>
        <c:ser>
          <c:idx val="24"/>
          <c:order val="24"/>
          <c:tx>
            <c:strRef>
              <c:f>'FGE Method'!$P$153</c:f>
              <c:strCache>
                <c:ptCount val="1"/>
                <c:pt idx="0">
                  <c:v>frame (invisible, sets the chart window)</c:v>
                </c:pt>
              </c:strCache>
            </c:strRef>
          </c:tx>
          <c:spPr>
            <a:ln>
              <a:noFill/>
              <a:prstDash val="solid"/>
            </a:ln>
          </c:spPr>
          <c:marker>
            <c:symbol val="none"/>
          </c:marker>
          <c:xVal>
            <c:numRef>
              <c:f>'FGE Method'!$Q$153:$Q$154</c:f>
              <c:numCache>
                <c:formatCode>0.0000</c:formatCode>
                <c:ptCount val="2"/>
                <c:pt idx="0">
                  <c:v>1577.22</c:v>
                </c:pt>
                <c:pt idx="1">
                  <c:v>1702.57</c:v>
                </c:pt>
              </c:numCache>
            </c:numRef>
          </c:xVal>
          <c:yVal>
            <c:numRef>
              <c:f>'FGE Method'!$R$153:$R$154</c:f>
              <c:numCache>
                <c:formatCode>0.0000</c:formatCode>
                <c:ptCount val="2"/>
                <c:pt idx="0">
                  <c:v>-9.9916666666666654</c:v>
                </c:pt>
                <c:pt idx="1">
                  <c:v>9.9916666666666654</c:v>
                </c:pt>
              </c:numCache>
            </c:numRef>
          </c:yVal>
          <c:smooth val="0"/>
          <c:extLst>
            <c:ext xmlns:c16="http://schemas.microsoft.com/office/drawing/2014/chart" uri="{C3380CC4-5D6E-409C-BE32-E72D297353CC}">
              <c16:uniqueId val="{00000018-65C3-4DF8-9B2B-5D468060F4B5}"/>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'Bearing Seats Method'!$P$8</c:f>
              <c:strCache>
                <c:ptCount val="1"/>
                <c:pt idx="0">
                  <c:v>Pedestal outline</c:v>
                </c:pt>
              </c:strCache>
            </c:strRef>
          </c:tx>
          <c:spPr>
            <a:ln w="12700">
              <a:solidFill>
                <a:srgbClr val="5A6570"/>
              </a:solidFill>
              <a:prstDash val="solid"/>
            </a:ln>
          </c:spPr>
          <c:marker>
            <c:symbol val="none"/>
          </c:marker>
          <c:xVal>
            <c:numRef>
              <c:f>'Bearing Seats Method'!$Q$8:$Q$14</c:f>
              <c:numCache>
                <c:formatCode>0.0000</c:formatCode>
                <c:ptCount val="7"/>
                <c:pt idx="0">
                  <c:v>1698.57</c:v>
                </c:pt>
                <c:pt idx="1">
                  <c:v>1698.57</c:v>
                </c:pt>
                <c:pt idx="2">
                  <c:v>1700.1116666666667</c:v>
                </c:pt>
                <c:pt idx="3">
                  <c:v>1701.0283333333332</c:v>
                </c:pt>
                <c:pt idx="4">
                  <c:v>1702.57</c:v>
                </c:pt>
                <c:pt idx="5">
                  <c:v>1702.57</c:v>
                </c:pt>
                <c:pt idx="6">
                  <c:v>1698.57</c:v>
                </c:pt>
              </c:numCache>
            </c:numRef>
          </c:xVal>
          <c:yVal>
            <c:numRef>
              <c:f>'Bearing Seats Method'!$R$8:$R$14</c:f>
              <c:numCache>
                <c:formatCode>0.0000</c:formatCode>
                <c:ptCount val="7"/>
                <c:pt idx="0">
                  <c:v>44.253763695637588</c:v>
                </c:pt>
                <c:pt idx="1">
                  <c:v>44.259763695637588</c:v>
                </c:pt>
                <c:pt idx="2">
                  <c:v>44.266863200630297</c:v>
                </c:pt>
                <c:pt idx="3">
                  <c:v>44.266259130867788</c:v>
                </c:pt>
                <c:pt idx="4">
                  <c:v>44.261378012764986</c:v>
                </c:pt>
                <c:pt idx="5">
                  <c:v>44.253763695637588</c:v>
                </c:pt>
                <c:pt idx="6">
                  <c:v>44.253763695637588</c:v>
                </c:pt>
              </c:numCache>
            </c:numRef>
          </c:yVal>
          <c:smooth val="0"/>
          <c:extLst>
            <c:ext xmlns:c16="http://schemas.microsoft.com/office/drawing/2014/chart" uri="{C3380CC4-5D6E-409C-BE32-E72D297353CC}">
              <c16:uniqueId val="{00000000-1501-46AE-9B63-A0FC6BC2FEED}"/>
            </c:ext>
          </c:extLst>
        </c:ser>
        <c:ser>
          <c:idx val="1"/>
          <c:order val="1"/>
          <c:tx>
            <c:strRef>
              <c:f>'Bearing Seats Method'!$P$16</c:f>
              <c:strCache>
                <c:ptCount val="1"/>
                <c:pt idx="0">
                  <c:v>Pedestal top</c:v>
                </c:pt>
              </c:strCache>
            </c:strRef>
          </c:tx>
          <c:spPr>
            <a:ln w="17780">
              <a:solidFill>
                <a:srgbClr val="C0392B"/>
              </a:solidFill>
              <a:prstDash val="solid"/>
            </a:ln>
          </c:spPr>
          <c:marker>
            <c:symbol val="circle"/>
            <c:size val="4"/>
            <c:spPr>
              <a:solidFill>
                <a:srgbClr val="C0392B"/>
              </a:solidFill>
              <a:ln>
                <a:solidFill>
                  <a:srgbClr val="C0392B"/>
                </a:solidFill>
                <a:prstDash val="solid"/>
              </a:ln>
            </c:spPr>
          </c:marker>
          <c:xVal>
            <c:numRef>
              <c:f>'Bearing Seats Method'!$Q$16:$Q$19</c:f>
              <c:numCache>
                <c:formatCode>0.0000</c:formatCode>
                <c:ptCount val="4"/>
                <c:pt idx="0">
                  <c:v>1698.57</c:v>
                </c:pt>
                <c:pt idx="1">
                  <c:v>1700.1116666666667</c:v>
                </c:pt>
                <c:pt idx="2">
                  <c:v>1701.0283333333332</c:v>
                </c:pt>
                <c:pt idx="3">
                  <c:v>1702.57</c:v>
                </c:pt>
              </c:numCache>
            </c:numRef>
          </c:xVal>
          <c:yVal>
            <c:numRef>
              <c:f>'Bearing Seats Method'!$R$16:$R$19</c:f>
              <c:numCache>
                <c:formatCode>0.0000</c:formatCode>
                <c:ptCount val="4"/>
                <c:pt idx="0">
                  <c:v>44.259763695637588</c:v>
                </c:pt>
                <c:pt idx="1">
                  <c:v>44.266863200630297</c:v>
                </c:pt>
                <c:pt idx="2">
                  <c:v>44.266259130867788</c:v>
                </c:pt>
                <c:pt idx="3">
                  <c:v>44.261378012764986</c:v>
                </c:pt>
              </c:numCache>
            </c:numRef>
          </c:yVal>
          <c:smooth val="0"/>
          <c:extLst>
            <c:ext xmlns:c16="http://schemas.microsoft.com/office/drawing/2014/chart" uri="{C3380CC4-5D6E-409C-BE32-E72D297353CC}">
              <c16:uniqueId val="{00000001-1501-46AE-9B63-A0FC6BC2FEED}"/>
            </c:ext>
          </c:extLst>
        </c:ser>
        <c:ser>
          <c:idx val="2"/>
          <c:order val="2"/>
          <c:tx>
            <c:strRef>
              <c:f>'Bearing Seats Method'!$P$21</c:f>
              <c:strCache>
                <c:ptCount val="1"/>
                <c:pt idx="0">
                  <c:v>CL pier</c:v>
                </c:pt>
              </c:strCache>
            </c:strRef>
          </c:tx>
          <c:spPr>
            <a:ln w="10160">
              <a:solidFill>
                <a:srgbClr val="2B6CB0"/>
              </a:solidFill>
              <a:prstDash val="dash"/>
            </a:ln>
          </c:spPr>
          <c:marker>
            <c:symbol val="none"/>
          </c:marker>
          <c:xVal>
            <c:numRef>
              <c:f>'Bearing Seats Method'!$Q$21:$Q$22</c:f>
              <c:numCache>
                <c:formatCode>0.0000</c:formatCode>
                <c:ptCount val="2"/>
                <c:pt idx="0">
                  <c:v>1700.57</c:v>
                </c:pt>
                <c:pt idx="1">
                  <c:v>1700.57</c:v>
                </c:pt>
              </c:numCache>
            </c:numRef>
          </c:xVal>
          <c:yVal>
            <c:numRef>
              <c:f>'Bearing Seats Method'!$R$21:$R$22</c:f>
              <c:numCache>
                <c:formatCode>0.0000</c:formatCode>
                <c:ptCount val="2"/>
                <c:pt idx="0">
                  <c:v>44.253763695637588</c:v>
                </c:pt>
                <c:pt idx="1">
                  <c:v>44.270863200630295</c:v>
                </c:pt>
              </c:numCache>
            </c:numRef>
          </c:yVal>
          <c:smooth val="0"/>
          <c:extLst>
            <c:ext xmlns:c16="http://schemas.microsoft.com/office/drawing/2014/chart" uri="{C3380CC4-5D6E-409C-BE32-E72D297353CC}">
              <c16:uniqueId val="{00000002-1501-46AE-9B63-A0FC6BC2FEED}"/>
            </c:ext>
          </c:extLst>
        </c:ser>
        <c:ser>
          <c:idx val="3"/>
          <c:order val="3"/>
          <c:tx>
            <c:strRef>
              <c:f>'Bearing Seats Method'!$P$24</c:f>
              <c:strCache>
                <c:ptCount val="1"/>
                <c:pt idx="0">
                  <c:v>CL pier</c:v>
                </c:pt>
              </c:strCache>
            </c:strRef>
          </c:tx>
          <c:spPr>
            <a:ln>
              <a:noFill/>
              <a:prstDash val="solid"/>
            </a:ln>
          </c:spPr>
          <c:marker>
            <c:symbol val="none"/>
          </c:marker>
          <c:dLbls>
            <c:spPr>
              <a:noFill/>
              <a:ln>
                <a:noFill/>
              </a:ln>
              <a:effectLst/>
            </c:spPr>
            <c:txPr>
              <a:bodyPr/>
              <a:lstStyle/>
              <a:p>
                <a:pPr>
                  <a:defRPr sz="70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'Bearing Seats Method'!$Q$24</c:f>
              <c:numCache>
                <c:formatCode>0.0000</c:formatCode>
                <c:ptCount val="1"/>
                <c:pt idx="0">
                  <c:v>1700.57</c:v>
                </c:pt>
              </c:numCache>
            </c:numRef>
          </c:xVal>
          <c:yVal>
            <c:numRef>
              <c:f>'Bearing Seats Method'!$R$24</c:f>
              <c:numCache>
                <c:formatCode>0.0000</c:formatCode>
                <c:ptCount val="1"/>
                <c:pt idx="0">
                  <c:v>44.270863200630295</c:v>
                </c:pt>
              </c:numCache>
            </c:numRef>
          </c:yVal>
          <c:smooth val="0"/>
          <c:extLst>
            <c:ext xmlns:c16="http://schemas.microsoft.com/office/drawing/2014/chart" uri="{C3380CC4-5D6E-409C-BE32-E72D297353CC}">
              <c16:uniqueId val="{00000003-1501-46AE-9B63-A0FC6BC2FEED}"/>
            </c:ext>
          </c:extLst>
        </c:ser>
        <c:ser>
          <c:idx val="4"/>
          <c:order val="4"/>
          <c:tx>
            <c:strRef>
              <c:f>'Bearing Seats Method'!$P$26</c:f>
              <c:strCache>
                <c:ptCount val="1"/>
                <c:pt idx="0">
                  <c:v>A/C
44.2598</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'Bearing Seats Method'!$Q$26</c:f>
              <c:numCache>
                <c:formatCode>0.0000</c:formatCode>
                <c:ptCount val="1"/>
                <c:pt idx="0">
                  <c:v>1698.57</c:v>
                </c:pt>
              </c:numCache>
            </c:numRef>
          </c:xVal>
          <c:yVal>
            <c:numRef>
              <c:f>'Bearing Seats Method'!$R$26</c:f>
              <c:numCache>
                <c:formatCode>0.0000</c:formatCode>
                <c:ptCount val="1"/>
                <c:pt idx="0">
                  <c:v>44.259763695637588</c:v>
                </c:pt>
              </c:numCache>
            </c:numRef>
          </c:yVal>
          <c:smooth val="0"/>
          <c:extLst>
            <c:ext xmlns:c16="http://schemas.microsoft.com/office/drawing/2014/chart" uri="{C3380CC4-5D6E-409C-BE32-E72D297353CC}">
              <c16:uniqueId val="{00000004-1501-46AE-9B63-A0FC6BC2FEED}"/>
            </c:ext>
          </c:extLst>
        </c:ser>
        <c:ser>
          <c:idx val="5"/>
          <c:order val="5"/>
          <c:tx>
            <c:strRef>
              <c:f>'Bearing Seats Method'!$P$28</c:f>
              <c:strCache>
                <c:ptCount val="1"/>
                <c:pt idx="0">
                  <c:v>E
44.2669</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'Bearing Seats Method'!$Q$28</c:f>
              <c:numCache>
                <c:formatCode>0.0000</c:formatCode>
                <c:ptCount val="1"/>
                <c:pt idx="0">
                  <c:v>1700.1116666666667</c:v>
                </c:pt>
              </c:numCache>
            </c:numRef>
          </c:xVal>
          <c:yVal>
            <c:numRef>
              <c:f>'Bearing Seats Method'!$R$28</c:f>
              <c:numCache>
                <c:formatCode>0.0000</c:formatCode>
                <c:ptCount val="1"/>
                <c:pt idx="0">
                  <c:v>44.266863200630297</c:v>
                </c:pt>
              </c:numCache>
            </c:numRef>
          </c:yVal>
          <c:smooth val="0"/>
          <c:extLst>
            <c:ext xmlns:c16="http://schemas.microsoft.com/office/drawing/2014/chart" uri="{C3380CC4-5D6E-409C-BE32-E72D297353CC}">
              <c16:uniqueId val="{00000005-1501-46AE-9B63-A0FC6BC2FEED}"/>
            </c:ext>
          </c:extLst>
        </c:ser>
        <c:ser>
          <c:idx val="6"/>
          <c:order val="6"/>
          <c:tx>
            <c:strRef>
              <c:f>'Bearing Seats Method'!$P$30</c:f>
              <c:strCache>
                <c:ptCount val="1"/>
                <c:pt idx="0">
                  <c:v>F
44.2663</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'Bearing Seats Method'!$Q$30</c:f>
              <c:numCache>
                <c:formatCode>0.0000</c:formatCode>
                <c:ptCount val="1"/>
                <c:pt idx="0">
                  <c:v>1701.0283333333332</c:v>
                </c:pt>
              </c:numCache>
            </c:numRef>
          </c:xVal>
          <c:yVal>
            <c:numRef>
              <c:f>'Bearing Seats Method'!$R$30</c:f>
              <c:numCache>
                <c:formatCode>0.0000</c:formatCode>
                <c:ptCount val="1"/>
                <c:pt idx="0">
                  <c:v>44.266259130867788</c:v>
                </c:pt>
              </c:numCache>
            </c:numRef>
          </c:yVal>
          <c:smooth val="0"/>
          <c:extLst>
            <c:ext xmlns:c16="http://schemas.microsoft.com/office/drawing/2014/chart" uri="{C3380CC4-5D6E-409C-BE32-E72D297353CC}">
              <c16:uniqueId val="{00000006-1501-46AE-9B63-A0FC6BC2FEED}"/>
            </c:ext>
          </c:extLst>
        </c:ser>
        <c:ser>
          <c:idx val="7"/>
          <c:order val="7"/>
          <c:tx>
            <c:strRef>
              <c:f>'Bearing Seats Method'!$P$32</c:f>
              <c:strCache>
                <c:ptCount val="1"/>
                <c:pt idx="0">
                  <c:v>B/D
44.2614</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'Bearing Seats Method'!$Q$32</c:f>
              <c:numCache>
                <c:formatCode>0.0000</c:formatCode>
                <c:ptCount val="1"/>
                <c:pt idx="0">
                  <c:v>1702.57</c:v>
                </c:pt>
              </c:numCache>
            </c:numRef>
          </c:xVal>
          <c:yVal>
            <c:numRef>
              <c:f>'Bearing Seats Method'!$R$32</c:f>
              <c:numCache>
                <c:formatCode>0.0000</c:formatCode>
                <c:ptCount val="1"/>
                <c:pt idx="0">
                  <c:v>44.261378012764986</c:v>
                </c:pt>
              </c:numCache>
            </c:numRef>
          </c:yVal>
          <c:smooth val="0"/>
          <c:extLst>
            <c:ext xmlns:c16="http://schemas.microsoft.com/office/drawing/2014/chart" uri="{C3380CC4-5D6E-409C-BE32-E72D297353CC}">
              <c16:uniqueId val="{00000007-1501-46AE-9B63-A0FC6BC2FEE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6350">
              <a:solidFill>
                <a:srgbClr val="E6E9ED"/>
              </a:solidFill>
              <a:prstDash val="solid"/>
            </a:ln>
          </c:spPr>
        </c:majorGridlines>
        <c:title>
          <c:tx>
            <c:rich>
              <a:bodyPr/>
              <a:lstStyle/>
              <a:p>
                <a:pPr>
                  <a:defRPr/>
                </a:pPr>
                <a:r>
                  <a:t>Station (ft)</a:t>
                </a:r>
              </a:p>
            </c:rich>
          </c:tx>
          <c:overlay val="0"/>
        </c:title>
        <c:numFmt formatCode="0.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0"/>
        <c:axPos val="l"/>
        <c:majorGridlines>
          <c:spPr>
            <a:ln w="6350">
              <a:solidFill>
                <a:srgbClr val="E6E9ED"/>
              </a:solidFill>
              <a:prstDash val="solid"/>
            </a:ln>
          </c:spPr>
        </c:majorGridlines>
        <c:title>
          <c:tx>
            <c:rich>
              <a:bodyPr/>
              <a:lstStyle/>
              <a:p>
                <a:pPr>
                  <a:defRPr/>
                </a:pPr>
                <a:r>
                  <a:t>Elevation (ft)</a:t>
                </a:r>
              </a:p>
            </c:rich>
          </c:tx>
          <c:overlay val="0"/>
        </c:title>
        <c:numFmt formatCode="0.000" sourceLinked="0"/>
        <c:majorTickMark val="out"/>
        <c:minorTickMark val="none"/>
        <c:tickLblPos val="nextTo"/>
        <c:txPr>
          <a:bodyPr/>
          <a:lstStyle/>
          <a:p>
            <a:pPr>
              <a:defRPr sz="800" b="0">
                <a:solidFill>
                  <a:srgbClr val="5A6570"/>
                </a:solidFill>
              </a:defRPr>
            </a:pPr>
            <a:endParaRPr lang="en-US"/>
          </a:p>
        </c:txPr>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'Substructure Method'!$P$8</c:f>
              <c:strCache>
                <c:ptCount val="1"/>
                <c:pt idx="0">
                  <c:v>Backwall (behind the cap, at the FFBW)</c:v>
                </c:pt>
              </c:strCache>
            </c:strRef>
          </c:tx>
          <c:spPr>
            <a:ln w="12700">
              <a:solidFill>
                <a:srgbClr val="8A96A3"/>
              </a:solidFill>
              <a:prstDash val="dash"/>
            </a:ln>
          </c:spPr>
          <c:marker>
            <c:symbol val="none"/>
          </c:marker>
          <c:xVal>
            <c:numRef>
              <c:f>'Substructure Method'!$Q$8:$Q$13</c:f>
              <c:numCache>
                <c:formatCode>0.0000</c:formatCode>
                <c:ptCount val="6"/>
                <c:pt idx="0">
                  <c:v>-9.7916666666666661</c:v>
                </c:pt>
                <c:pt idx="1">
                  <c:v>9.7916666666666661</c:v>
                </c:pt>
                <c:pt idx="2">
                  <c:v>9.7916666666666661</c:v>
                </c:pt>
                <c:pt idx="3">
                  <c:v>0</c:v>
                </c:pt>
                <c:pt idx="4">
                  <c:v>-9.7916666666666661</c:v>
                </c:pt>
                <c:pt idx="5">
                  <c:v>-9.7916666666666661</c:v>
                </c:pt>
              </c:numCache>
            </c:numRef>
          </c:xVal>
          <c:yVal>
            <c:numRef>
              <c:f>'Substructure Method'!$R$8:$R$13</c:f>
              <c:numCache>
                <c:formatCode>0.0000</c:formatCode>
                <c:ptCount val="6"/>
                <c:pt idx="0">
                  <c:v>0</c:v>
                </c:pt>
                <c:pt idx="1">
                  <c:v>0</c:v>
                </c:pt>
                <c:pt idx="2">
                  <c:v>3.873307767781867</c:v>
                </c:pt>
                <c:pt idx="3">
                  <c:v>4.0691411011151999</c:v>
                </c:pt>
                <c:pt idx="4">
                  <c:v>3.873307767781867</c:v>
                </c:pt>
                <c:pt idx="5">
                  <c:v>0</c:v>
                </c:pt>
              </c:numCache>
            </c:numRef>
          </c:yVal>
          <c:smooth val="0"/>
          <c:extLst>
            <c:ext xmlns:c16="http://schemas.microsoft.com/office/drawing/2014/chart" uri="{C3380CC4-5D6E-409C-BE32-E72D297353CC}">
              <c16:uniqueId val="{00000000-6B9C-4FA1-A9C6-0DB8AC48451F}"/>
            </c:ext>
          </c:extLst>
        </c:ser>
        <c:ser>
          <c:idx val="1"/>
          <c:order val="1"/>
          <c:tx>
            <c:strRef>
              <c:f>'Substructure Method'!$P$15</c:f>
              <c:strCache>
                <c:ptCount val="1"/>
                <c:pt idx="0">
                  <c:v>Cheek webs with bottom lugs</c:v>
                </c:pt>
              </c:strCache>
            </c:strRef>
          </c:tx>
          <c:spPr>
            <a:ln w="15875">
              <a:solidFill>
                <a:srgbClr val="5B7F3A"/>
              </a:solidFill>
              <a:prstDash val="solid"/>
            </a:ln>
          </c:spPr>
          <c:marker>
            <c:symbol val="none"/>
          </c:marker>
          <c:xVal>
            <c:numRef>
              <c:f>'Substructure Method'!$Q$15:$Q$29</c:f>
              <c:numCache>
                <c:formatCode>0.0000</c:formatCode>
                <c:ptCount val="15"/>
                <c:pt idx="0">
                  <c:v>-10.458333333333332</c:v>
                </c:pt>
                <c:pt idx="1">
                  <c:v>-9.9999999999999982</c:v>
                </c:pt>
                <c:pt idx="2">
                  <c:v>-9.9999999999999982</c:v>
                </c:pt>
                <c:pt idx="3">
                  <c:v>-9.7916666666666661</c:v>
                </c:pt>
                <c:pt idx="4">
                  <c:v>-9.7916666666666661</c:v>
                </c:pt>
                <c:pt idx="5">
                  <c:v>-10.458333333333332</c:v>
                </c:pt>
                <c:pt idx="6">
                  <c:v>-10.458333333333332</c:v>
                </c:pt>
                <c:pt idx="8">
                  <c:v>9.9999999999999982</c:v>
                </c:pt>
                <c:pt idx="9">
                  <c:v>10.458333333333332</c:v>
                </c:pt>
                <c:pt idx="10">
                  <c:v>10.458333333333332</c:v>
                </c:pt>
                <c:pt idx="11">
                  <c:v>9.7916666666666661</c:v>
                </c:pt>
                <c:pt idx="12">
                  <c:v>9.7916666666666661</c:v>
                </c:pt>
                <c:pt idx="13">
                  <c:v>9.9999999999999982</c:v>
                </c:pt>
                <c:pt idx="14">
                  <c:v>9.9999999999999982</c:v>
                </c:pt>
              </c:numCache>
            </c:numRef>
          </c:xVal>
          <c:yVal>
            <c:numRef>
              <c:f>'Substructure Method'!$R$15:$R$29</c:f>
              <c:numCache>
                <c:formatCode>0.0000</c:formatCode>
                <c:ptCount val="15"/>
                <c:pt idx="0">
                  <c:v>-3.5</c:v>
                </c:pt>
                <c:pt idx="1">
                  <c:v>-3.5</c:v>
                </c:pt>
                <c:pt idx="2">
                  <c:v>-3</c:v>
                </c:pt>
                <c:pt idx="3">
                  <c:v>-3</c:v>
                </c:pt>
                <c:pt idx="4">
                  <c:v>5.0313525238809618</c:v>
                </c:pt>
                <c:pt idx="5">
                  <c:v>5.0313525238809618</c:v>
                </c:pt>
                <c:pt idx="6">
                  <c:v>-3.5</c:v>
                </c:pt>
                <c:pt idx="8">
                  <c:v>-3.5</c:v>
                </c:pt>
                <c:pt idx="9">
                  <c:v>-3.5</c:v>
                </c:pt>
                <c:pt idx="10">
                  <c:v>5.0268202230733152</c:v>
                </c:pt>
                <c:pt idx="11">
                  <c:v>5.0268202230733152</c:v>
                </c:pt>
                <c:pt idx="12">
                  <c:v>-3</c:v>
                </c:pt>
                <c:pt idx="13">
                  <c:v>-3</c:v>
                </c:pt>
                <c:pt idx="14">
                  <c:v>-3.5</c:v>
                </c:pt>
              </c:numCache>
            </c:numRef>
          </c:yVal>
          <c:smooth val="0"/>
          <c:extLst>
            <c:ext xmlns:c16="http://schemas.microsoft.com/office/drawing/2014/chart" uri="{C3380CC4-5D6E-409C-BE32-E72D297353CC}">
              <c16:uniqueId val="{00000001-6B9C-4FA1-A9C6-0DB8AC48451F}"/>
            </c:ext>
          </c:extLst>
        </c:ser>
        <c:ser>
          <c:idx val="2"/>
          <c:order val="2"/>
          <c:tx>
            <c:strRef>
              <c:f>'Substructure Method'!$P$31</c:f>
              <c:strCache>
                <c:ptCount val="1"/>
                <c:pt idx="0">
                  <c:v>backwall top 47.307
(behind, at FFBW)</c:v>
                </c:pt>
              </c:strCache>
            </c:strRef>
          </c:tx>
          <c:spPr>
            <a:ln>
              <a:noFill/>
              <a:prstDash val="solid"/>
            </a:ln>
          </c:spPr>
          <c:marker>
            <c:symbol val="none"/>
          </c:marker>
          <c:dLbls>
            <c:spPr>
              <a:noFill/>
              <a:ln>
                <a:noFill/>
              </a:ln>
              <a:effectLst/>
            </c:spPr>
            <c:txPr>
              <a:bodyPr/>
              <a:lstStyle/>
              <a:p>
                <a:pPr>
                  <a:defRPr sz="700" b="0">
                    <a:solidFill>
                      <a:srgbClr val="8A96A3"/>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Method'!$Q$31</c:f>
              <c:numCache>
                <c:formatCode>0.0000</c:formatCode>
                <c:ptCount val="1"/>
                <c:pt idx="0">
                  <c:v>0</c:v>
                </c:pt>
              </c:numCache>
            </c:numRef>
          </c:xVal>
          <c:yVal>
            <c:numRef>
              <c:f>'Substructure Method'!$R$31</c:f>
              <c:numCache>
                <c:formatCode>0.0000</c:formatCode>
                <c:ptCount val="1"/>
                <c:pt idx="0">
                  <c:v>4.0691411011151999</c:v>
                </c:pt>
              </c:numCache>
            </c:numRef>
          </c:yVal>
          <c:smooth val="0"/>
          <c:extLst>
            <c:ext xmlns:c16="http://schemas.microsoft.com/office/drawing/2014/chart" uri="{C3380CC4-5D6E-409C-BE32-E72D297353CC}">
              <c16:uniqueId val="{00000002-6B9C-4FA1-A9C6-0DB8AC48451F}"/>
            </c:ext>
          </c:extLst>
        </c:ser>
        <c:ser>
          <c:idx val="3"/>
          <c:order val="3"/>
          <c:tx>
            <c:strRef>
              <c:f>'Substructure Method'!$P$33</c:f>
              <c:strCache>
                <c:ptCount val="1"/>
                <c:pt idx="0">
                  <c:v>cheek top
48.269</c:v>
                </c:pt>
              </c:strCache>
            </c:strRef>
          </c:tx>
          <c:spPr>
            <a:ln>
              <a:noFill/>
              <a:prstDash val="solid"/>
            </a:ln>
          </c:spPr>
          <c:marker>
            <c:symbol val="none"/>
          </c:marker>
          <c:dLbls>
            <c:spPr>
              <a:noFill/>
              <a:ln>
                <a:noFill/>
              </a:ln>
              <a:effectLst/>
            </c:spPr>
            <c:txPr>
              <a:bodyPr/>
              <a:lstStyle/>
              <a:p>
                <a:pPr>
                  <a:defRPr sz="700" b="0">
                    <a:solidFill>
                      <a:srgbClr val="5B7F3A"/>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Method'!$Q$33</c:f>
              <c:numCache>
                <c:formatCode>0.0000</c:formatCode>
                <c:ptCount val="1"/>
                <c:pt idx="0">
                  <c:v>-10.125</c:v>
                </c:pt>
              </c:numCache>
            </c:numRef>
          </c:xVal>
          <c:yVal>
            <c:numRef>
              <c:f>'Substructure Method'!$R$33</c:f>
              <c:numCache>
                <c:formatCode>0.0000</c:formatCode>
                <c:ptCount val="1"/>
                <c:pt idx="0">
                  <c:v>5.0313525238809618</c:v>
                </c:pt>
              </c:numCache>
            </c:numRef>
          </c:yVal>
          <c:smooth val="0"/>
          <c:extLst>
            <c:ext xmlns:c16="http://schemas.microsoft.com/office/drawing/2014/chart" uri="{C3380CC4-5D6E-409C-BE32-E72D297353CC}">
              <c16:uniqueId val="{00000003-6B9C-4FA1-A9C6-0DB8AC48451F}"/>
            </c:ext>
          </c:extLst>
        </c:ser>
        <c:ser>
          <c:idx val="4"/>
          <c:order val="4"/>
          <c:tx>
            <c:strRef>
              <c:f>'Substructure Method'!$P$35</c:f>
              <c:strCache>
                <c:ptCount val="1"/>
                <c:pt idx="0">
                  <c:v>cheek top
48.265</c:v>
                </c:pt>
              </c:strCache>
            </c:strRef>
          </c:tx>
          <c:spPr>
            <a:ln>
              <a:noFill/>
              <a:prstDash val="solid"/>
            </a:ln>
          </c:spPr>
          <c:marker>
            <c:symbol val="none"/>
          </c:marker>
          <c:dLbls>
            <c:spPr>
              <a:noFill/>
              <a:ln>
                <a:noFill/>
              </a:ln>
              <a:effectLst/>
            </c:spPr>
            <c:txPr>
              <a:bodyPr/>
              <a:lstStyle/>
              <a:p>
                <a:pPr>
                  <a:defRPr sz="700" b="0">
                    <a:solidFill>
                      <a:srgbClr val="5B7F3A"/>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Method'!$Q$35</c:f>
              <c:numCache>
                <c:formatCode>0.0000</c:formatCode>
                <c:ptCount val="1"/>
                <c:pt idx="0">
                  <c:v>10.125</c:v>
                </c:pt>
              </c:numCache>
            </c:numRef>
          </c:xVal>
          <c:yVal>
            <c:numRef>
              <c:f>'Substructure Method'!$R$35</c:f>
              <c:numCache>
                <c:formatCode>0.0000</c:formatCode>
                <c:ptCount val="1"/>
                <c:pt idx="0">
                  <c:v>5.0268202230733152</c:v>
                </c:pt>
              </c:numCache>
            </c:numRef>
          </c:yVal>
          <c:smooth val="0"/>
          <c:extLst>
            <c:ext xmlns:c16="http://schemas.microsoft.com/office/drawing/2014/chart" uri="{C3380CC4-5D6E-409C-BE32-E72D297353CC}">
              <c16:uniqueId val="{00000004-6B9C-4FA1-A9C6-0DB8AC48451F}"/>
            </c:ext>
          </c:extLst>
        </c:ser>
        <c:ser>
          <c:idx val="5"/>
          <c:order val="5"/>
          <c:tx>
            <c:strRef>
              <c:f>'Substructure Method'!$P$37</c:f>
              <c:strCache>
                <c:ptCount val="1"/>
                <c:pt idx="0">
                  <c:v>Cap</c:v>
                </c:pt>
              </c:strCache>
            </c:strRef>
          </c:tx>
          <c:spPr>
            <a:ln w="19050">
              <a:solidFill>
                <a:srgbClr val="1F2A36"/>
              </a:solidFill>
              <a:prstDash val="solid"/>
            </a:ln>
          </c:spPr>
          <c:marker>
            <c:symbol val="none"/>
          </c:marker>
          <c:xVal>
            <c:numRef>
              <c:f>'Substructure Method'!$Q$37:$Q$41</c:f>
              <c:numCache>
                <c:formatCode>0.0000</c:formatCode>
                <c:ptCount val="5"/>
                <c:pt idx="0">
                  <c:v>-9.7916666666666661</c:v>
                </c:pt>
                <c:pt idx="1">
                  <c:v>9.7916666666666661</c:v>
                </c:pt>
                <c:pt idx="2">
                  <c:v>9.7916666666666661</c:v>
                </c:pt>
                <c:pt idx="3">
                  <c:v>-9.7916666666666661</c:v>
                </c:pt>
                <c:pt idx="4">
                  <c:v>-9.7916666666666661</c:v>
                </c:pt>
              </c:numCache>
            </c:numRef>
          </c:xVal>
          <c:yVal>
            <c:numRef>
              <c:f>'Substructure Method'!$R$37:$R$41</c:f>
              <c:numCache>
                <c:formatCode>0.0000</c:formatCode>
                <c:ptCount val="5"/>
                <c:pt idx="0">
                  <c:v>0</c:v>
                </c:pt>
                <c:pt idx="1">
                  <c:v>0</c:v>
                </c:pt>
                <c:pt idx="2">
                  <c:v>-3</c:v>
                </c:pt>
                <c:pt idx="3">
                  <c:v>-3</c:v>
                </c:pt>
                <c:pt idx="4">
                  <c:v>0</c:v>
                </c:pt>
              </c:numCache>
            </c:numRef>
          </c:yVal>
          <c:smooth val="0"/>
          <c:extLst>
            <c:ext xmlns:c16="http://schemas.microsoft.com/office/drawing/2014/chart" uri="{C3380CC4-5D6E-409C-BE32-E72D297353CC}">
              <c16:uniqueId val="{00000005-6B9C-4FA1-A9C6-0DB8AC48451F}"/>
            </c:ext>
          </c:extLst>
        </c:ser>
        <c:ser>
          <c:idx val="6"/>
          <c:order val="6"/>
          <c:tx>
            <c:strRef>
              <c:f>'Substructure Method'!$P$43</c:f>
              <c:strCache>
                <c:ptCount val="1"/>
                <c:pt idx="0">
                  <c:v>Piles (shown 2.2 ft below the cap)</c:v>
                </c:pt>
              </c:strCache>
            </c:strRef>
          </c:tx>
          <c:spPr>
            <a:ln w="12700">
              <a:solidFill>
                <a:srgbClr val="6B7785"/>
              </a:solidFill>
              <a:prstDash val="solid"/>
            </a:ln>
          </c:spPr>
          <c:marker>
            <c:symbol val="none"/>
          </c:marker>
          <c:xVal>
            <c:numRef>
              <c:f>'Substructure Method'!$Q$43:$Q$65</c:f>
              <c:numCache>
                <c:formatCode>0.0000</c:formatCode>
                <c:ptCount val="23"/>
                <c:pt idx="0">
                  <c:v>-7.5</c:v>
                </c:pt>
                <c:pt idx="1">
                  <c:v>-6</c:v>
                </c:pt>
                <c:pt idx="2">
                  <c:v>-6</c:v>
                </c:pt>
                <c:pt idx="3">
                  <c:v>-7.5</c:v>
                </c:pt>
                <c:pt idx="4">
                  <c:v>-7.5</c:v>
                </c:pt>
                <c:pt idx="6">
                  <c:v>-3</c:v>
                </c:pt>
                <c:pt idx="7">
                  <c:v>-1.5</c:v>
                </c:pt>
                <c:pt idx="8">
                  <c:v>-1.5</c:v>
                </c:pt>
                <c:pt idx="9">
                  <c:v>-3</c:v>
                </c:pt>
                <c:pt idx="10">
                  <c:v>-3</c:v>
                </c:pt>
                <c:pt idx="12">
                  <c:v>1.5</c:v>
                </c:pt>
                <c:pt idx="13">
                  <c:v>3</c:v>
                </c:pt>
                <c:pt idx="14">
                  <c:v>3</c:v>
                </c:pt>
                <c:pt idx="15">
                  <c:v>1.5</c:v>
                </c:pt>
                <c:pt idx="16">
                  <c:v>1.5</c:v>
                </c:pt>
                <c:pt idx="18">
                  <c:v>6</c:v>
                </c:pt>
                <c:pt idx="19">
                  <c:v>7.5</c:v>
                </c:pt>
                <c:pt idx="20">
                  <c:v>7.5</c:v>
                </c:pt>
                <c:pt idx="21">
                  <c:v>6</c:v>
                </c:pt>
                <c:pt idx="22">
                  <c:v>6</c:v>
                </c:pt>
              </c:numCache>
            </c:numRef>
          </c:xVal>
          <c:yVal>
            <c:numRef>
              <c:f>'Substructure Method'!$R$43:$R$65</c:f>
              <c:numCache>
                <c:formatCode>0.0000</c:formatCode>
                <c:ptCount val="23"/>
                <c:pt idx="0">
                  <c:v>-2</c:v>
                </c:pt>
                <c:pt idx="1">
                  <c:v>-2</c:v>
                </c:pt>
                <c:pt idx="2">
                  <c:v>-5.2</c:v>
                </c:pt>
                <c:pt idx="3">
                  <c:v>-5.2</c:v>
                </c:pt>
                <c:pt idx="4">
                  <c:v>-2</c:v>
                </c:pt>
                <c:pt idx="6">
                  <c:v>-2</c:v>
                </c:pt>
                <c:pt idx="7">
                  <c:v>-2</c:v>
                </c:pt>
                <c:pt idx="8">
                  <c:v>-5.2</c:v>
                </c:pt>
                <c:pt idx="9">
                  <c:v>-5.2</c:v>
                </c:pt>
                <c:pt idx="10">
                  <c:v>-2</c:v>
                </c:pt>
                <c:pt idx="12">
                  <c:v>-2</c:v>
                </c:pt>
                <c:pt idx="13">
                  <c:v>-2</c:v>
                </c:pt>
                <c:pt idx="14">
                  <c:v>-5.2</c:v>
                </c:pt>
                <c:pt idx="15">
                  <c:v>-5.2</c:v>
                </c:pt>
                <c:pt idx="16">
                  <c:v>-2</c:v>
                </c:pt>
                <c:pt idx="18">
                  <c:v>-2</c:v>
                </c:pt>
                <c:pt idx="19">
                  <c:v>-2</c:v>
                </c:pt>
                <c:pt idx="20">
                  <c:v>-5.2</c:v>
                </c:pt>
                <c:pt idx="21">
                  <c:v>-5.2</c:v>
                </c:pt>
                <c:pt idx="22">
                  <c:v>-2</c:v>
                </c:pt>
              </c:numCache>
            </c:numRef>
          </c:yVal>
          <c:smooth val="0"/>
          <c:extLst>
            <c:ext xmlns:c16="http://schemas.microsoft.com/office/drawing/2014/chart" uri="{C3380CC4-5D6E-409C-BE32-E72D297353CC}">
              <c16:uniqueId val="{00000006-6B9C-4FA1-A9C6-0DB8AC48451F}"/>
            </c:ext>
          </c:extLst>
        </c:ser>
        <c:ser>
          <c:idx val="7"/>
          <c:order val="7"/>
          <c:tx>
            <c:strRef>
              <c:f>'Substructure Method'!$P$67</c:f>
              <c:strCache>
                <c:ptCount val="1"/>
                <c:pt idx="0">
                  <c:v>pile cutoff
41.2377</c:v>
                </c:pt>
              </c:strCache>
            </c:strRef>
          </c:tx>
          <c:spPr>
            <a:ln>
              <a:noFill/>
              <a:prstDash val="solid"/>
            </a:ln>
          </c:spPr>
          <c:marker>
            <c:symbol val="none"/>
          </c:marker>
          <c:dLbls>
            <c:spPr>
              <a:noFill/>
              <a:ln>
                <a:noFill/>
              </a:ln>
              <a:effectLst/>
            </c:spPr>
            <c:txPr>
              <a:bodyPr/>
              <a:lstStyle/>
              <a:p>
                <a:pPr>
                  <a:defRPr sz="7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Method'!$Q$67</c:f>
              <c:numCache>
                <c:formatCode>0.0000</c:formatCode>
                <c:ptCount val="1"/>
                <c:pt idx="0">
                  <c:v>-6.75</c:v>
                </c:pt>
              </c:numCache>
            </c:numRef>
          </c:xVal>
          <c:yVal>
            <c:numRef>
              <c:f>'Substructure Method'!$R$67</c:f>
              <c:numCache>
                <c:formatCode>0.0000</c:formatCode>
                <c:ptCount val="1"/>
                <c:pt idx="0">
                  <c:v>-2</c:v>
                </c:pt>
              </c:numCache>
            </c:numRef>
          </c:yVal>
          <c:smooth val="0"/>
          <c:extLst>
            <c:ext xmlns:c16="http://schemas.microsoft.com/office/drawing/2014/chart" uri="{C3380CC4-5D6E-409C-BE32-E72D297353CC}">
              <c16:uniqueId val="{00000007-6B9C-4FA1-A9C6-0DB8AC48451F}"/>
            </c:ext>
          </c:extLst>
        </c:ser>
        <c:ser>
          <c:idx val="8"/>
          <c:order val="8"/>
          <c:tx>
            <c:strRef>
              <c:f>'Substructure Method'!$P$69</c:f>
              <c:strCache>
                <c:ptCount val="1"/>
                <c:pt idx="0">
                  <c:v>pad top
43.951</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Method'!$Q$69</c:f>
              <c:numCache>
                <c:formatCode>0.0000</c:formatCode>
                <c:ptCount val="1"/>
                <c:pt idx="0">
                  <c:v>-4.291666666666667</c:v>
                </c:pt>
              </c:numCache>
            </c:numRef>
          </c:xVal>
          <c:yVal>
            <c:numRef>
              <c:f>'Substructure Method'!$R$69</c:f>
              <c:numCache>
                <c:formatCode>0.0000</c:formatCode>
                <c:ptCount val="1"/>
                <c:pt idx="0">
                  <c:v>0.71354166666666663</c:v>
                </c:pt>
              </c:numCache>
            </c:numRef>
          </c:yVal>
          <c:smooth val="0"/>
          <c:extLst>
            <c:ext xmlns:c16="http://schemas.microsoft.com/office/drawing/2014/chart" uri="{C3380CC4-5D6E-409C-BE32-E72D297353CC}">
              <c16:uniqueId val="{00000008-6B9C-4FA1-A9C6-0DB8AC48451F}"/>
            </c:ext>
          </c:extLst>
        </c:ser>
        <c:ser>
          <c:idx val="9"/>
          <c:order val="9"/>
          <c:tx>
            <c:strRef>
              <c:f>'Substructure Method'!$P$71</c:f>
              <c:strCache>
                <c:ptCount val="1"/>
                <c:pt idx="0">
                  <c:v>pad top
43.951</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Method'!$Q$71</c:f>
              <c:numCache>
                <c:formatCode>0.0000</c:formatCode>
                <c:ptCount val="1"/>
                <c:pt idx="0">
                  <c:v>4.291666666666667</c:v>
                </c:pt>
              </c:numCache>
            </c:numRef>
          </c:xVal>
          <c:yVal>
            <c:numRef>
              <c:f>'Substructure Method'!$R$71</c:f>
              <c:numCache>
                <c:formatCode>0.0000</c:formatCode>
                <c:ptCount val="1"/>
                <c:pt idx="0">
                  <c:v>0.71354166666666663</c:v>
                </c:pt>
              </c:numCache>
            </c:numRef>
          </c:yVal>
          <c:smooth val="0"/>
          <c:extLst>
            <c:ext xmlns:c16="http://schemas.microsoft.com/office/drawing/2014/chart" uri="{C3380CC4-5D6E-409C-BE32-E72D297353CC}">
              <c16:uniqueId val="{00000009-6B9C-4FA1-A9C6-0DB8AC48451F}"/>
            </c:ext>
          </c:extLst>
        </c:ser>
        <c:ser>
          <c:idx val="10"/>
          <c:order val="10"/>
          <c:tx>
            <c:strRef>
              <c:f>'Substructure Method'!$P$73</c:f>
              <c:strCache>
                <c:ptCount val="1"/>
                <c:pt idx="0">
                  <c:v>Pedestals</c:v>
                </c:pt>
              </c:strCache>
            </c:strRef>
          </c:tx>
          <c:spPr>
            <a:ln w="12700">
              <a:solidFill>
                <a:srgbClr val="5A6570"/>
              </a:solidFill>
              <a:prstDash val="solid"/>
            </a:ln>
          </c:spPr>
          <c:marker>
            <c:symbol val="none"/>
          </c:marker>
          <c:xVal>
            <c:numRef>
              <c:f>'Substructure Method'!$Q$73:$Q$83</c:f>
              <c:numCache>
                <c:formatCode>0.0000</c:formatCode>
                <c:ptCount val="11"/>
                <c:pt idx="0">
                  <c:v>-6.041666666666667</c:v>
                </c:pt>
                <c:pt idx="1">
                  <c:v>-2.541666666666667</c:v>
                </c:pt>
                <c:pt idx="2">
                  <c:v>-2.541666666666667</c:v>
                </c:pt>
                <c:pt idx="3">
                  <c:v>-6.041666666666667</c:v>
                </c:pt>
                <c:pt idx="4">
                  <c:v>-6.041666666666667</c:v>
                </c:pt>
                <c:pt idx="6">
                  <c:v>2.541666666666667</c:v>
                </c:pt>
                <c:pt idx="7">
                  <c:v>6.041666666666667</c:v>
                </c:pt>
                <c:pt idx="8">
                  <c:v>6.041666666666667</c:v>
                </c:pt>
                <c:pt idx="9">
                  <c:v>2.541666666666667</c:v>
                </c:pt>
                <c:pt idx="10">
                  <c:v>2.541666666666667</c:v>
                </c:pt>
              </c:numCache>
            </c:numRef>
          </c:xVal>
          <c:yVal>
            <c:numRef>
              <c:f>'Substructure Method'!$R$73:$R$83</c:f>
              <c:numCache>
                <c:formatCode>0.0000</c:formatCode>
                <c:ptCount val="11"/>
                <c:pt idx="0">
                  <c:v>0</c:v>
                </c:pt>
                <c:pt idx="1">
                  <c:v>0</c:v>
                </c:pt>
                <c:pt idx="2">
                  <c:v>0.5</c:v>
                </c:pt>
                <c:pt idx="3">
                  <c:v>0.5</c:v>
                </c:pt>
                <c:pt idx="4">
                  <c:v>0</c:v>
                </c:pt>
                <c:pt idx="6">
                  <c:v>0</c:v>
                </c:pt>
                <c:pt idx="7">
                  <c:v>0</c:v>
                </c:pt>
                <c:pt idx="8">
                  <c:v>0.5</c:v>
                </c:pt>
                <c:pt idx="9">
                  <c:v>0.5</c:v>
                </c:pt>
                <c:pt idx="10">
                  <c:v>0</c:v>
                </c:pt>
              </c:numCache>
            </c:numRef>
          </c:yVal>
          <c:smooth val="0"/>
          <c:extLst>
            <c:ext xmlns:c16="http://schemas.microsoft.com/office/drawing/2014/chart" uri="{C3380CC4-5D6E-409C-BE32-E72D297353CC}">
              <c16:uniqueId val="{0000000A-6B9C-4FA1-A9C6-0DB8AC48451F}"/>
            </c:ext>
          </c:extLst>
        </c:ser>
        <c:ser>
          <c:idx val="11"/>
          <c:order val="11"/>
          <c:tx>
            <c:strRef>
              <c:f>'Substructure Method'!$P$85</c:f>
              <c:strCache>
                <c:ptCount val="1"/>
                <c:pt idx="0">
                  <c:v>Bearing pads</c:v>
                </c:pt>
              </c:strCache>
            </c:strRef>
          </c:tx>
          <c:spPr>
            <a:ln w="12700">
              <a:solidFill>
                <a:srgbClr val="6B7785"/>
              </a:solidFill>
              <a:prstDash val="solid"/>
            </a:ln>
          </c:spPr>
          <c:marker>
            <c:symbol val="none"/>
          </c:marker>
          <c:xVal>
            <c:numRef>
              <c:f>'Substructure Method'!$Q$85:$Q$95</c:f>
              <c:numCache>
                <c:formatCode>0.0000</c:formatCode>
                <c:ptCount val="11"/>
                <c:pt idx="0">
                  <c:v>-5.625</c:v>
                </c:pt>
                <c:pt idx="1">
                  <c:v>-2.9583333333333339</c:v>
                </c:pt>
                <c:pt idx="2">
                  <c:v>-2.9583333333333339</c:v>
                </c:pt>
                <c:pt idx="3">
                  <c:v>-5.625</c:v>
                </c:pt>
                <c:pt idx="4">
                  <c:v>-5.625</c:v>
                </c:pt>
                <c:pt idx="6">
                  <c:v>2.9583333333333339</c:v>
                </c:pt>
                <c:pt idx="7">
                  <c:v>5.625</c:v>
                </c:pt>
                <c:pt idx="8">
                  <c:v>5.625</c:v>
                </c:pt>
                <c:pt idx="9">
                  <c:v>2.9583333333333339</c:v>
                </c:pt>
                <c:pt idx="10">
                  <c:v>2.9583333333333339</c:v>
                </c:pt>
              </c:numCache>
            </c:numRef>
          </c:xVal>
          <c:yVal>
            <c:numRef>
              <c:f>'Substructure Method'!$R$85:$R$95</c:f>
              <c:numCache>
                <c:formatCode>0.0000</c:formatCode>
                <c:ptCount val="11"/>
                <c:pt idx="0">
                  <c:v>0.5</c:v>
                </c:pt>
                <c:pt idx="1">
                  <c:v>0.5</c:v>
                </c:pt>
                <c:pt idx="2">
                  <c:v>0.71354166666666663</c:v>
                </c:pt>
                <c:pt idx="3">
                  <c:v>0.71354166666666663</c:v>
                </c:pt>
                <c:pt idx="4">
                  <c:v>0.5</c:v>
                </c:pt>
                <c:pt idx="6">
                  <c:v>0.5</c:v>
                </c:pt>
                <c:pt idx="7">
                  <c:v>0.5</c:v>
                </c:pt>
                <c:pt idx="8">
                  <c:v>0.71354166666666663</c:v>
                </c:pt>
                <c:pt idx="9">
                  <c:v>0.71354166666666663</c:v>
                </c:pt>
                <c:pt idx="10">
                  <c:v>0.5</c:v>
                </c:pt>
              </c:numCache>
            </c:numRef>
          </c:yVal>
          <c:smooth val="0"/>
          <c:extLst>
            <c:ext xmlns:c16="http://schemas.microsoft.com/office/drawing/2014/chart" uri="{C3380CC4-5D6E-409C-BE32-E72D297353CC}">
              <c16:uniqueId val="{0000000B-6B9C-4FA1-A9C6-0DB8AC48451F}"/>
            </c:ext>
          </c:extLst>
        </c:ser>
        <c:ser>
          <c:idx val="12"/>
          <c:order val="12"/>
          <c:tx>
            <c:strRef>
              <c:f>'Substructure Method'!$P$97</c:f>
              <c:strCache>
                <c:ptCount val="1"/>
                <c:pt idx="0">
                  <c:v>cap top 43.2377</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Method'!$Q$97</c:f>
              <c:numCache>
                <c:formatCode>0.0000</c:formatCode>
                <c:ptCount val="1"/>
                <c:pt idx="0">
                  <c:v>0</c:v>
                </c:pt>
              </c:numCache>
            </c:numRef>
          </c:xVal>
          <c:yVal>
            <c:numRef>
              <c:f>'Substructure Method'!$R$97</c:f>
              <c:numCache>
                <c:formatCode>0.0000</c:formatCode>
                <c:ptCount val="1"/>
                <c:pt idx="0">
                  <c:v>0</c:v>
                </c:pt>
              </c:numCache>
            </c:numRef>
          </c:yVal>
          <c:smooth val="0"/>
          <c:extLst>
            <c:ext xmlns:c16="http://schemas.microsoft.com/office/drawing/2014/chart" uri="{C3380CC4-5D6E-409C-BE32-E72D297353CC}">
              <c16:uniqueId val="{0000000C-6B9C-4FA1-A9C6-0DB8AC48451F}"/>
            </c:ext>
          </c:extLst>
        </c:ser>
        <c:ser>
          <c:idx val="13"/>
          <c:order val="13"/>
          <c:tx>
            <c:strRef>
              <c:f>'Substructure Method'!$P$99</c:f>
              <c:strCache>
                <c:ptCount val="1"/>
                <c:pt idx="0">
                  <c:v>cap underside
40.2377</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Method'!$Q$99</c:f>
              <c:numCache>
                <c:formatCode>0.0000</c:formatCode>
                <c:ptCount val="1"/>
                <c:pt idx="0">
                  <c:v>0</c:v>
                </c:pt>
              </c:numCache>
            </c:numRef>
          </c:xVal>
          <c:yVal>
            <c:numRef>
              <c:f>'Substructure Method'!$R$99</c:f>
              <c:numCache>
                <c:formatCode>0.0000</c:formatCode>
                <c:ptCount val="1"/>
                <c:pt idx="0">
                  <c:v>-3</c:v>
                </c:pt>
              </c:numCache>
            </c:numRef>
          </c:yVal>
          <c:smooth val="0"/>
          <c:extLst>
            <c:ext xmlns:c16="http://schemas.microsoft.com/office/drawing/2014/chart" uri="{C3380CC4-5D6E-409C-BE32-E72D297353CC}">
              <c16:uniqueId val="{0000000D-6B9C-4FA1-A9C6-0DB8AC48451F}"/>
            </c:ext>
          </c:extLst>
        </c:ser>
        <c:ser>
          <c:idx val="14"/>
          <c:order val="14"/>
          <c:tx>
            <c:strRef>
              <c:f>'Substructure Method'!$P$102</c:f>
              <c:strCache>
                <c:ptCount val="1"/>
                <c:pt idx="0">
                  <c:v>Cap length</c:v>
                </c:pt>
              </c:strCache>
            </c:strRef>
          </c:tx>
          <c:spPr>
            <a:ln w="9525">
              <a:solidFill>
                <a:srgbClr val="1F2A36"/>
              </a:solidFill>
              <a:prstDash val="solid"/>
              <a:headEnd type="triangle" w="sm" len="sm"/>
              <a:tailEnd type="triangle" w="sm" len="sm"/>
            </a:ln>
          </c:spPr>
          <c:marker>
            <c:symbol val="none"/>
          </c:marker>
          <c:xVal>
            <c:numRef>
              <c:f>'Substructure Method'!$Q$102:$Q$103</c:f>
              <c:numCache>
                <c:formatCode>0.0000</c:formatCode>
                <c:ptCount val="2"/>
                <c:pt idx="0">
                  <c:v>-9.7916666666666661</c:v>
                </c:pt>
                <c:pt idx="1">
                  <c:v>9.7916666666666661</c:v>
                </c:pt>
              </c:numCache>
            </c:numRef>
          </c:xVal>
          <c:yVal>
            <c:numRef>
              <c:f>'Substructure Method'!$R$102:$R$103</c:f>
              <c:numCache>
                <c:formatCode>0.0000</c:formatCode>
                <c:ptCount val="2"/>
                <c:pt idx="0">
                  <c:v>-5.7</c:v>
                </c:pt>
                <c:pt idx="1">
                  <c:v>-5.7</c:v>
                </c:pt>
              </c:numCache>
            </c:numRef>
          </c:yVal>
          <c:smooth val="0"/>
          <c:extLst>
            <c:ext xmlns:c16="http://schemas.microsoft.com/office/drawing/2014/chart" uri="{C3380CC4-5D6E-409C-BE32-E72D297353CC}">
              <c16:uniqueId val="{0000000E-6B9C-4FA1-A9C6-0DB8AC48451F}"/>
            </c:ext>
          </c:extLst>
        </c:ser>
        <c:ser>
          <c:idx val="15"/>
          <c:order val="15"/>
          <c:tx>
            <c:strRef>
              <c:f>'Substructure Method'!$P$105</c:f>
              <c:strCache>
                <c:ptCount val="1"/>
                <c:pt idx="0">
                  <c:v>cap length 235.0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Method'!$Q$105</c:f>
              <c:numCache>
                <c:formatCode>0.0000</c:formatCode>
                <c:ptCount val="1"/>
                <c:pt idx="0">
                  <c:v>0</c:v>
                </c:pt>
              </c:numCache>
            </c:numRef>
          </c:xVal>
          <c:yVal>
            <c:numRef>
              <c:f>'Substructure Method'!$R$105</c:f>
              <c:numCache>
                <c:formatCode>0.0000</c:formatCode>
                <c:ptCount val="1"/>
                <c:pt idx="0">
                  <c:v>-5.7</c:v>
                </c:pt>
              </c:numCache>
            </c:numRef>
          </c:yVal>
          <c:smooth val="0"/>
          <c:extLst>
            <c:ext xmlns:c16="http://schemas.microsoft.com/office/drawing/2014/chart" uri="{C3380CC4-5D6E-409C-BE32-E72D297353CC}">
              <c16:uniqueId val="{0000000F-6B9C-4FA1-A9C6-0DB8AC48451F}"/>
            </c:ext>
          </c:extLst>
        </c:ser>
        <c:ser>
          <c:idx val="16"/>
          <c:order val="16"/>
          <c:tx>
            <c:strRef>
              <c:f>'Substructure Method'!$P$108</c:f>
              <c:strCache>
                <c:ptCount val="1"/>
                <c:pt idx="0">
                  <c:v>Out-to-out</c:v>
                </c:pt>
              </c:strCache>
            </c:strRef>
          </c:tx>
          <c:spPr>
            <a:ln w="9525">
              <a:solidFill>
                <a:srgbClr val="1F2A36"/>
              </a:solidFill>
              <a:prstDash val="solid"/>
              <a:headEnd type="triangle" w="sm" len="sm"/>
              <a:tailEnd type="triangle" w="sm" len="sm"/>
            </a:ln>
          </c:spPr>
          <c:marker>
            <c:symbol val="none"/>
          </c:marker>
          <c:xVal>
            <c:numRef>
              <c:f>'Substructure Method'!$Q$108:$Q$109</c:f>
              <c:numCache>
                <c:formatCode>0.0000</c:formatCode>
                <c:ptCount val="2"/>
                <c:pt idx="0">
                  <c:v>-10.458333333333332</c:v>
                </c:pt>
                <c:pt idx="1">
                  <c:v>10.458333333333332</c:v>
                </c:pt>
              </c:numCache>
            </c:numRef>
          </c:xVal>
          <c:yVal>
            <c:numRef>
              <c:f>'Substructure Method'!$R$108:$R$109</c:f>
              <c:numCache>
                <c:formatCode>0.0000</c:formatCode>
                <c:ptCount val="2"/>
                <c:pt idx="0">
                  <c:v>-6.2</c:v>
                </c:pt>
                <c:pt idx="1">
                  <c:v>-6.2</c:v>
                </c:pt>
              </c:numCache>
            </c:numRef>
          </c:yVal>
          <c:smooth val="0"/>
          <c:extLst>
            <c:ext xmlns:c16="http://schemas.microsoft.com/office/drawing/2014/chart" uri="{C3380CC4-5D6E-409C-BE32-E72D297353CC}">
              <c16:uniqueId val="{00000010-6B9C-4FA1-A9C6-0DB8AC48451F}"/>
            </c:ext>
          </c:extLst>
        </c:ser>
        <c:ser>
          <c:idx val="17"/>
          <c:order val="17"/>
          <c:tx>
            <c:strRef>
              <c:f>'Substructure Method'!$P$111</c:f>
              <c:strCache>
                <c:ptCount val="1"/>
                <c:pt idx="0">
                  <c:v>out-to-out with cheeks 251.0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Method'!$Q$111</c:f>
              <c:numCache>
                <c:formatCode>0.0000</c:formatCode>
                <c:ptCount val="1"/>
                <c:pt idx="0">
                  <c:v>0</c:v>
                </c:pt>
              </c:numCache>
            </c:numRef>
          </c:xVal>
          <c:yVal>
            <c:numRef>
              <c:f>'Substructure Method'!$R$111</c:f>
              <c:numCache>
                <c:formatCode>0.0000</c:formatCode>
                <c:ptCount val="1"/>
                <c:pt idx="0">
                  <c:v>-6.2</c:v>
                </c:pt>
              </c:numCache>
            </c:numRef>
          </c:yVal>
          <c:smooth val="0"/>
          <c:extLst>
            <c:ext xmlns:c16="http://schemas.microsoft.com/office/drawing/2014/chart" uri="{C3380CC4-5D6E-409C-BE32-E72D297353CC}">
              <c16:uniqueId val="{00000011-6B9C-4FA1-A9C6-0DB8AC48451F}"/>
            </c:ext>
          </c:extLst>
        </c:ser>
        <c:ser>
          <c:idx val="18"/>
          <c:order val="18"/>
          <c:tx>
            <c:strRef>
              <c:f>'Substructure Method'!$P$114</c:f>
              <c:strCache>
                <c:ptCount val="1"/>
                <c:pt idx="0">
                  <c:v>frame (invisible, sets the chart window)</c:v>
                </c:pt>
              </c:strCache>
            </c:strRef>
          </c:tx>
          <c:spPr>
            <a:ln>
              <a:noFill/>
              <a:prstDash val="solid"/>
            </a:ln>
          </c:spPr>
          <c:marker>
            <c:symbol val="none"/>
          </c:marker>
          <c:xVal>
            <c:numRef>
              <c:f>'Substructure Method'!$Q$114:$Q$115</c:f>
              <c:numCache>
                <c:formatCode>0.0000</c:formatCode>
                <c:ptCount val="2"/>
                <c:pt idx="0">
                  <c:v>-11.091666666666667</c:v>
                </c:pt>
                <c:pt idx="1">
                  <c:v>11.091666666666667</c:v>
                </c:pt>
              </c:numCache>
            </c:numRef>
          </c:xVal>
          <c:yVal>
            <c:numRef>
              <c:f>'Substructure Method'!$R$114:$R$115</c:f>
              <c:numCache>
                <c:formatCode>0.0000</c:formatCode>
                <c:ptCount val="2"/>
                <c:pt idx="0">
                  <c:v>-7</c:v>
                </c:pt>
                <c:pt idx="1">
                  <c:v>6.0313525238809618</c:v>
                </c:pt>
              </c:numCache>
            </c:numRef>
          </c:yVal>
          <c:smooth val="0"/>
          <c:extLst>
            <c:ext xmlns:c16="http://schemas.microsoft.com/office/drawing/2014/chart" uri="{C3380CC4-5D6E-409C-BE32-E72D297353CC}">
              <c16:uniqueId val="{00000012-6B9C-4FA1-A9C6-0DB8AC48451F}"/>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Offset from PGL (ft), looking up-station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'Substructure Method'!$P$122</c:f>
              <c:strCache>
                <c:ptCount val="1"/>
                <c:pt idx="0">
                  <c:v>Cap</c:v>
                </c:pt>
              </c:strCache>
            </c:strRef>
          </c:tx>
          <c:spPr>
            <a:ln w="19050">
              <a:solidFill>
                <a:srgbClr val="1F2A36"/>
              </a:solidFill>
              <a:prstDash val="solid"/>
            </a:ln>
          </c:spPr>
          <c:marker>
            <c:symbol val="none"/>
          </c:marker>
          <c:xVal>
            <c:numRef>
              <c:f>'Substructure Method'!$Q$122:$Q$126</c:f>
              <c:numCache>
                <c:formatCode>0.0000</c:formatCode>
                <c:ptCount val="5"/>
                <c:pt idx="0">
                  <c:v>-9.5833333333333339</c:v>
                </c:pt>
                <c:pt idx="1">
                  <c:v>9.5833333333333339</c:v>
                </c:pt>
                <c:pt idx="2">
                  <c:v>9.5833333333333339</c:v>
                </c:pt>
                <c:pt idx="3">
                  <c:v>-9.5833333333333339</c:v>
                </c:pt>
                <c:pt idx="4">
                  <c:v>-9.5833333333333339</c:v>
                </c:pt>
              </c:numCache>
            </c:numRef>
          </c:xVal>
          <c:yVal>
            <c:numRef>
              <c:f>'Substructure Method'!$R$122:$R$126</c:f>
              <c:numCache>
                <c:formatCode>0.0000</c:formatCode>
                <c:ptCount val="5"/>
                <c:pt idx="0">
                  <c:v>0</c:v>
                </c:pt>
                <c:pt idx="1">
                  <c:v>0</c:v>
                </c:pt>
                <c:pt idx="2">
                  <c:v>-3</c:v>
                </c:pt>
                <c:pt idx="3">
                  <c:v>-3</c:v>
                </c:pt>
                <c:pt idx="4">
                  <c:v>0</c:v>
                </c:pt>
              </c:numCache>
            </c:numRef>
          </c:yVal>
          <c:smooth val="0"/>
          <c:extLst>
            <c:ext xmlns:c16="http://schemas.microsoft.com/office/drawing/2014/chart" uri="{C3380CC4-5D6E-409C-BE32-E72D297353CC}">
              <c16:uniqueId val="{00000000-4779-42ED-BD39-57BB605C4851}"/>
            </c:ext>
          </c:extLst>
        </c:ser>
        <c:ser>
          <c:idx val="1"/>
          <c:order val="1"/>
          <c:tx>
            <c:strRef>
              <c:f>'Substructure Method'!$P$128</c:f>
              <c:strCache>
                <c:ptCount val="1"/>
                <c:pt idx="0">
                  <c:v>Piles (shown 2.2 ft below the cap)</c:v>
                </c:pt>
              </c:strCache>
            </c:strRef>
          </c:tx>
          <c:spPr>
            <a:ln w="12700">
              <a:solidFill>
                <a:srgbClr val="6B7785"/>
              </a:solidFill>
              <a:prstDash val="solid"/>
            </a:ln>
          </c:spPr>
          <c:marker>
            <c:symbol val="none"/>
          </c:marker>
          <c:xVal>
            <c:numRef>
              <c:f>'Substructure Method'!$Q$128:$Q$150</c:f>
              <c:numCache>
                <c:formatCode>0.0000</c:formatCode>
                <c:ptCount val="23"/>
                <c:pt idx="0">
                  <c:v>-8.3333333333333339</c:v>
                </c:pt>
                <c:pt idx="1">
                  <c:v>-6.666666666666667</c:v>
                </c:pt>
                <c:pt idx="2">
                  <c:v>-6.666666666666667</c:v>
                </c:pt>
                <c:pt idx="3">
                  <c:v>-8.3333333333333339</c:v>
                </c:pt>
                <c:pt idx="4">
                  <c:v>-8.3333333333333339</c:v>
                </c:pt>
                <c:pt idx="6">
                  <c:v>-3.3333333333333335</c:v>
                </c:pt>
                <c:pt idx="7">
                  <c:v>-1.6666666666666665</c:v>
                </c:pt>
                <c:pt idx="8">
                  <c:v>-1.6666666666666665</c:v>
                </c:pt>
                <c:pt idx="9">
                  <c:v>-3.3333333333333335</c:v>
                </c:pt>
                <c:pt idx="10">
                  <c:v>-3.3333333333333335</c:v>
                </c:pt>
                <c:pt idx="12">
                  <c:v>1.6666666666666665</c:v>
                </c:pt>
                <c:pt idx="13">
                  <c:v>3.3333333333333335</c:v>
                </c:pt>
                <c:pt idx="14">
                  <c:v>3.3333333333333335</c:v>
                </c:pt>
                <c:pt idx="15">
                  <c:v>1.6666666666666665</c:v>
                </c:pt>
                <c:pt idx="16">
                  <c:v>1.6666666666666665</c:v>
                </c:pt>
                <c:pt idx="18">
                  <c:v>6.666666666666667</c:v>
                </c:pt>
                <c:pt idx="19">
                  <c:v>8.3333333333333339</c:v>
                </c:pt>
                <c:pt idx="20">
                  <c:v>8.3333333333333339</c:v>
                </c:pt>
                <c:pt idx="21">
                  <c:v>6.666666666666667</c:v>
                </c:pt>
                <c:pt idx="22">
                  <c:v>6.666666666666667</c:v>
                </c:pt>
              </c:numCache>
            </c:numRef>
          </c:xVal>
          <c:yVal>
            <c:numRef>
              <c:f>'Substructure Method'!$R$128:$R$150</c:f>
              <c:numCache>
                <c:formatCode>0.0000</c:formatCode>
                <c:ptCount val="23"/>
                <c:pt idx="0">
                  <c:v>-2</c:v>
                </c:pt>
                <c:pt idx="1">
                  <c:v>-2</c:v>
                </c:pt>
                <c:pt idx="2">
                  <c:v>-5.2</c:v>
                </c:pt>
                <c:pt idx="3">
                  <c:v>-5.2</c:v>
                </c:pt>
                <c:pt idx="4">
                  <c:v>-2</c:v>
                </c:pt>
                <c:pt idx="6">
                  <c:v>-2</c:v>
                </c:pt>
                <c:pt idx="7">
                  <c:v>-2</c:v>
                </c:pt>
                <c:pt idx="8">
                  <c:v>-5.2</c:v>
                </c:pt>
                <c:pt idx="9">
                  <c:v>-5.2</c:v>
                </c:pt>
                <c:pt idx="10">
                  <c:v>-2</c:v>
                </c:pt>
                <c:pt idx="12">
                  <c:v>-2</c:v>
                </c:pt>
                <c:pt idx="13">
                  <c:v>-2</c:v>
                </c:pt>
                <c:pt idx="14">
                  <c:v>-5.2</c:v>
                </c:pt>
                <c:pt idx="15">
                  <c:v>-5.2</c:v>
                </c:pt>
                <c:pt idx="16">
                  <c:v>-2</c:v>
                </c:pt>
                <c:pt idx="18">
                  <c:v>-2</c:v>
                </c:pt>
                <c:pt idx="19">
                  <c:v>-2</c:v>
                </c:pt>
                <c:pt idx="20">
                  <c:v>-5.2</c:v>
                </c:pt>
                <c:pt idx="21">
                  <c:v>-5.2</c:v>
                </c:pt>
                <c:pt idx="22">
                  <c:v>-2</c:v>
                </c:pt>
              </c:numCache>
            </c:numRef>
          </c:yVal>
          <c:smooth val="0"/>
          <c:extLst>
            <c:ext xmlns:c16="http://schemas.microsoft.com/office/drawing/2014/chart" uri="{C3380CC4-5D6E-409C-BE32-E72D297353CC}">
              <c16:uniqueId val="{00000001-4779-42ED-BD39-57BB605C4851}"/>
            </c:ext>
          </c:extLst>
        </c:ser>
        <c:ser>
          <c:idx val="2"/>
          <c:order val="2"/>
          <c:tx>
            <c:strRef>
              <c:f>'Substructure Method'!$P$152</c:f>
              <c:strCache>
                <c:ptCount val="1"/>
                <c:pt idx="0">
                  <c:v>pile cutoff
41.7649</c:v>
                </c:pt>
              </c:strCache>
            </c:strRef>
          </c:tx>
          <c:spPr>
            <a:ln>
              <a:noFill/>
              <a:prstDash val="solid"/>
            </a:ln>
          </c:spPr>
          <c:marker>
            <c:symbol val="none"/>
          </c:marker>
          <c:dLbls>
            <c:spPr>
              <a:noFill/>
              <a:ln>
                <a:noFill/>
              </a:ln>
              <a:effectLst/>
            </c:spPr>
            <c:txPr>
              <a:bodyPr/>
              <a:lstStyle/>
              <a:p>
                <a:pPr>
                  <a:defRPr sz="7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Method'!$Q$152</c:f>
              <c:numCache>
                <c:formatCode>0.0000</c:formatCode>
                <c:ptCount val="1"/>
                <c:pt idx="0">
                  <c:v>-7.5</c:v>
                </c:pt>
              </c:numCache>
            </c:numRef>
          </c:xVal>
          <c:yVal>
            <c:numRef>
              <c:f>'Substructure Method'!$R$152</c:f>
              <c:numCache>
                <c:formatCode>0.0000</c:formatCode>
                <c:ptCount val="1"/>
                <c:pt idx="0">
                  <c:v>-2</c:v>
                </c:pt>
              </c:numCache>
            </c:numRef>
          </c:yVal>
          <c:smooth val="0"/>
          <c:extLst>
            <c:ext xmlns:c16="http://schemas.microsoft.com/office/drawing/2014/chart" uri="{C3380CC4-5D6E-409C-BE32-E72D297353CC}">
              <c16:uniqueId val="{00000002-4779-42ED-BD39-57BB605C4851}"/>
            </c:ext>
          </c:extLst>
        </c:ser>
        <c:ser>
          <c:idx val="3"/>
          <c:order val="3"/>
          <c:tx>
            <c:strRef>
              <c:f>'Substructure Method'!$P$154</c:f>
              <c:strCache>
                <c:ptCount val="1"/>
                <c:pt idx="0">
                  <c:v>pad top
44.478</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Method'!$Q$154</c:f>
              <c:numCache>
                <c:formatCode>0.0000</c:formatCode>
                <c:ptCount val="1"/>
                <c:pt idx="0">
                  <c:v>-4.291666666666667</c:v>
                </c:pt>
              </c:numCache>
            </c:numRef>
          </c:xVal>
          <c:yVal>
            <c:numRef>
              <c:f>'Substructure Method'!$R$154</c:f>
              <c:numCache>
                <c:formatCode>0.0000</c:formatCode>
                <c:ptCount val="1"/>
                <c:pt idx="0">
                  <c:v>0.71354617240487761</c:v>
                </c:pt>
              </c:numCache>
            </c:numRef>
          </c:yVal>
          <c:smooth val="0"/>
          <c:extLst>
            <c:ext xmlns:c16="http://schemas.microsoft.com/office/drawing/2014/chart" uri="{C3380CC4-5D6E-409C-BE32-E72D297353CC}">
              <c16:uniqueId val="{00000003-4779-42ED-BD39-57BB605C4851}"/>
            </c:ext>
          </c:extLst>
        </c:ser>
        <c:ser>
          <c:idx val="4"/>
          <c:order val="4"/>
          <c:tx>
            <c:strRef>
              <c:f>'Substructure Method'!$P$156</c:f>
              <c:strCache>
                <c:ptCount val="1"/>
                <c:pt idx="0">
                  <c:v>pad top
44.478</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Method'!$Q$156</c:f>
              <c:numCache>
                <c:formatCode>0.0000</c:formatCode>
                <c:ptCount val="1"/>
                <c:pt idx="0">
                  <c:v>4.291666666666667</c:v>
                </c:pt>
              </c:numCache>
            </c:numRef>
          </c:xVal>
          <c:yVal>
            <c:numRef>
              <c:f>'Substructure Method'!$R$156</c:f>
              <c:numCache>
                <c:formatCode>0.0000</c:formatCode>
                <c:ptCount val="1"/>
                <c:pt idx="0">
                  <c:v>0.71354617240487761</c:v>
                </c:pt>
              </c:numCache>
            </c:numRef>
          </c:yVal>
          <c:smooth val="0"/>
          <c:extLst>
            <c:ext xmlns:c16="http://schemas.microsoft.com/office/drawing/2014/chart" uri="{C3380CC4-5D6E-409C-BE32-E72D297353CC}">
              <c16:uniqueId val="{00000004-4779-42ED-BD39-57BB605C4851}"/>
            </c:ext>
          </c:extLst>
        </c:ser>
        <c:ser>
          <c:idx val="5"/>
          <c:order val="5"/>
          <c:tx>
            <c:strRef>
              <c:f>'Substructure Method'!$P$158</c:f>
              <c:strCache>
                <c:ptCount val="1"/>
                <c:pt idx="0">
                  <c:v>Pedestals</c:v>
                </c:pt>
              </c:strCache>
            </c:strRef>
          </c:tx>
          <c:spPr>
            <a:ln w="12700">
              <a:solidFill>
                <a:srgbClr val="5A6570"/>
              </a:solidFill>
              <a:prstDash val="solid"/>
            </a:ln>
          </c:spPr>
          <c:marker>
            <c:symbol val="none"/>
          </c:marker>
          <c:xVal>
            <c:numRef>
              <c:f>'Substructure Method'!$Q$158:$Q$168</c:f>
              <c:numCache>
                <c:formatCode>0.0000</c:formatCode>
                <c:ptCount val="11"/>
                <c:pt idx="0">
                  <c:v>-6.041666666666667</c:v>
                </c:pt>
                <c:pt idx="1">
                  <c:v>-2.541666666666667</c:v>
                </c:pt>
                <c:pt idx="2">
                  <c:v>-2.541666666666667</c:v>
                </c:pt>
                <c:pt idx="3">
                  <c:v>-6.041666666666667</c:v>
                </c:pt>
                <c:pt idx="4">
                  <c:v>-6.041666666666667</c:v>
                </c:pt>
                <c:pt idx="6">
                  <c:v>2.541666666666667</c:v>
                </c:pt>
                <c:pt idx="7">
                  <c:v>6.041666666666667</c:v>
                </c:pt>
                <c:pt idx="8">
                  <c:v>6.041666666666667</c:v>
                </c:pt>
                <c:pt idx="9">
                  <c:v>2.541666666666667</c:v>
                </c:pt>
                <c:pt idx="10">
                  <c:v>2.541666666666667</c:v>
                </c:pt>
              </c:numCache>
            </c:numRef>
          </c:xVal>
          <c:yVal>
            <c:numRef>
              <c:f>'Substructure Method'!$R$158:$R$168</c:f>
              <c:numCache>
                <c:formatCode>0.0000</c:formatCode>
                <c:ptCount val="11"/>
                <c:pt idx="0">
                  <c:v>0</c:v>
                </c:pt>
                <c:pt idx="1">
                  <c:v>0</c:v>
                </c:pt>
                <c:pt idx="2">
                  <c:v>0.50000450573821098</c:v>
                </c:pt>
                <c:pt idx="3">
                  <c:v>0.50000450573821098</c:v>
                </c:pt>
                <c:pt idx="4">
                  <c:v>0</c:v>
                </c:pt>
                <c:pt idx="6">
                  <c:v>0</c:v>
                </c:pt>
                <c:pt idx="7">
                  <c:v>0</c:v>
                </c:pt>
                <c:pt idx="8">
                  <c:v>0.50000450573821098</c:v>
                </c:pt>
                <c:pt idx="9">
                  <c:v>0.50000450573821098</c:v>
                </c:pt>
                <c:pt idx="10">
                  <c:v>0</c:v>
                </c:pt>
              </c:numCache>
            </c:numRef>
          </c:yVal>
          <c:smooth val="0"/>
          <c:extLst>
            <c:ext xmlns:c16="http://schemas.microsoft.com/office/drawing/2014/chart" uri="{C3380CC4-5D6E-409C-BE32-E72D297353CC}">
              <c16:uniqueId val="{00000005-4779-42ED-BD39-57BB605C4851}"/>
            </c:ext>
          </c:extLst>
        </c:ser>
        <c:ser>
          <c:idx val="6"/>
          <c:order val="6"/>
          <c:tx>
            <c:strRef>
              <c:f>'Substructure Method'!$P$170</c:f>
              <c:strCache>
                <c:ptCount val="1"/>
                <c:pt idx="0">
                  <c:v>Bearing pads</c:v>
                </c:pt>
              </c:strCache>
            </c:strRef>
          </c:tx>
          <c:spPr>
            <a:ln w="12700">
              <a:solidFill>
                <a:srgbClr val="6B7785"/>
              </a:solidFill>
              <a:prstDash val="solid"/>
            </a:ln>
          </c:spPr>
          <c:marker>
            <c:symbol val="none"/>
          </c:marker>
          <c:xVal>
            <c:numRef>
              <c:f>'Substructure Method'!$Q$170:$Q$180</c:f>
              <c:numCache>
                <c:formatCode>0.0000</c:formatCode>
                <c:ptCount val="11"/>
                <c:pt idx="0">
                  <c:v>-5.625</c:v>
                </c:pt>
                <c:pt idx="1">
                  <c:v>-2.9583333333333339</c:v>
                </c:pt>
                <c:pt idx="2">
                  <c:v>-2.9583333333333339</c:v>
                </c:pt>
                <c:pt idx="3">
                  <c:v>-5.625</c:v>
                </c:pt>
                <c:pt idx="4">
                  <c:v>-5.625</c:v>
                </c:pt>
                <c:pt idx="6">
                  <c:v>2.9583333333333339</c:v>
                </c:pt>
                <c:pt idx="7">
                  <c:v>5.625</c:v>
                </c:pt>
                <c:pt idx="8">
                  <c:v>5.625</c:v>
                </c:pt>
                <c:pt idx="9">
                  <c:v>2.9583333333333339</c:v>
                </c:pt>
                <c:pt idx="10">
                  <c:v>2.9583333333333339</c:v>
                </c:pt>
              </c:numCache>
            </c:numRef>
          </c:xVal>
          <c:yVal>
            <c:numRef>
              <c:f>'Substructure Method'!$R$170:$R$180</c:f>
              <c:numCache>
                <c:formatCode>0.0000</c:formatCode>
                <c:ptCount val="11"/>
                <c:pt idx="0">
                  <c:v>0.50000450573821098</c:v>
                </c:pt>
                <c:pt idx="1">
                  <c:v>0.50000450573821098</c:v>
                </c:pt>
                <c:pt idx="2">
                  <c:v>0.71354617240487761</c:v>
                </c:pt>
                <c:pt idx="3">
                  <c:v>0.71354617240487761</c:v>
                </c:pt>
                <c:pt idx="4">
                  <c:v>0.50000450573821098</c:v>
                </c:pt>
                <c:pt idx="6">
                  <c:v>0.50000450573821098</c:v>
                </c:pt>
                <c:pt idx="7">
                  <c:v>0.50000450573821098</c:v>
                </c:pt>
                <c:pt idx="8">
                  <c:v>0.71354617240487761</c:v>
                </c:pt>
                <c:pt idx="9">
                  <c:v>0.71354617240487761</c:v>
                </c:pt>
                <c:pt idx="10">
                  <c:v>0.50000450573821098</c:v>
                </c:pt>
              </c:numCache>
            </c:numRef>
          </c:yVal>
          <c:smooth val="0"/>
          <c:extLst>
            <c:ext xmlns:c16="http://schemas.microsoft.com/office/drawing/2014/chart" uri="{C3380CC4-5D6E-409C-BE32-E72D297353CC}">
              <c16:uniqueId val="{00000006-4779-42ED-BD39-57BB605C4851}"/>
            </c:ext>
          </c:extLst>
        </c:ser>
        <c:ser>
          <c:idx val="7"/>
          <c:order val="7"/>
          <c:tx>
            <c:strRef>
              <c:f>'Substructure Method'!$P$182</c:f>
              <c:strCache>
                <c:ptCount val="1"/>
                <c:pt idx="0">
                  <c:v>cap top 43.7649</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Method'!$Q$182</c:f>
              <c:numCache>
                <c:formatCode>0.0000</c:formatCode>
                <c:ptCount val="1"/>
                <c:pt idx="0">
                  <c:v>0</c:v>
                </c:pt>
              </c:numCache>
            </c:numRef>
          </c:xVal>
          <c:yVal>
            <c:numRef>
              <c:f>'Substructure Method'!$R$182</c:f>
              <c:numCache>
                <c:formatCode>0.0000</c:formatCode>
                <c:ptCount val="1"/>
                <c:pt idx="0">
                  <c:v>0</c:v>
                </c:pt>
              </c:numCache>
            </c:numRef>
          </c:yVal>
          <c:smooth val="0"/>
          <c:extLst>
            <c:ext xmlns:c16="http://schemas.microsoft.com/office/drawing/2014/chart" uri="{C3380CC4-5D6E-409C-BE32-E72D297353CC}">
              <c16:uniqueId val="{00000007-4779-42ED-BD39-57BB605C4851}"/>
            </c:ext>
          </c:extLst>
        </c:ser>
        <c:ser>
          <c:idx val="8"/>
          <c:order val="8"/>
          <c:tx>
            <c:strRef>
              <c:f>'Substructure Method'!$P$184</c:f>
              <c:strCache>
                <c:ptCount val="1"/>
                <c:pt idx="0">
                  <c:v>cap underside
40.7649</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Method'!$Q$184</c:f>
              <c:numCache>
                <c:formatCode>0.0000</c:formatCode>
                <c:ptCount val="1"/>
                <c:pt idx="0">
                  <c:v>0</c:v>
                </c:pt>
              </c:numCache>
            </c:numRef>
          </c:xVal>
          <c:yVal>
            <c:numRef>
              <c:f>'Substructure Method'!$R$184</c:f>
              <c:numCache>
                <c:formatCode>0.0000</c:formatCode>
                <c:ptCount val="1"/>
                <c:pt idx="0">
                  <c:v>-3</c:v>
                </c:pt>
              </c:numCache>
            </c:numRef>
          </c:yVal>
          <c:smooth val="0"/>
          <c:extLst>
            <c:ext xmlns:c16="http://schemas.microsoft.com/office/drawing/2014/chart" uri="{C3380CC4-5D6E-409C-BE32-E72D297353CC}">
              <c16:uniqueId val="{00000008-4779-42ED-BD39-57BB605C4851}"/>
            </c:ext>
          </c:extLst>
        </c:ser>
        <c:ser>
          <c:idx val="9"/>
          <c:order val="9"/>
          <c:tx>
            <c:strRef>
              <c:f>'Substructure Method'!$P$187</c:f>
              <c:strCache>
                <c:ptCount val="1"/>
                <c:pt idx="0">
                  <c:v>Cap length</c:v>
                </c:pt>
              </c:strCache>
            </c:strRef>
          </c:tx>
          <c:spPr>
            <a:ln w="9525">
              <a:solidFill>
                <a:srgbClr val="1F2A36"/>
              </a:solidFill>
              <a:prstDash val="solid"/>
              <a:headEnd type="triangle" w="sm" len="sm"/>
              <a:tailEnd type="triangle" w="sm" len="sm"/>
            </a:ln>
          </c:spPr>
          <c:marker>
            <c:symbol val="none"/>
          </c:marker>
          <c:xVal>
            <c:numRef>
              <c:f>'Substructure Method'!$Q$187:$Q$188</c:f>
              <c:numCache>
                <c:formatCode>0.0000</c:formatCode>
                <c:ptCount val="2"/>
                <c:pt idx="0">
                  <c:v>-9.5833333333333339</c:v>
                </c:pt>
                <c:pt idx="1">
                  <c:v>9.5833333333333339</c:v>
                </c:pt>
              </c:numCache>
            </c:numRef>
          </c:xVal>
          <c:yVal>
            <c:numRef>
              <c:f>'Substructure Method'!$R$187:$R$188</c:f>
              <c:numCache>
                <c:formatCode>0.0000</c:formatCode>
                <c:ptCount val="2"/>
                <c:pt idx="0">
                  <c:v>-5.7</c:v>
                </c:pt>
                <c:pt idx="1">
                  <c:v>-5.7</c:v>
                </c:pt>
              </c:numCache>
            </c:numRef>
          </c:yVal>
          <c:smooth val="0"/>
          <c:extLst>
            <c:ext xmlns:c16="http://schemas.microsoft.com/office/drawing/2014/chart" uri="{C3380CC4-5D6E-409C-BE32-E72D297353CC}">
              <c16:uniqueId val="{00000009-4779-42ED-BD39-57BB605C4851}"/>
            </c:ext>
          </c:extLst>
        </c:ser>
        <c:ser>
          <c:idx val="10"/>
          <c:order val="10"/>
          <c:tx>
            <c:strRef>
              <c:f>'Substructure Method'!$P$190</c:f>
              <c:strCache>
                <c:ptCount val="1"/>
                <c:pt idx="0">
                  <c:v>cap length 230.0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'Substructure Method'!$Q$190</c:f>
              <c:numCache>
                <c:formatCode>0.0000</c:formatCode>
                <c:ptCount val="1"/>
                <c:pt idx="0">
                  <c:v>0</c:v>
                </c:pt>
              </c:numCache>
            </c:numRef>
          </c:xVal>
          <c:yVal>
            <c:numRef>
              <c:f>'Substructure Method'!$R$190</c:f>
              <c:numCache>
                <c:formatCode>0.0000</c:formatCode>
                <c:ptCount val="1"/>
                <c:pt idx="0">
                  <c:v>-5.7</c:v>
                </c:pt>
              </c:numCache>
            </c:numRef>
          </c:yVal>
          <c:smooth val="0"/>
          <c:extLst>
            <c:ext xmlns:c16="http://schemas.microsoft.com/office/drawing/2014/chart" uri="{C3380CC4-5D6E-409C-BE32-E72D297353CC}">
              <c16:uniqueId val="{0000000A-4779-42ED-BD39-57BB605C4851}"/>
            </c:ext>
          </c:extLst>
        </c:ser>
        <c:ser>
          <c:idx val="11"/>
          <c:order val="11"/>
          <c:tx>
            <c:strRef>
              <c:f>'Substructure Method'!$P$193</c:f>
              <c:strCache>
                <c:ptCount val="1"/>
                <c:pt idx="0">
                  <c:v>frame (invisible, sets the chart window)</c:v>
                </c:pt>
              </c:strCache>
            </c:strRef>
          </c:tx>
          <c:spPr>
            <a:ln>
              <a:noFill/>
              <a:prstDash val="solid"/>
            </a:ln>
          </c:spPr>
          <c:marker>
            <c:symbol val="none"/>
          </c:marker>
          <c:xVal>
            <c:numRef>
              <c:f>'Substructure Method'!$Q$193:$Q$194</c:f>
              <c:numCache>
                <c:formatCode>0.0000</c:formatCode>
                <c:ptCount val="2"/>
                <c:pt idx="0">
                  <c:v>-10.883333333333335</c:v>
                </c:pt>
                <c:pt idx="1">
                  <c:v>10.883333333333335</c:v>
                </c:pt>
              </c:numCache>
            </c:numRef>
          </c:xVal>
          <c:yVal>
            <c:numRef>
              <c:f>'Substructure Method'!$R$193:$R$194</c:f>
              <c:numCache>
                <c:formatCode>0.0000</c:formatCode>
                <c:ptCount val="2"/>
                <c:pt idx="0">
                  <c:v>-6</c:v>
                </c:pt>
                <c:pt idx="1">
                  <c:v>1.7135461724048775</c:v>
                </c:pt>
              </c:numCache>
            </c:numRef>
          </c:yVal>
          <c:smooth val="0"/>
          <c:extLst>
            <c:ext xmlns:c16="http://schemas.microsoft.com/office/drawing/2014/chart" uri="{C3380CC4-5D6E-409C-BE32-E72D297353CC}">
              <c16:uniqueId val="{0000000B-4779-42ED-BD39-57BB605C4851}"/>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Offset from PGL (ft), looking up-station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'Beam Data Method'!$P$8</c:f>
              <c:strCache>
                <c:ptCount val="1"/>
                <c:pt idx="0">
                  <c:v>Beam (half length)</c:v>
                </c:pt>
              </c:strCache>
            </c:strRef>
          </c:tx>
          <c:spPr>
            <a:ln w="25400">
              <a:solidFill>
                <a:srgbClr val="1F2A36"/>
              </a:solidFill>
              <a:prstDash val="solid"/>
            </a:ln>
          </c:spPr>
          <c:marker>
            <c:symbol val="none"/>
          </c:marker>
          <c:xVal>
            <c:numRef>
              <c:f>'Beam Data Method'!$Q$8:$Q$9</c:f>
              <c:numCache>
                <c:formatCode>0.0000</c:formatCode>
                <c:ptCount val="2"/>
                <c:pt idx="0">
                  <c:v>0</c:v>
                </c:pt>
                <c:pt idx="1">
                  <c:v>642.61949851559609</c:v>
                </c:pt>
              </c:numCache>
            </c:numRef>
          </c:xVal>
          <c:yVal>
            <c:numRef>
              <c:f>'Beam Data Method'!$R$8:$R$9</c:f>
              <c:numCache>
                <c:formatCode>0.0000</c:formatCode>
                <c:ptCount val="2"/>
                <c:pt idx="0">
                  <c:v>0</c:v>
                </c:pt>
                <c:pt idx="1">
                  <c:v>0</c:v>
                </c:pt>
              </c:numCache>
            </c:numRef>
          </c:yVal>
          <c:smooth val="0"/>
          <c:extLst>
            <c:ext xmlns:c16="http://schemas.microsoft.com/office/drawing/2014/chart" uri="{C3380CC4-5D6E-409C-BE32-E72D297353CC}">
              <c16:uniqueId val="{00000000-9CBA-4E06-B4BD-3756A5BF4363}"/>
            </c:ext>
          </c:extLst>
        </c:ser>
        <c:ser>
          <c:idx val="1"/>
          <c:order val="1"/>
          <c:tx>
            <c:strRef>
              <c:f>'Beam Data Method'!$P$11</c:f>
              <c:strCache>
                <c:ptCount val="1"/>
                <c:pt idx="0">
                  <c:v>Beam end</c:v>
                </c:pt>
              </c:strCache>
            </c:strRef>
          </c:tx>
          <c:spPr>
            <a:ln w="17780">
              <a:solidFill>
                <a:srgbClr val="1F2A36"/>
              </a:solidFill>
              <a:prstDash val="solid"/>
            </a:ln>
          </c:spPr>
          <c:marker>
            <c:symbol val="none"/>
          </c:marker>
          <c:xVal>
            <c:numRef>
              <c:f>'Beam Data Method'!$Q$11:$Q$12</c:f>
              <c:numCache>
                <c:formatCode>0.0000</c:formatCode>
                <c:ptCount val="2"/>
                <c:pt idx="0">
                  <c:v>0</c:v>
                </c:pt>
                <c:pt idx="1">
                  <c:v>0</c:v>
                </c:pt>
              </c:numCache>
            </c:numRef>
          </c:xVal>
          <c:yVal>
            <c:numRef>
              <c:f>'Beam Data Method'!$R$11:$R$12</c:f>
              <c:numCache>
                <c:formatCode>0.0000</c:formatCode>
                <c:ptCount val="2"/>
                <c:pt idx="0">
                  <c:v>-0.3</c:v>
                </c:pt>
                <c:pt idx="1">
                  <c:v>0.6</c:v>
                </c:pt>
              </c:numCache>
            </c:numRef>
          </c:yVal>
          <c:smooth val="0"/>
          <c:extLst>
            <c:ext xmlns:c16="http://schemas.microsoft.com/office/drawing/2014/chart" uri="{C3380CC4-5D6E-409C-BE32-E72D297353CC}">
              <c16:uniqueId val="{00000001-9CBA-4E06-B4BD-3756A5BF4363}"/>
            </c:ext>
          </c:extLst>
        </c:ser>
        <c:ser>
          <c:idx val="2"/>
          <c:order val="2"/>
          <c:tx>
            <c:strRef>
              <c:f>'Beam Data Method'!$P$14</c:f>
              <c:strCache>
                <c:ptCount val="1"/>
                <c:pt idx="0">
                  <c:v>Midspan</c:v>
                </c:pt>
              </c:strCache>
            </c:strRef>
          </c:tx>
          <c:spPr>
            <a:ln w="12700">
              <a:solidFill>
                <a:srgbClr val="2B6CB0"/>
              </a:solidFill>
              <a:prstDash val="dash"/>
            </a:ln>
          </c:spPr>
          <c:marker>
            <c:symbol val="none"/>
          </c:marker>
          <c:xVal>
            <c:numRef>
              <c:f>'Beam Data Method'!$Q$14:$Q$15</c:f>
              <c:numCache>
                <c:formatCode>0.0000</c:formatCode>
                <c:ptCount val="2"/>
                <c:pt idx="0">
                  <c:v>642.61949851559609</c:v>
                </c:pt>
                <c:pt idx="1">
                  <c:v>642.61949851559609</c:v>
                </c:pt>
              </c:numCache>
            </c:numRef>
          </c:xVal>
          <c:yVal>
            <c:numRef>
              <c:f>'Beam Data Method'!$R$14:$R$15</c:f>
              <c:numCache>
                <c:formatCode>0.0000</c:formatCode>
                <c:ptCount val="2"/>
                <c:pt idx="0">
                  <c:v>-0.3</c:v>
                </c:pt>
                <c:pt idx="1">
                  <c:v>0.6</c:v>
                </c:pt>
              </c:numCache>
            </c:numRef>
          </c:yVal>
          <c:smooth val="0"/>
          <c:extLst>
            <c:ext xmlns:c16="http://schemas.microsoft.com/office/drawing/2014/chart" uri="{C3380CC4-5D6E-409C-BE32-E72D297353CC}">
              <c16:uniqueId val="{00000002-9CBA-4E06-B4BD-3756A5BF4363}"/>
            </c:ext>
          </c:extLst>
        </c:ser>
        <c:ser>
          <c:idx val="3"/>
          <c:order val="3"/>
          <c:tx>
            <c:strRef>
              <c:f>'Beam Data Method'!$P$17</c:f>
              <c:strCache>
                <c:ptCount val="1"/>
                <c:pt idx="0">
                  <c:v>beam end</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Method'!$Q$17</c:f>
              <c:numCache>
                <c:formatCode>0.0000</c:formatCode>
                <c:ptCount val="1"/>
                <c:pt idx="0">
                  <c:v>0</c:v>
                </c:pt>
              </c:numCache>
            </c:numRef>
          </c:xVal>
          <c:yVal>
            <c:numRef>
              <c:f>'Beam Data Method'!$R$17</c:f>
              <c:numCache>
                <c:formatCode>0.0000</c:formatCode>
                <c:ptCount val="1"/>
                <c:pt idx="0">
                  <c:v>0.6</c:v>
                </c:pt>
              </c:numCache>
            </c:numRef>
          </c:yVal>
          <c:smooth val="0"/>
          <c:extLst>
            <c:ext xmlns:c16="http://schemas.microsoft.com/office/drawing/2014/chart" uri="{C3380CC4-5D6E-409C-BE32-E72D297353CC}">
              <c16:uniqueId val="{00000003-9CBA-4E06-B4BD-3756A5BF4363}"/>
            </c:ext>
          </c:extLst>
        </c:ser>
        <c:ser>
          <c:idx val="4"/>
          <c:order val="4"/>
          <c:tx>
            <c:strRef>
              <c:f>'Beam Data Method'!$P$19</c:f>
              <c:strCache>
                <c:ptCount val="1"/>
                <c:pt idx="0">
                  <c:v>midspan</c:v>
                </c:pt>
              </c:strCache>
            </c:strRef>
          </c:tx>
          <c:spPr>
            <a:ln>
              <a:noFill/>
              <a:prstDash val="solid"/>
            </a:ln>
          </c:spPr>
          <c:marker>
            <c:symbol val="none"/>
          </c:marker>
          <c:dLbls>
            <c:spPr>
              <a:noFill/>
              <a:ln>
                <a:noFill/>
              </a:ln>
              <a:effectLst/>
            </c:spPr>
            <c:txPr>
              <a:bodyPr/>
              <a:lstStyle/>
              <a:p>
                <a:pPr>
                  <a:defRPr sz="70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Method'!$Q$19</c:f>
              <c:numCache>
                <c:formatCode>0.0000</c:formatCode>
                <c:ptCount val="1"/>
                <c:pt idx="0">
                  <c:v>642.61949851559609</c:v>
                </c:pt>
              </c:numCache>
            </c:numRef>
          </c:xVal>
          <c:yVal>
            <c:numRef>
              <c:f>'Beam Data Method'!$R$19</c:f>
              <c:numCache>
                <c:formatCode>0.0000</c:formatCode>
                <c:ptCount val="1"/>
                <c:pt idx="0">
                  <c:v>0.6</c:v>
                </c:pt>
              </c:numCache>
            </c:numRef>
          </c:yVal>
          <c:smooth val="0"/>
          <c:extLst>
            <c:ext xmlns:c16="http://schemas.microsoft.com/office/drawing/2014/chart" uri="{C3380CC4-5D6E-409C-BE32-E72D297353CC}">
              <c16:uniqueId val="{00000004-9CBA-4E06-B4BD-3756A5BF4363}"/>
            </c:ext>
          </c:extLst>
        </c:ser>
        <c:ser>
          <c:idx val="5"/>
          <c:order val="5"/>
          <c:tx>
            <c:strRef>
              <c:f>'Beam Data Method'!$P$22</c:f>
              <c:strCache>
                <c:ptCount val="1"/>
                <c:pt idx="0">
                  <c:v>Zone S*</c:v>
                </c:pt>
              </c:strCache>
            </c:strRef>
          </c:tx>
          <c:spPr>
            <a:ln w="114300">
              <a:solidFill>
                <a:srgbClr val="C0392B"/>
              </a:solidFill>
              <a:prstDash val="solid"/>
            </a:ln>
          </c:spPr>
          <c:marker>
            <c:symbol val="none"/>
          </c:marker>
          <c:xVal>
            <c:numRef>
              <c:f>'Beam Data Method'!$Q$22:$Q$23</c:f>
              <c:numCache>
                <c:formatCode>0.0000</c:formatCode>
                <c:ptCount val="2"/>
                <c:pt idx="0">
                  <c:v>3</c:v>
                </c:pt>
                <c:pt idx="1">
                  <c:v>17</c:v>
                </c:pt>
              </c:numCache>
            </c:numRef>
          </c:xVal>
          <c:yVal>
            <c:numRef>
              <c:f>'Beam Data Method'!$R$22:$R$23</c:f>
              <c:numCache>
                <c:formatCode>0.0000</c:formatCode>
                <c:ptCount val="2"/>
                <c:pt idx="0">
                  <c:v>0</c:v>
                </c:pt>
                <c:pt idx="1">
                  <c:v>0</c:v>
                </c:pt>
              </c:numCache>
            </c:numRef>
          </c:yVal>
          <c:smooth val="0"/>
          <c:extLst>
            <c:ext xmlns:c16="http://schemas.microsoft.com/office/drawing/2014/chart" uri="{C3380CC4-5D6E-409C-BE32-E72D297353CC}">
              <c16:uniqueId val="{00000005-9CBA-4E06-B4BD-3756A5BF4363}"/>
            </c:ext>
          </c:extLst>
        </c:ser>
        <c:ser>
          <c:idx val="6"/>
          <c:order val="6"/>
          <c:tx>
            <c:strRef>
              <c:f>'Beam Data Method'!$P$25</c:f>
              <c:strCache>
                <c:ptCount val="1"/>
                <c:pt idx="0">
                  <c:v>S*: 4 @ 3.5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Method'!$Q$25</c:f>
              <c:numCache>
                <c:formatCode>0.0000</c:formatCode>
                <c:ptCount val="1"/>
                <c:pt idx="0">
                  <c:v>10</c:v>
                </c:pt>
              </c:numCache>
            </c:numRef>
          </c:xVal>
          <c:yVal>
            <c:numRef>
              <c:f>'Beam Data Method'!$R$25</c:f>
              <c:numCache>
                <c:formatCode>0.0000</c:formatCode>
                <c:ptCount val="1"/>
                <c:pt idx="0">
                  <c:v>0.22</c:v>
                </c:pt>
              </c:numCache>
            </c:numRef>
          </c:yVal>
          <c:smooth val="0"/>
          <c:extLst>
            <c:ext xmlns:c16="http://schemas.microsoft.com/office/drawing/2014/chart" uri="{C3380CC4-5D6E-409C-BE32-E72D297353CC}">
              <c16:uniqueId val="{00000006-9CBA-4E06-B4BD-3756A5BF4363}"/>
            </c:ext>
          </c:extLst>
        </c:ser>
        <c:ser>
          <c:idx val="7"/>
          <c:order val="7"/>
          <c:tx>
            <c:strRef>
              <c:f>'Beam Data Method'!$P$28</c:f>
              <c:strCache>
                <c:ptCount val="1"/>
                <c:pt idx="0">
                  <c:v>Zone Sj</c:v>
                </c:pt>
              </c:strCache>
            </c:strRef>
          </c:tx>
          <c:spPr>
            <a:ln w="114300">
              <a:solidFill>
                <a:srgbClr val="E67E22"/>
              </a:solidFill>
              <a:prstDash val="solid"/>
            </a:ln>
          </c:spPr>
          <c:marker>
            <c:symbol val="none"/>
          </c:marker>
          <c:xVal>
            <c:numRef>
              <c:f>'Beam Data Method'!$Q$28:$Q$29</c:f>
              <c:numCache>
                <c:formatCode>0.0000</c:formatCode>
                <c:ptCount val="2"/>
                <c:pt idx="0">
                  <c:v>17</c:v>
                </c:pt>
                <c:pt idx="1">
                  <c:v>53</c:v>
                </c:pt>
              </c:numCache>
            </c:numRef>
          </c:xVal>
          <c:yVal>
            <c:numRef>
              <c:f>'Beam Data Method'!$R$28:$R$29</c:f>
              <c:numCache>
                <c:formatCode>0.0000</c:formatCode>
                <c:ptCount val="2"/>
                <c:pt idx="0">
                  <c:v>0</c:v>
                </c:pt>
                <c:pt idx="1">
                  <c:v>0</c:v>
                </c:pt>
              </c:numCache>
            </c:numRef>
          </c:yVal>
          <c:smooth val="0"/>
          <c:extLst>
            <c:ext xmlns:c16="http://schemas.microsoft.com/office/drawing/2014/chart" uri="{C3380CC4-5D6E-409C-BE32-E72D297353CC}">
              <c16:uniqueId val="{00000007-9CBA-4E06-B4BD-3756A5BF4363}"/>
            </c:ext>
          </c:extLst>
        </c:ser>
        <c:ser>
          <c:idx val="8"/>
          <c:order val="8"/>
          <c:tx>
            <c:strRef>
              <c:f>'Beam Data Method'!$P$31</c:f>
              <c:strCache>
                <c:ptCount val="1"/>
                <c:pt idx="0">
                  <c:v>Sj: 12 @ 3 in</c:v>
                </c:pt>
              </c:strCache>
            </c:strRef>
          </c:tx>
          <c:spPr>
            <a:ln>
              <a:noFill/>
              <a:prstDash val="solid"/>
            </a:ln>
          </c:spPr>
          <c:marker>
            <c:symbol val="none"/>
          </c:marker>
          <c:dLbls>
            <c:spPr>
              <a:noFill/>
              <a:ln>
                <a:noFill/>
              </a:ln>
              <a:effectLst/>
            </c:spPr>
            <c:txPr>
              <a:bodyPr/>
              <a:lstStyle/>
              <a:p>
                <a:pPr>
                  <a:defRPr sz="750" b="0">
                    <a:solidFill>
                      <a:srgbClr val="E67E22"/>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Method'!$Q$31</c:f>
              <c:numCache>
                <c:formatCode>0.0000</c:formatCode>
                <c:ptCount val="1"/>
                <c:pt idx="0">
                  <c:v>35</c:v>
                </c:pt>
              </c:numCache>
            </c:numRef>
          </c:xVal>
          <c:yVal>
            <c:numRef>
              <c:f>'Beam Data Method'!$R$31</c:f>
              <c:numCache>
                <c:formatCode>0.0000</c:formatCode>
                <c:ptCount val="1"/>
                <c:pt idx="0">
                  <c:v>-0.22</c:v>
                </c:pt>
              </c:numCache>
            </c:numRef>
          </c:yVal>
          <c:smooth val="0"/>
          <c:extLst>
            <c:ext xmlns:c16="http://schemas.microsoft.com/office/drawing/2014/chart" uri="{C3380CC4-5D6E-409C-BE32-E72D297353CC}">
              <c16:uniqueId val="{00000008-9CBA-4E06-B4BD-3756A5BF4363}"/>
            </c:ext>
          </c:extLst>
        </c:ser>
        <c:ser>
          <c:idx val="9"/>
          <c:order val="9"/>
          <c:tx>
            <c:strRef>
              <c:f>'Beam Data Method'!$P$34</c:f>
              <c:strCache>
                <c:ptCount val="1"/>
                <c:pt idx="0">
                  <c:v>Zone S1</c:v>
                </c:pt>
              </c:strCache>
            </c:strRef>
          </c:tx>
          <c:spPr>
            <a:ln w="114300">
              <a:solidFill>
                <a:srgbClr val="2B6CB0"/>
              </a:solidFill>
              <a:prstDash val="solid"/>
            </a:ln>
          </c:spPr>
          <c:marker>
            <c:symbol val="none"/>
          </c:marker>
          <c:xVal>
            <c:numRef>
              <c:f>'Beam Data Method'!$Q$34:$Q$35</c:f>
              <c:numCache>
                <c:formatCode>0.0000</c:formatCode>
                <c:ptCount val="2"/>
                <c:pt idx="0">
                  <c:v>53</c:v>
                </c:pt>
                <c:pt idx="1">
                  <c:v>232.99999999999997</c:v>
                </c:pt>
              </c:numCache>
            </c:numRef>
          </c:xVal>
          <c:yVal>
            <c:numRef>
              <c:f>'Beam Data Method'!$R$34:$R$35</c:f>
              <c:numCache>
                <c:formatCode>0.0000</c:formatCode>
                <c:ptCount val="2"/>
                <c:pt idx="0">
                  <c:v>0</c:v>
                </c:pt>
                <c:pt idx="1">
                  <c:v>0</c:v>
                </c:pt>
              </c:numCache>
            </c:numRef>
          </c:yVal>
          <c:smooth val="0"/>
          <c:extLst>
            <c:ext xmlns:c16="http://schemas.microsoft.com/office/drawing/2014/chart" uri="{C3380CC4-5D6E-409C-BE32-E72D297353CC}">
              <c16:uniqueId val="{00000009-9CBA-4E06-B4BD-3756A5BF4363}"/>
            </c:ext>
          </c:extLst>
        </c:ser>
        <c:ser>
          <c:idx val="10"/>
          <c:order val="10"/>
          <c:tx>
            <c:strRef>
              <c:f>'Beam Data Method'!$P$37</c:f>
              <c:strCache>
                <c:ptCount val="1"/>
                <c:pt idx="0">
                  <c:v>S1: 30 @ 6 in</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Method'!$Q$37</c:f>
              <c:numCache>
                <c:formatCode>0.0000</c:formatCode>
                <c:ptCount val="1"/>
                <c:pt idx="0">
                  <c:v>143</c:v>
                </c:pt>
              </c:numCache>
            </c:numRef>
          </c:xVal>
          <c:yVal>
            <c:numRef>
              <c:f>'Beam Data Method'!$R$37</c:f>
              <c:numCache>
                <c:formatCode>0.0000</c:formatCode>
                <c:ptCount val="1"/>
                <c:pt idx="0">
                  <c:v>0.22</c:v>
                </c:pt>
              </c:numCache>
            </c:numRef>
          </c:yVal>
          <c:smooth val="0"/>
          <c:extLst>
            <c:ext xmlns:c16="http://schemas.microsoft.com/office/drawing/2014/chart" uri="{C3380CC4-5D6E-409C-BE32-E72D297353CC}">
              <c16:uniqueId val="{0000000A-9CBA-4E06-B4BD-3756A5BF4363}"/>
            </c:ext>
          </c:extLst>
        </c:ser>
        <c:ser>
          <c:idx val="11"/>
          <c:order val="11"/>
          <c:tx>
            <c:strRef>
              <c:f>'Beam Data Method'!$P$40</c:f>
              <c:strCache>
                <c:ptCount val="1"/>
                <c:pt idx="0">
                  <c:v>Zone S2</c:v>
                </c:pt>
              </c:strCache>
            </c:strRef>
          </c:tx>
          <c:spPr>
            <a:ln w="114300">
              <a:solidFill>
                <a:srgbClr val="2F855A"/>
              </a:solidFill>
              <a:prstDash val="solid"/>
            </a:ln>
          </c:spPr>
          <c:marker>
            <c:symbol val="none"/>
          </c:marker>
          <c:xVal>
            <c:numRef>
              <c:f>'Beam Data Method'!$Q$40:$Q$41</c:f>
              <c:numCache>
                <c:formatCode>0.0000</c:formatCode>
                <c:ptCount val="2"/>
                <c:pt idx="0">
                  <c:v>232.99999999999997</c:v>
                </c:pt>
                <c:pt idx="1">
                  <c:v>413</c:v>
                </c:pt>
              </c:numCache>
            </c:numRef>
          </c:xVal>
          <c:yVal>
            <c:numRef>
              <c:f>'Beam Data Method'!$R$40:$R$41</c:f>
              <c:numCache>
                <c:formatCode>0.0000</c:formatCode>
                <c:ptCount val="2"/>
                <c:pt idx="0">
                  <c:v>0</c:v>
                </c:pt>
                <c:pt idx="1">
                  <c:v>0</c:v>
                </c:pt>
              </c:numCache>
            </c:numRef>
          </c:yVal>
          <c:smooth val="0"/>
          <c:extLst>
            <c:ext xmlns:c16="http://schemas.microsoft.com/office/drawing/2014/chart" uri="{C3380CC4-5D6E-409C-BE32-E72D297353CC}">
              <c16:uniqueId val="{0000000B-9CBA-4E06-B4BD-3756A5BF4363}"/>
            </c:ext>
          </c:extLst>
        </c:ser>
        <c:ser>
          <c:idx val="12"/>
          <c:order val="12"/>
          <c:tx>
            <c:strRef>
              <c:f>'Beam Data Method'!$P$43</c:f>
              <c:strCache>
                <c:ptCount val="1"/>
                <c:pt idx="0">
                  <c:v>S2: 20 @ 9 in</c:v>
                </c:pt>
              </c:strCache>
            </c:strRef>
          </c:tx>
          <c:spPr>
            <a:ln>
              <a:noFill/>
              <a:prstDash val="solid"/>
            </a:ln>
          </c:spPr>
          <c:marker>
            <c:symbol val="none"/>
          </c:marker>
          <c:dLbls>
            <c:spPr>
              <a:noFill/>
              <a:ln>
                <a:noFill/>
              </a:ln>
              <a:effectLst/>
            </c:spPr>
            <c:txPr>
              <a:bodyPr/>
              <a:lstStyle/>
              <a:p>
                <a:pPr>
                  <a:defRPr sz="750" b="0">
                    <a:solidFill>
                      <a:srgbClr val="2F855A"/>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Method'!$Q$43</c:f>
              <c:numCache>
                <c:formatCode>0.0000</c:formatCode>
                <c:ptCount val="1"/>
                <c:pt idx="0">
                  <c:v>323</c:v>
                </c:pt>
              </c:numCache>
            </c:numRef>
          </c:xVal>
          <c:yVal>
            <c:numRef>
              <c:f>'Beam Data Method'!$R$43</c:f>
              <c:numCache>
                <c:formatCode>0.0000</c:formatCode>
                <c:ptCount val="1"/>
                <c:pt idx="0">
                  <c:v>-0.22</c:v>
                </c:pt>
              </c:numCache>
            </c:numRef>
          </c:yVal>
          <c:smooth val="0"/>
          <c:extLst>
            <c:ext xmlns:c16="http://schemas.microsoft.com/office/drawing/2014/chart" uri="{C3380CC4-5D6E-409C-BE32-E72D297353CC}">
              <c16:uniqueId val="{0000000C-9CBA-4E06-B4BD-3756A5BF4363}"/>
            </c:ext>
          </c:extLst>
        </c:ser>
        <c:ser>
          <c:idx val="13"/>
          <c:order val="13"/>
          <c:tx>
            <c:strRef>
              <c:f>'Beam Data Method'!$P$46</c:f>
              <c:strCache>
                <c:ptCount val="1"/>
                <c:pt idx="0">
                  <c:v>Zone S3</c:v>
                </c:pt>
              </c:strCache>
            </c:strRef>
          </c:tx>
          <c:spPr>
            <a:ln w="114300">
              <a:solidFill>
                <a:srgbClr val="6B46C1"/>
              </a:solidFill>
              <a:prstDash val="solid"/>
            </a:ln>
          </c:spPr>
          <c:marker>
            <c:symbol val="none"/>
          </c:marker>
          <c:xVal>
            <c:numRef>
              <c:f>'Beam Data Method'!$Q$46:$Q$47</c:f>
              <c:numCache>
                <c:formatCode>0.0000</c:formatCode>
                <c:ptCount val="2"/>
                <c:pt idx="0">
                  <c:v>413</c:v>
                </c:pt>
                <c:pt idx="1">
                  <c:v>473</c:v>
                </c:pt>
              </c:numCache>
            </c:numRef>
          </c:xVal>
          <c:yVal>
            <c:numRef>
              <c:f>'Beam Data Method'!$R$46:$R$47</c:f>
              <c:numCache>
                <c:formatCode>0.0000</c:formatCode>
                <c:ptCount val="2"/>
                <c:pt idx="0">
                  <c:v>0</c:v>
                </c:pt>
                <c:pt idx="1">
                  <c:v>0</c:v>
                </c:pt>
              </c:numCache>
            </c:numRef>
          </c:yVal>
          <c:smooth val="0"/>
          <c:extLst>
            <c:ext xmlns:c16="http://schemas.microsoft.com/office/drawing/2014/chart" uri="{C3380CC4-5D6E-409C-BE32-E72D297353CC}">
              <c16:uniqueId val="{0000000D-9CBA-4E06-B4BD-3756A5BF4363}"/>
            </c:ext>
          </c:extLst>
        </c:ser>
        <c:ser>
          <c:idx val="14"/>
          <c:order val="14"/>
          <c:tx>
            <c:strRef>
              <c:f>'Beam Data Method'!$P$49</c:f>
              <c:strCache>
                <c:ptCount val="1"/>
                <c:pt idx="0">
                  <c:v>S3: 5 @ 12 in</c:v>
                </c:pt>
              </c:strCache>
            </c:strRef>
          </c:tx>
          <c:spPr>
            <a:ln>
              <a:noFill/>
              <a:prstDash val="solid"/>
            </a:ln>
          </c:spPr>
          <c:marker>
            <c:symbol val="none"/>
          </c:marker>
          <c:dLbls>
            <c:spPr>
              <a:noFill/>
              <a:ln>
                <a:noFill/>
              </a:ln>
              <a:effectLst/>
            </c:spPr>
            <c:txPr>
              <a:bodyPr/>
              <a:lstStyle/>
              <a:p>
                <a:pPr>
                  <a:defRPr sz="750" b="0">
                    <a:solidFill>
                      <a:srgbClr val="6B46C1"/>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Method'!$Q$49</c:f>
              <c:numCache>
                <c:formatCode>0.0000</c:formatCode>
                <c:ptCount val="1"/>
                <c:pt idx="0">
                  <c:v>443</c:v>
                </c:pt>
              </c:numCache>
            </c:numRef>
          </c:xVal>
          <c:yVal>
            <c:numRef>
              <c:f>'Beam Data Method'!$R$49</c:f>
              <c:numCache>
                <c:formatCode>0.0000</c:formatCode>
                <c:ptCount val="1"/>
                <c:pt idx="0">
                  <c:v>0.22</c:v>
                </c:pt>
              </c:numCache>
            </c:numRef>
          </c:yVal>
          <c:smooth val="0"/>
          <c:extLst>
            <c:ext xmlns:c16="http://schemas.microsoft.com/office/drawing/2014/chart" uri="{C3380CC4-5D6E-409C-BE32-E72D297353CC}">
              <c16:uniqueId val="{0000000E-9CBA-4E06-B4BD-3756A5BF4363}"/>
            </c:ext>
          </c:extLst>
        </c:ser>
        <c:ser>
          <c:idx val="15"/>
          <c:order val="15"/>
          <c:tx>
            <c:strRef>
              <c:f>'Beam Data Method'!$P$52</c:f>
              <c:strCache>
                <c:ptCount val="1"/>
                <c:pt idx="0">
                  <c:v>Zone S4</c:v>
                </c:pt>
              </c:strCache>
            </c:strRef>
          </c:tx>
          <c:spPr>
            <a:ln w="114300">
              <a:solidFill>
                <a:srgbClr val="B7791F"/>
              </a:solidFill>
              <a:prstDash val="solid"/>
            </a:ln>
          </c:spPr>
          <c:marker>
            <c:symbol val="none"/>
          </c:marker>
          <c:xVal>
            <c:numRef>
              <c:f>'Beam Data Method'!$Q$52:$Q$53</c:f>
              <c:numCache>
                <c:formatCode>0.0000</c:formatCode>
                <c:ptCount val="2"/>
                <c:pt idx="0">
                  <c:v>473</c:v>
                </c:pt>
                <c:pt idx="1">
                  <c:v>635</c:v>
                </c:pt>
              </c:numCache>
            </c:numRef>
          </c:xVal>
          <c:yVal>
            <c:numRef>
              <c:f>'Beam Data Method'!$R$52:$R$53</c:f>
              <c:numCache>
                <c:formatCode>0.0000</c:formatCode>
                <c:ptCount val="2"/>
                <c:pt idx="0">
                  <c:v>0</c:v>
                </c:pt>
                <c:pt idx="1">
                  <c:v>0</c:v>
                </c:pt>
              </c:numCache>
            </c:numRef>
          </c:yVal>
          <c:smooth val="0"/>
          <c:extLst>
            <c:ext xmlns:c16="http://schemas.microsoft.com/office/drawing/2014/chart" uri="{C3380CC4-5D6E-409C-BE32-E72D297353CC}">
              <c16:uniqueId val="{0000000F-9CBA-4E06-B4BD-3756A5BF4363}"/>
            </c:ext>
          </c:extLst>
        </c:ser>
        <c:ser>
          <c:idx val="16"/>
          <c:order val="16"/>
          <c:tx>
            <c:strRef>
              <c:f>'Beam Data Method'!$P$55</c:f>
              <c:strCache>
                <c:ptCount val="1"/>
                <c:pt idx="0">
                  <c:v>S4: 9 @ 18 in</c:v>
                </c:pt>
              </c:strCache>
            </c:strRef>
          </c:tx>
          <c:spPr>
            <a:ln>
              <a:noFill/>
              <a:prstDash val="solid"/>
            </a:ln>
          </c:spPr>
          <c:marker>
            <c:symbol val="none"/>
          </c:marker>
          <c:dLbls>
            <c:spPr>
              <a:noFill/>
              <a:ln>
                <a:noFill/>
              </a:ln>
              <a:effectLst/>
            </c:spPr>
            <c:txPr>
              <a:bodyPr/>
              <a:lstStyle/>
              <a:p>
                <a:pPr>
                  <a:defRPr sz="750" b="0">
                    <a:solidFill>
                      <a:srgbClr val="B7791F"/>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'Beam Data Method'!$Q$55</c:f>
              <c:numCache>
                <c:formatCode>0.0000</c:formatCode>
                <c:ptCount val="1"/>
                <c:pt idx="0">
                  <c:v>554</c:v>
                </c:pt>
              </c:numCache>
            </c:numRef>
          </c:xVal>
          <c:yVal>
            <c:numRef>
              <c:f>'Beam Data Method'!$R$55</c:f>
              <c:numCache>
                <c:formatCode>0.0000</c:formatCode>
                <c:ptCount val="1"/>
                <c:pt idx="0">
                  <c:v>-0.22</c:v>
                </c:pt>
              </c:numCache>
            </c:numRef>
          </c:yVal>
          <c:smooth val="0"/>
          <c:extLst>
            <c:ext xmlns:c16="http://schemas.microsoft.com/office/drawing/2014/chart" uri="{C3380CC4-5D6E-409C-BE32-E72D297353CC}">
              <c16:uniqueId val="{00000010-9CBA-4E06-B4BD-3756A5BF4363}"/>
            </c:ext>
          </c:extLst>
        </c:ser>
        <c:ser>
          <c:idx val="17"/>
          <c:order val="17"/>
          <c:tx>
            <c:strRef>
              <c:f>'Beam Data Method'!$P$57</c:f>
              <c:strCache>
                <c:ptCount val="1"/>
                <c:pt idx="0">
                  <c:v>frame (invisible, sets the chart window)</c:v>
                </c:pt>
              </c:strCache>
            </c:strRef>
          </c:tx>
          <c:spPr>
            <a:ln>
              <a:noFill/>
              <a:prstDash val="solid"/>
            </a:ln>
          </c:spPr>
          <c:marker>
            <c:symbol val="none"/>
          </c:marker>
          <c:xVal>
            <c:numRef>
              <c:f>'Beam Data Method'!$Q$57:$Q$58</c:f>
              <c:numCache>
                <c:formatCode>0.0000</c:formatCode>
                <c:ptCount val="2"/>
                <c:pt idx="0">
                  <c:v>-12</c:v>
                </c:pt>
                <c:pt idx="1">
                  <c:v>654.61949851559609</c:v>
                </c:pt>
              </c:numCache>
            </c:numRef>
          </c:xVal>
          <c:yVal>
            <c:numRef>
              <c:f>'Beam Data Method'!$R$57:$R$58</c:f>
              <c:numCache>
                <c:formatCode>0.0000</c:formatCode>
                <c:ptCount val="2"/>
                <c:pt idx="0">
                  <c:v>-1</c:v>
                </c:pt>
                <c:pt idx="1">
                  <c:v>1.1000000000000001</c:v>
                </c:pt>
              </c:numCache>
            </c:numRef>
          </c:yVal>
          <c:smooth val="0"/>
          <c:extLst>
            <c:ext xmlns:c16="http://schemas.microsoft.com/office/drawing/2014/chart" uri="{C3380CC4-5D6E-409C-BE32-E72D297353CC}">
              <c16:uniqueId val="{00000011-9CBA-4E06-B4BD-3756A5BF4363}"/>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Distance from beam end (in)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'Clearance Method'!$P$10</c:f>
              <c:strCache>
                <c:ptCount val="1"/>
                <c:pt idx="0">
                  <c:v>Clearance under Span 1 beams</c:v>
                </c:pt>
              </c:strCache>
            </c:strRef>
          </c:tx>
          <c:spPr>
            <a:ln w="19050">
              <a:solidFill>
                <a:srgbClr val="1F2A36"/>
              </a:solidFill>
              <a:prstDash val="solid"/>
            </a:ln>
          </c:spPr>
          <c:marker>
            <c:symbol val="none"/>
          </c:marker>
          <c:xVal>
            <c:numRef>
              <c:f>'Clearance Method'!$Q$10:$Q$40</c:f>
              <c:numCache>
                <c:formatCode>0.0000</c:formatCode>
                <c:ptCount val="31"/>
                <c:pt idx="0">
                  <c:v>1593.47</c:v>
                </c:pt>
                <c:pt idx="1">
                  <c:v>1597.0358333333334</c:v>
                </c:pt>
                <c:pt idx="2">
                  <c:v>1600.6016666666667</c:v>
                </c:pt>
                <c:pt idx="3">
                  <c:v>1604.1675</c:v>
                </c:pt>
                <c:pt idx="4">
                  <c:v>1607.7333333333333</c:v>
                </c:pt>
                <c:pt idx="5">
                  <c:v>1611.2991666666667</c:v>
                </c:pt>
                <c:pt idx="6">
                  <c:v>1614.865</c:v>
                </c:pt>
                <c:pt idx="7">
                  <c:v>1618.4308333333333</c:v>
                </c:pt>
                <c:pt idx="8">
                  <c:v>1621.9966666666667</c:v>
                </c:pt>
                <c:pt idx="9">
                  <c:v>1625.5625</c:v>
                </c:pt>
                <c:pt idx="10">
                  <c:v>1629.1283333333333</c:v>
                </c:pt>
                <c:pt idx="11">
                  <c:v>1632.6941666666667</c:v>
                </c:pt>
                <c:pt idx="12">
                  <c:v>1636.26</c:v>
                </c:pt>
                <c:pt idx="13">
                  <c:v>1639.8258333333333</c:v>
                </c:pt>
                <c:pt idx="14">
                  <c:v>1643.3916666666667</c:v>
                </c:pt>
                <c:pt idx="15">
                  <c:v>1646.9575</c:v>
                </c:pt>
                <c:pt idx="16">
                  <c:v>1650.5233333333333</c:v>
                </c:pt>
                <c:pt idx="17">
                  <c:v>1654.0891666666666</c:v>
                </c:pt>
                <c:pt idx="18">
                  <c:v>1657.655</c:v>
                </c:pt>
                <c:pt idx="19">
                  <c:v>1661.2208333333333</c:v>
                </c:pt>
                <c:pt idx="20">
                  <c:v>1664.7866666666666</c:v>
                </c:pt>
                <c:pt idx="21">
                  <c:v>1668.3525</c:v>
                </c:pt>
                <c:pt idx="22">
                  <c:v>1671.9183333333333</c:v>
                </c:pt>
                <c:pt idx="23">
                  <c:v>1675.4841666666666</c:v>
                </c:pt>
                <c:pt idx="24">
                  <c:v>1679.05</c:v>
                </c:pt>
                <c:pt idx="25">
                  <c:v>1682.6158333333333</c:v>
                </c:pt>
                <c:pt idx="26">
                  <c:v>1686.1816666666666</c:v>
                </c:pt>
                <c:pt idx="27">
                  <c:v>1689.7474999999999</c:v>
                </c:pt>
                <c:pt idx="28">
                  <c:v>1693.3133333333333</c:v>
                </c:pt>
                <c:pt idx="29">
                  <c:v>1696.8791666666666</c:v>
                </c:pt>
                <c:pt idx="30">
                  <c:v>1700.4449999999999</c:v>
                </c:pt>
              </c:numCache>
            </c:numRef>
          </c:xVal>
          <c:yVal>
            <c:numRef>
              <c:f>'Clearance Method'!$R$10:$R$40</c:f>
              <c:numCache>
                <c:formatCode>0.0000</c:formatCode>
                <c:ptCount val="31"/>
                <c:pt idx="0">
                  <c:v>19.929016876514414</c:v>
                </c:pt>
                <c:pt idx="1">
                  <c:v>20.086473798954362</c:v>
                </c:pt>
                <c:pt idx="2">
                  <c:v>20.040782808211656</c:v>
                </c:pt>
                <c:pt idx="3">
                  <c:v>19.40287279712075</c:v>
                </c:pt>
                <c:pt idx="4">
                  <c:v>19.547723242380275</c:v>
                </c:pt>
                <c:pt idx="5">
                  <c:v>20.061320063936829</c:v>
                </c:pt>
                <c:pt idx="6">
                  <c:v>20.589586678675147</c:v>
                </c:pt>
                <c:pt idx="7">
                  <c:v>21.126056304359345</c:v>
                </c:pt>
                <c:pt idx="8">
                  <c:v>21.405767006267851</c:v>
                </c:pt>
                <c:pt idx="9">
                  <c:v>21.531973616708314</c:v>
                </c:pt>
                <c:pt idx="10">
                  <c:v>21.349258740129095</c:v>
                </c:pt>
                <c:pt idx="11">
                  <c:v>21.03021417654508</c:v>
                </c:pt>
                <c:pt idx="12">
                  <c:v>20.531659160290125</c:v>
                </c:pt>
                <c:pt idx="13">
                  <c:v>19.936046635826827</c:v>
                </c:pt>
                <c:pt idx="14">
                  <c:v>19.453952730166165</c:v>
                </c:pt>
                <c:pt idx="15">
                  <c:v>19.478631240799682</c:v>
                </c:pt>
                <c:pt idx="16">
                  <c:v>19.245025108256705</c:v>
                </c:pt>
                <c:pt idx="17">
                  <c:v>19.017917290640106</c:v>
                </c:pt>
                <c:pt idx="18">
                  <c:v>18.91025855508785</c:v>
                </c:pt>
                <c:pt idx="19">
                  <c:v>18.856602581426056</c:v>
                </c:pt>
                <c:pt idx="20">
                  <c:v>18.799411842040822</c:v>
                </c:pt>
                <c:pt idx="21">
                  <c:v>18.756109878557119</c:v>
                </c:pt>
                <c:pt idx="22">
                  <c:v>18.755586310335577</c:v>
                </c:pt>
                <c:pt idx="23">
                  <c:v>18.738764189872938</c:v>
                </c:pt>
                <c:pt idx="24">
                  <c:v>18.719149840895305</c:v>
                </c:pt>
                <c:pt idx="25">
                  <c:v>18.653582008084378</c:v>
                </c:pt>
                <c:pt idx="26">
                  <c:v>18.576440808457885</c:v>
                </c:pt>
                <c:pt idx="27">
                  <c:v>18.544832468281641</c:v>
                </c:pt>
                <c:pt idx="28">
                  <c:v>18.461295262291806</c:v>
                </c:pt>
                <c:pt idx="29">
                  <c:v>18.452054993771835</c:v>
                </c:pt>
                <c:pt idx="30">
                  <c:v>18.422441803107869</c:v>
                </c:pt>
              </c:numCache>
            </c:numRef>
          </c:yVal>
          <c:smooth val="0"/>
          <c:extLst>
            <c:ext xmlns:c16="http://schemas.microsoft.com/office/drawing/2014/chart" uri="{C3380CC4-5D6E-409C-BE32-E72D297353CC}">
              <c16:uniqueId val="{00000000-B02A-4BEB-9117-94A65A529EFF}"/>
            </c:ext>
          </c:extLst>
        </c:ser>
        <c:ser>
          <c:idx val="1"/>
          <c:order val="1"/>
          <c:tx>
            <c:strRef>
              <c:f>'Clearance Method'!$P$42</c:f>
              <c:strCache>
                <c:ptCount val="1"/>
                <c:pt idx="0">
                  <c:v>Span 1 beams</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'Clearance Method'!$Q$42</c:f>
              <c:numCache>
                <c:formatCode>0.0000</c:formatCode>
                <c:ptCount val="1"/>
                <c:pt idx="0">
                  <c:v>1618.4308333333333</c:v>
                </c:pt>
              </c:numCache>
            </c:numRef>
          </c:xVal>
          <c:yVal>
            <c:numRef>
              <c:f>'Clearance Method'!$R$42</c:f>
              <c:numCache>
                <c:formatCode>0.0000</c:formatCode>
                <c:ptCount val="1"/>
                <c:pt idx="0">
                  <c:v>21.531973616708314</c:v>
                </c:pt>
              </c:numCache>
            </c:numRef>
          </c:yVal>
          <c:smooth val="0"/>
          <c:extLst>
            <c:ext xmlns:c16="http://schemas.microsoft.com/office/drawing/2014/chart" uri="{C3380CC4-5D6E-409C-BE32-E72D297353CC}">
              <c16:uniqueId val="{00000001-B02A-4BEB-9117-94A65A529EFF}"/>
            </c:ext>
          </c:extLst>
        </c:ser>
        <c:ser>
          <c:idx val="2"/>
          <c:order val="2"/>
          <c:tx>
            <c:strRef>
              <c:f>'Clearance Method'!$P$46</c:f>
              <c:strCache>
                <c:ptCount val="1"/>
                <c:pt idx="0">
                  <c:v>Clearance under Span 2 beams</c:v>
                </c:pt>
              </c:strCache>
            </c:strRef>
          </c:tx>
          <c:spPr>
            <a:ln w="19050">
              <a:solidFill>
                <a:srgbClr val="1F2A36"/>
              </a:solidFill>
              <a:prstDash val="solid"/>
            </a:ln>
          </c:spPr>
          <c:marker>
            <c:symbol val="none"/>
          </c:marker>
          <c:xVal>
            <c:numRef>
              <c:f>'Clearance Method'!$Q$46:$Q$76</c:f>
              <c:numCache>
                <c:formatCode>0.0000</c:formatCode>
                <c:ptCount val="31"/>
                <c:pt idx="0">
                  <c:v>1700.6949999999999</c:v>
                </c:pt>
                <c:pt idx="1">
                  <c:v>1704.0202295333333</c:v>
                </c:pt>
                <c:pt idx="2">
                  <c:v>1707.3454590666665</c:v>
                </c:pt>
                <c:pt idx="3">
                  <c:v>1710.6706885999999</c:v>
                </c:pt>
                <c:pt idx="4">
                  <c:v>1713.9959181333334</c:v>
                </c:pt>
                <c:pt idx="5">
                  <c:v>1717.3211476666665</c:v>
                </c:pt>
                <c:pt idx="6">
                  <c:v>1720.6463772</c:v>
                </c:pt>
                <c:pt idx="7">
                  <c:v>1723.9716067333334</c:v>
                </c:pt>
                <c:pt idx="8">
                  <c:v>1727.2968362666666</c:v>
                </c:pt>
                <c:pt idx="9">
                  <c:v>1730.6220658</c:v>
                </c:pt>
                <c:pt idx="10">
                  <c:v>1733.9472953333334</c:v>
                </c:pt>
                <c:pt idx="11">
                  <c:v>1737.2725248666666</c:v>
                </c:pt>
                <c:pt idx="12">
                  <c:v>1740.5977544</c:v>
                </c:pt>
                <c:pt idx="13">
                  <c:v>1743.9229839333334</c:v>
                </c:pt>
                <c:pt idx="14">
                  <c:v>1747.2482134666666</c:v>
                </c:pt>
                <c:pt idx="15">
                  <c:v>1750.573443</c:v>
                </c:pt>
                <c:pt idx="16">
                  <c:v>1753.8986725333334</c:v>
                </c:pt>
                <c:pt idx="17">
                  <c:v>1757.2239020666666</c:v>
                </c:pt>
                <c:pt idx="18">
                  <c:v>1760.5491316</c:v>
                </c:pt>
                <c:pt idx="19">
                  <c:v>1763.8743611333334</c:v>
                </c:pt>
                <c:pt idx="20">
                  <c:v>1767.1995906666666</c:v>
                </c:pt>
                <c:pt idx="21">
                  <c:v>1770.5248202</c:v>
                </c:pt>
                <c:pt idx="22">
                  <c:v>1773.8500497333334</c:v>
                </c:pt>
                <c:pt idx="23">
                  <c:v>1777.1752792666666</c:v>
                </c:pt>
                <c:pt idx="24">
                  <c:v>1780.5005088</c:v>
                </c:pt>
                <c:pt idx="25">
                  <c:v>1783.8257383333334</c:v>
                </c:pt>
                <c:pt idx="26">
                  <c:v>1787.1509678666666</c:v>
                </c:pt>
                <c:pt idx="27">
                  <c:v>1790.4761974</c:v>
                </c:pt>
                <c:pt idx="28">
                  <c:v>1793.8014269333335</c:v>
                </c:pt>
                <c:pt idx="29">
                  <c:v>1797.1266564666666</c:v>
                </c:pt>
                <c:pt idx="30">
                  <c:v>1800.4518860000001</c:v>
                </c:pt>
              </c:numCache>
            </c:numRef>
          </c:xVal>
          <c:yVal>
            <c:numRef>
              <c:f>'Clearance Method'!$R$46:$R$76</c:f>
              <c:numCache>
                <c:formatCode>0.0000</c:formatCode>
                <c:ptCount val="31"/>
                <c:pt idx="0">
                  <c:v>18.435688362508792</c:v>
                </c:pt>
                <c:pt idx="1">
                  <c:v>18.503784193103925</c:v>
                </c:pt>
                <c:pt idx="2">
                  <c:v>18.523170934291933</c:v>
                </c:pt>
                <c:pt idx="3">
                  <c:v>18.604022231699062</c:v>
                </c:pt>
                <c:pt idx="4">
                  <c:v>18.628319094885512</c:v>
                </c:pt>
                <c:pt idx="5">
                  <c:v>18.652222062476898</c:v>
                </c:pt>
                <c:pt idx="6">
                  <c:v>18.675543173895388</c:v>
                </c:pt>
                <c:pt idx="7">
                  <c:v>18.719954534320202</c:v>
                </c:pt>
                <c:pt idx="8">
                  <c:v>18.767473342021432</c:v>
                </c:pt>
                <c:pt idx="9">
                  <c:v>18.814598254127606</c:v>
                </c:pt>
                <c:pt idx="10">
                  <c:v>18.859709074723444</c:v>
                </c:pt>
                <c:pt idx="11">
                  <c:v>18.896005885531622</c:v>
                </c:pt>
                <c:pt idx="12">
                  <c:v>18.942485818008119</c:v>
                </c:pt>
                <c:pt idx="13">
                  <c:v>18.988903799503959</c:v>
                </c:pt>
                <c:pt idx="14">
                  <c:v>19.105650895931102</c:v>
                </c:pt>
                <c:pt idx="15">
                  <c:v>19.282794306529659</c:v>
                </c:pt>
                <c:pt idx="16">
                  <c:v>19.472197206288715</c:v>
                </c:pt>
                <c:pt idx="17">
                  <c:v>19.375695105082407</c:v>
                </c:pt>
                <c:pt idx="18">
                  <c:v>19.884463006180155</c:v>
                </c:pt>
                <c:pt idx="19">
                  <c:v>20.422555129922184</c:v>
                </c:pt>
                <c:pt idx="20">
                  <c:v>20.980619163976236</c:v>
                </c:pt>
                <c:pt idx="21">
                  <c:v>21.627542068644292</c:v>
                </c:pt>
                <c:pt idx="22">
                  <c:v>22.221777805161445</c:v>
                </c:pt>
                <c:pt idx="23">
                  <c:v>22.663146970117474</c:v>
                </c:pt>
                <c:pt idx="24">
                  <c:v>22.772332455868472</c:v>
                </c:pt>
                <c:pt idx="25">
                  <c:v>22.788102974955809</c:v>
                </c:pt>
                <c:pt idx="26">
                  <c:v>22.249562298318203</c:v>
                </c:pt>
                <c:pt idx="27">
                  <c:v>21.600376420020531</c:v>
                </c:pt>
                <c:pt idx="28">
                  <c:v>21.171081158635456</c:v>
                </c:pt>
                <c:pt idx="29">
                  <c:v>20.810253655684331</c:v>
                </c:pt>
                <c:pt idx="30">
                  <c:v>20.525175782317564</c:v>
                </c:pt>
              </c:numCache>
            </c:numRef>
          </c:yVal>
          <c:smooth val="0"/>
          <c:extLst>
            <c:ext xmlns:c16="http://schemas.microsoft.com/office/drawing/2014/chart" uri="{C3380CC4-5D6E-409C-BE32-E72D297353CC}">
              <c16:uniqueId val="{00000002-B02A-4BEB-9117-94A65A529EFF}"/>
            </c:ext>
          </c:extLst>
        </c:ser>
        <c:ser>
          <c:idx val="3"/>
          <c:order val="3"/>
          <c:tx>
            <c:strRef>
              <c:f>'Clearance Method'!$P$78</c:f>
              <c:strCache>
                <c:ptCount val="1"/>
                <c:pt idx="0">
                  <c:v>Span 2 beams</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'Clearance Method'!$Q$78</c:f>
              <c:numCache>
                <c:formatCode>0.0000</c:formatCode>
                <c:ptCount val="1"/>
                <c:pt idx="0">
                  <c:v>1723.9716067333334</c:v>
                </c:pt>
              </c:numCache>
            </c:numRef>
          </c:xVal>
          <c:yVal>
            <c:numRef>
              <c:f>'Clearance Method'!$R$78</c:f>
              <c:numCache>
                <c:formatCode>0.0000</c:formatCode>
                <c:ptCount val="1"/>
                <c:pt idx="0">
                  <c:v>22.788102974955809</c:v>
                </c:pt>
              </c:numCache>
            </c:numRef>
          </c:yVal>
          <c:smooth val="0"/>
          <c:extLst>
            <c:ext xmlns:c16="http://schemas.microsoft.com/office/drawing/2014/chart" uri="{C3380CC4-5D6E-409C-BE32-E72D297353CC}">
              <c16:uniqueId val="{00000003-B02A-4BEB-9117-94A65A529EFF}"/>
            </c:ext>
          </c:extLst>
        </c:ser>
        <c:ser>
          <c:idx val="4"/>
          <c:order val="4"/>
          <c:tx>
            <c:strRef>
              <c:f>'Clearance Method'!$P$80</c:f>
              <c:strCache>
                <c:ptCount val="1"/>
                <c:pt idx="0">
                  <c:v>Required clearance</c:v>
                </c:pt>
              </c:strCache>
            </c:strRef>
          </c:tx>
          <c:spPr>
            <a:ln w="12700">
              <a:solidFill>
                <a:srgbClr val="C0392B"/>
              </a:solidFill>
              <a:prstDash val="dash"/>
            </a:ln>
          </c:spPr>
          <c:marker>
            <c:symbol val="none"/>
          </c:marker>
          <c:xVal>
            <c:numRef>
              <c:f>'Clearance Method'!$Q$80:$Q$81</c:f>
              <c:numCache>
                <c:formatCode>0.0000</c:formatCode>
                <c:ptCount val="2"/>
                <c:pt idx="0">
                  <c:v>1593.22</c:v>
                </c:pt>
                <c:pt idx="1">
                  <c:v>1805.47</c:v>
                </c:pt>
              </c:numCache>
            </c:numRef>
          </c:xVal>
          <c:yVal>
            <c:numRef>
              <c:f>'Clearance Method'!$R$80:$R$81</c:f>
              <c:numCache>
                <c:formatCode>0.0000</c:formatCode>
                <c:ptCount val="2"/>
                <c:pt idx="0">
                  <c:v>17</c:v>
                </c:pt>
                <c:pt idx="1">
                  <c:v>17</c:v>
                </c:pt>
              </c:numCache>
            </c:numRef>
          </c:yVal>
          <c:smooth val="0"/>
          <c:extLst>
            <c:ext xmlns:c16="http://schemas.microsoft.com/office/drawing/2014/chart" uri="{C3380CC4-5D6E-409C-BE32-E72D297353CC}">
              <c16:uniqueId val="{00000004-B02A-4BEB-9117-94A65A529EFF}"/>
            </c:ext>
          </c:extLst>
        </c:ser>
        <c:ser>
          <c:idx val="5"/>
          <c:order val="5"/>
          <c:tx>
            <c:strRef>
              <c:f>'Clearance Method'!$P$83</c:f>
              <c:strCache>
                <c:ptCount val="1"/>
                <c:pt idx="0">
                  <c:v>required 17.00 ft</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'Clearance Method'!$Q$83</c:f>
              <c:numCache>
                <c:formatCode>0.0000</c:formatCode>
                <c:ptCount val="1"/>
                <c:pt idx="0">
                  <c:v>1614.4449999999999</c:v>
                </c:pt>
              </c:numCache>
            </c:numRef>
          </c:xVal>
          <c:yVal>
            <c:numRef>
              <c:f>'Clearance Method'!$R$83</c:f>
              <c:numCache>
                <c:formatCode>0.0000</c:formatCode>
                <c:ptCount val="1"/>
                <c:pt idx="0">
                  <c:v>17</c:v>
                </c:pt>
              </c:numCache>
            </c:numRef>
          </c:yVal>
          <c:smooth val="0"/>
          <c:extLst>
            <c:ext xmlns:c16="http://schemas.microsoft.com/office/drawing/2014/chart" uri="{C3380CC4-5D6E-409C-BE32-E72D297353CC}">
              <c16:uniqueId val="{00000005-B02A-4BEB-9117-94A65A529EFF}"/>
            </c:ext>
          </c:extLst>
        </c:ser>
        <c:ser>
          <c:idx val="6"/>
          <c:order val="6"/>
          <c:tx>
            <c:strRef>
              <c:f>'Clearance Method'!$P$85</c:f>
              <c:strCache>
                <c:ptCount val="1"/>
                <c:pt idx="0">
                  <c:v>Roadway coverage limits</c:v>
                </c:pt>
              </c:strCache>
            </c:strRef>
          </c:tx>
          <c:spPr>
            <a:ln w="9525">
              <a:solidFill>
                <a:srgbClr val="2F855A"/>
              </a:solidFill>
              <a:prstDash val="sysDot"/>
            </a:ln>
          </c:spPr>
          <c:marker>
            <c:symbol val="none"/>
          </c:marker>
          <c:xVal>
            <c:numRef>
              <c:f>'Clearance Method'!$Q$85:$Q$89</c:f>
              <c:numCache>
                <c:formatCode>0.0000</c:formatCode>
                <c:ptCount val="5"/>
                <c:pt idx="0">
                  <c:v>1593.22</c:v>
                </c:pt>
                <c:pt idx="1">
                  <c:v>1593.22</c:v>
                </c:pt>
                <c:pt idx="3">
                  <c:v>1800.4518860000001</c:v>
                </c:pt>
                <c:pt idx="4">
                  <c:v>1800.4518860000001</c:v>
                </c:pt>
              </c:numCache>
            </c:numRef>
          </c:xVal>
          <c:yVal>
            <c:numRef>
              <c:f>'Clearance Method'!$R$85:$R$89</c:f>
              <c:numCache>
                <c:formatCode>0.0000</c:formatCode>
                <c:ptCount val="5"/>
                <c:pt idx="0">
                  <c:v>0</c:v>
                </c:pt>
                <c:pt idx="1">
                  <c:v>8.5</c:v>
                </c:pt>
                <c:pt idx="3">
                  <c:v>0</c:v>
                </c:pt>
                <c:pt idx="4">
                  <c:v>8.5</c:v>
                </c:pt>
              </c:numCache>
            </c:numRef>
          </c:yVal>
          <c:smooth val="0"/>
          <c:extLst>
            <c:ext xmlns:c16="http://schemas.microsoft.com/office/drawing/2014/chart" uri="{C3380CC4-5D6E-409C-BE32-E72D297353CC}">
              <c16:uniqueId val="{00000006-B02A-4BEB-9117-94A65A529EFF}"/>
            </c:ext>
          </c:extLst>
        </c:ser>
        <c:ser>
          <c:idx val="7"/>
          <c:order val="7"/>
          <c:tx>
            <c:strRef>
              <c:f>'Clearance Method'!$P$91</c:f>
              <c:strCache>
                <c:ptCount val="1"/>
                <c:pt idx="0">
                  <c:v>XML coverage ends</c:v>
                </c:pt>
              </c:strCache>
            </c:strRef>
          </c:tx>
          <c:spPr>
            <a:ln>
              <a:noFill/>
              <a:prstDash val="solid"/>
            </a:ln>
          </c:spPr>
          <c:marker>
            <c:symbol val="none"/>
          </c:marker>
          <c:dLbls>
            <c:spPr>
              <a:noFill/>
              <a:ln>
                <a:noFill/>
              </a:ln>
              <a:effectLst/>
            </c:spPr>
            <c:txPr>
              <a:bodyPr/>
              <a:lstStyle/>
              <a:p>
                <a:pPr>
                  <a:defRPr sz="700" b="0">
                    <a:solidFill>
                      <a:srgbClr val="2F855A"/>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'Clearance Method'!$Q$91</c:f>
              <c:numCache>
                <c:formatCode>0.0000</c:formatCode>
                <c:ptCount val="1"/>
                <c:pt idx="0">
                  <c:v>1800.4518860000001</c:v>
                </c:pt>
              </c:numCache>
            </c:numRef>
          </c:xVal>
          <c:yVal>
            <c:numRef>
              <c:f>'Clearance Method'!$R$91</c:f>
              <c:numCache>
                <c:formatCode>0.0000</c:formatCode>
                <c:ptCount val="1"/>
                <c:pt idx="0">
                  <c:v>8.5</c:v>
                </c:pt>
              </c:numCache>
            </c:numRef>
          </c:yVal>
          <c:smooth val="0"/>
          <c:extLst>
            <c:ext xmlns:c16="http://schemas.microsoft.com/office/drawing/2014/chart" uri="{C3380CC4-5D6E-409C-BE32-E72D297353CC}">
              <c16:uniqueId val="{00000007-B02A-4BEB-9117-94A65A529EFF}"/>
            </c:ext>
          </c:extLst>
        </c:ser>
        <c:ser>
          <c:idx val="8"/>
          <c:order val="8"/>
          <c:tx>
            <c:strRef>
              <c:f>'Clearance Method'!$P$93</c:f>
              <c:strCache>
                <c:ptCount val="1"/>
                <c:pt idx="0">
                  <c:v>Minimum leader</c:v>
                </c:pt>
              </c:strCache>
            </c:strRef>
          </c:tx>
          <c:spPr>
            <a:ln w="7620">
              <a:solidFill>
                <a:srgbClr val="C0392B"/>
              </a:solidFill>
              <a:prstDash val="solid"/>
            </a:ln>
          </c:spPr>
          <c:marker>
            <c:symbol val="none"/>
          </c:marker>
          <c:xVal>
            <c:numRef>
              <c:f>'Clearance Method'!$Q$93:$Q$94</c:f>
              <c:numCache>
                <c:formatCode>0.0000</c:formatCode>
                <c:ptCount val="2"/>
                <c:pt idx="0">
                  <c:v>1699.462329</c:v>
                </c:pt>
                <c:pt idx="1">
                  <c:v>1699.462329</c:v>
                </c:pt>
              </c:numCache>
            </c:numRef>
          </c:xVal>
          <c:yVal>
            <c:numRef>
              <c:f>'Clearance Method'!$R$93:$R$94</c:f>
              <c:numCache>
                <c:formatCode>0.0000</c:formatCode>
                <c:ptCount val="2"/>
                <c:pt idx="0">
                  <c:v>18.361569093606256</c:v>
                </c:pt>
                <c:pt idx="1">
                  <c:v>15</c:v>
                </c:pt>
              </c:numCache>
            </c:numRef>
          </c:yVal>
          <c:smooth val="0"/>
          <c:extLst>
            <c:ext xmlns:c16="http://schemas.microsoft.com/office/drawing/2014/chart" uri="{C3380CC4-5D6E-409C-BE32-E72D297353CC}">
              <c16:uniqueId val="{00000008-B02A-4BEB-9117-94A65A529EFF}"/>
            </c:ext>
          </c:extLst>
        </c:ser>
        <c:ser>
          <c:idx val="9"/>
          <c:order val="9"/>
          <c:tx>
            <c:strRef>
              <c:f>'Clearance Method'!$P$96</c:f>
              <c:strCache>
                <c:ptCount val="1"/>
                <c:pt idx="0">
                  <c:v>Minimum point</c:v>
                </c:pt>
              </c:strCache>
            </c:strRef>
          </c:tx>
          <c:spPr>
            <a:ln>
              <a:noFill/>
              <a:prstDash val="solid"/>
            </a:ln>
          </c:spPr>
          <c:marker>
            <c:symbol val="circle"/>
            <c:size val="6"/>
            <c:spPr>
              <a:solidFill>
                <a:srgbClr val="C0392B"/>
              </a:solidFill>
              <a:ln>
                <a:solidFill>
                  <a:srgbClr val="C0392B"/>
                </a:solidFill>
                <a:prstDash val="solid"/>
              </a:ln>
            </c:spPr>
          </c:marker>
          <c:xVal>
            <c:numRef>
              <c:f>'Clearance Method'!$Q$96</c:f>
              <c:numCache>
                <c:formatCode>0.0000</c:formatCode>
                <c:ptCount val="1"/>
                <c:pt idx="0">
                  <c:v>1699.462329</c:v>
                </c:pt>
              </c:numCache>
            </c:numRef>
          </c:xVal>
          <c:yVal>
            <c:numRef>
              <c:f>'Clearance Method'!$R$96</c:f>
              <c:numCache>
                <c:formatCode>0.0000</c:formatCode>
                <c:ptCount val="1"/>
                <c:pt idx="0">
                  <c:v>18.361569093606256</c:v>
                </c:pt>
              </c:numCache>
            </c:numRef>
          </c:yVal>
          <c:smooth val="0"/>
          <c:extLst>
            <c:ext xmlns:c16="http://schemas.microsoft.com/office/drawing/2014/chart" uri="{C3380CC4-5D6E-409C-BE32-E72D297353CC}">
              <c16:uniqueId val="{00000009-B02A-4BEB-9117-94A65A529EFF}"/>
            </c:ext>
          </c:extLst>
        </c:ser>
        <c:ser>
          <c:idx val="10"/>
          <c:order val="10"/>
          <c:tx>
            <c:strRef>
              <c:f>'Clearance Method'!$P$98</c:f>
              <c:strCache>
                <c:ptCount val="1"/>
                <c:pt idx="0">
                  <c:v>min 18.362 ft @ 16+99.46</c:v>
                </c:pt>
              </c:strCache>
            </c:strRef>
          </c:tx>
          <c:spPr>
            <a:ln>
              <a:noFill/>
              <a:prstDash val="solid"/>
            </a:ln>
          </c:spPr>
          <c:marker>
            <c:symbol val="none"/>
          </c:marker>
          <c:dLbls>
            <c:spPr>
              <a:noFill/>
              <a:ln>
                <a:noFill/>
              </a:ln>
              <a:effectLst/>
            </c:spPr>
            <c:txPr>
              <a:bodyPr/>
              <a:lstStyle/>
              <a:p>
                <a:pPr>
                  <a:defRPr sz="800" b="0">
                    <a:solidFill>
                      <a:srgbClr val="C0392B"/>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'Clearance Method'!$Q$98</c:f>
              <c:numCache>
                <c:formatCode>0.0000</c:formatCode>
                <c:ptCount val="1"/>
                <c:pt idx="0">
                  <c:v>1699.462329</c:v>
                </c:pt>
              </c:numCache>
            </c:numRef>
          </c:xVal>
          <c:yVal>
            <c:numRef>
              <c:f>'Clearance Method'!$R$98</c:f>
              <c:numCache>
                <c:formatCode>0.0000</c:formatCode>
                <c:ptCount val="1"/>
                <c:pt idx="0">
                  <c:v>15</c:v>
                </c:pt>
              </c:numCache>
            </c:numRef>
          </c:yVal>
          <c:smooth val="0"/>
          <c:extLst>
            <c:ext xmlns:c16="http://schemas.microsoft.com/office/drawing/2014/chart" uri="{C3380CC4-5D6E-409C-BE32-E72D297353CC}">
              <c16:uniqueId val="{0000000A-B02A-4BEB-9117-94A65A529EFF}"/>
            </c:ext>
          </c:extLst>
        </c:ser>
        <c:ser>
          <c:idx val="11"/>
          <c:order val="11"/>
          <c:tx>
            <c:strRef>
              <c:f>'Clearance Method'!$P$100</c:f>
              <c:strCache>
                <c:ptCount val="1"/>
                <c:pt idx="0">
                  <c:v>frame (invisible, sets the chart window)</c:v>
                </c:pt>
              </c:strCache>
            </c:strRef>
          </c:tx>
          <c:spPr>
            <a:ln>
              <a:noFill/>
              <a:prstDash val="solid"/>
            </a:ln>
          </c:spPr>
          <c:marker>
            <c:symbol val="none"/>
          </c:marker>
          <c:xVal>
            <c:numRef>
              <c:f>'Clearance Method'!$Q$100:$Q$101</c:f>
              <c:numCache>
                <c:formatCode>0.0000</c:formatCode>
                <c:ptCount val="2"/>
                <c:pt idx="0">
                  <c:v>1590.22</c:v>
                </c:pt>
                <c:pt idx="1">
                  <c:v>1808.47</c:v>
                </c:pt>
              </c:numCache>
            </c:numRef>
          </c:xVal>
          <c:yVal>
            <c:numRef>
              <c:f>'Clearance Method'!$R$100:$R$101</c:f>
              <c:numCache>
                <c:formatCode>0.0000</c:formatCode>
                <c:ptCount val="2"/>
                <c:pt idx="0">
                  <c:v>0</c:v>
                </c:pt>
                <c:pt idx="1">
                  <c:v>25.788102974955809</c:v>
                </c:pt>
              </c:numCache>
            </c:numRef>
          </c:yVal>
          <c:smooth val="0"/>
          <c:extLst>
            <c:ext xmlns:c16="http://schemas.microsoft.com/office/drawing/2014/chart" uri="{C3380CC4-5D6E-409C-BE32-E72D297353CC}">
              <c16:uniqueId val="{0000000B-B02A-4BEB-9117-94A65A529EFF}"/>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6350">
              <a:solidFill>
                <a:srgbClr val="E6E9ED"/>
              </a:solidFill>
              <a:prstDash val="solid"/>
            </a:ln>
          </c:spPr>
        </c:majorGridlines>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0"/>
        <c:axPos val="l"/>
        <c:majorGridlines>
          <c:spPr>
            <a:ln w="6350">
              <a:solidFill>
                <a:srgbClr val="E6E9ED"/>
              </a:solidFill>
              <a:prstDash val="solid"/>
            </a:ln>
          </c:spPr>
        </c:majorGridlines>
        <c:title>
          <c:tx>
            <c:rich>
              <a:bodyPr/>
              <a:lstStyle/>
              <a:p>
                <a:pPr>
                  <a:defRPr/>
                </a:pPr>
                <a:r>
                  <a:t>Clearance = beam bottom - roadway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'CAD FGE Method'!$P$8</c:f>
              <c:strCache>
                <c:ptCount val="1"/>
                <c:pt idx="0">
                  <c:v>Station lines</c:v>
                </c:pt>
              </c:strCache>
            </c:strRef>
          </c:tx>
          <c:spPr>
            <a:ln w="6350">
              <a:solidFill>
                <a:srgbClr val="8A96A3"/>
              </a:solidFill>
              <a:prstDash val="solid"/>
            </a:ln>
          </c:spPr>
          <c:marker>
            <c:symbol val="none"/>
          </c:marker>
          <c:xVal>
            <c:numRef>
              <c:f>'CAD FGE Method'!$Q$8:$Q$45</c:f>
              <c:numCache>
                <c:formatCode>0.0000</c:formatCode>
                <c:ptCount val="38"/>
                <c:pt idx="0">
                  <c:v>1700.57</c:v>
                </c:pt>
                <c:pt idx="1">
                  <c:v>1700.57</c:v>
                </c:pt>
                <c:pt idx="3">
                  <c:v>1701.4449999999999</c:v>
                </c:pt>
                <c:pt idx="4">
                  <c:v>1701.4449999999999</c:v>
                </c:pt>
                <c:pt idx="6">
                  <c:v>1711.7474999999999</c:v>
                </c:pt>
                <c:pt idx="7">
                  <c:v>1711.7474999999999</c:v>
                </c:pt>
                <c:pt idx="9">
                  <c:v>1722.05</c:v>
                </c:pt>
                <c:pt idx="10">
                  <c:v>1722.05</c:v>
                </c:pt>
                <c:pt idx="12">
                  <c:v>1732.3525</c:v>
                </c:pt>
                <c:pt idx="13">
                  <c:v>1732.3525</c:v>
                </c:pt>
                <c:pt idx="15">
                  <c:v>1742.655</c:v>
                </c:pt>
                <c:pt idx="16">
                  <c:v>1742.655</c:v>
                </c:pt>
                <c:pt idx="18">
                  <c:v>1752.9575</c:v>
                </c:pt>
                <c:pt idx="19">
                  <c:v>1752.9575</c:v>
                </c:pt>
                <c:pt idx="21">
                  <c:v>1763.26</c:v>
                </c:pt>
                <c:pt idx="22">
                  <c:v>1763.26</c:v>
                </c:pt>
                <c:pt idx="24">
                  <c:v>1773.5625</c:v>
                </c:pt>
                <c:pt idx="25">
                  <c:v>1773.5625</c:v>
                </c:pt>
                <c:pt idx="27">
                  <c:v>1783.865</c:v>
                </c:pt>
                <c:pt idx="28">
                  <c:v>1783.865</c:v>
                </c:pt>
                <c:pt idx="30">
                  <c:v>1794.1675</c:v>
                </c:pt>
                <c:pt idx="31">
                  <c:v>1794.1675</c:v>
                </c:pt>
                <c:pt idx="33">
                  <c:v>1804.47</c:v>
                </c:pt>
                <c:pt idx="34">
                  <c:v>1804.47</c:v>
                </c:pt>
                <c:pt idx="36">
                  <c:v>1805.47</c:v>
                </c:pt>
                <c:pt idx="37">
                  <c:v>1805.47</c:v>
                </c:pt>
              </c:numCache>
            </c:numRef>
          </c:xVal>
          <c:yVal>
            <c:numRef>
              <c:f>'CAD FGE Method'!$R$8:$R$45</c:f>
              <c:numCache>
                <c:formatCode>0.0000</c:formatCode>
                <c:ptCount val="38"/>
                <c:pt idx="0">
                  <c:v>-6.7916666666666652</c:v>
                </c:pt>
                <c:pt idx="1">
                  <c:v>6.7916666666666652</c:v>
                </c:pt>
                <c:pt idx="3">
                  <c:v>-6.7916666666666652</c:v>
                </c:pt>
                <c:pt idx="4">
                  <c:v>6.7916666666666652</c:v>
                </c:pt>
                <c:pt idx="6">
                  <c:v>-6.7916666666666652</c:v>
                </c:pt>
                <c:pt idx="7">
                  <c:v>6.7916666666666652</c:v>
                </c:pt>
                <c:pt idx="9">
                  <c:v>-6.7916666666666652</c:v>
                </c:pt>
                <c:pt idx="10">
                  <c:v>6.7916666666666652</c:v>
                </c:pt>
                <c:pt idx="12">
                  <c:v>-6.7916666666666652</c:v>
                </c:pt>
                <c:pt idx="13">
                  <c:v>6.7916666666666652</c:v>
                </c:pt>
                <c:pt idx="15">
                  <c:v>-6.7916666666666652</c:v>
                </c:pt>
                <c:pt idx="16">
                  <c:v>6.7916666666666652</c:v>
                </c:pt>
                <c:pt idx="18">
                  <c:v>-6.7916666666666652</c:v>
                </c:pt>
                <c:pt idx="19">
                  <c:v>6.7916666666666652</c:v>
                </c:pt>
                <c:pt idx="21">
                  <c:v>-6.7916666666666652</c:v>
                </c:pt>
                <c:pt idx="22">
                  <c:v>6.7916666666666652</c:v>
                </c:pt>
                <c:pt idx="24">
                  <c:v>-6.7916666666666652</c:v>
                </c:pt>
                <c:pt idx="25">
                  <c:v>6.7916666666666652</c:v>
                </c:pt>
                <c:pt idx="27">
                  <c:v>-6.7916666666666652</c:v>
                </c:pt>
                <c:pt idx="28">
                  <c:v>6.7916666666666652</c:v>
                </c:pt>
                <c:pt idx="30">
                  <c:v>-6.7916666666666652</c:v>
                </c:pt>
                <c:pt idx="31">
                  <c:v>6.7916666666666652</c:v>
                </c:pt>
                <c:pt idx="33">
                  <c:v>-6.7916666666666652</c:v>
                </c:pt>
                <c:pt idx="34">
                  <c:v>6.7916666666666652</c:v>
                </c:pt>
                <c:pt idx="36">
                  <c:v>-6.7916666666666652</c:v>
                </c:pt>
                <c:pt idx="37">
                  <c:v>6.7916666666666652</c:v>
                </c:pt>
              </c:numCache>
            </c:numRef>
          </c:yVal>
          <c:smooth val="0"/>
          <c:extLst>
            <c:ext xmlns:c16="http://schemas.microsoft.com/office/drawing/2014/chart" uri="{C3380CC4-5D6E-409C-BE32-E72D297353CC}">
              <c16:uniqueId val="{00000000-826B-4980-8912-A4DDBD70D0E4}"/>
            </c:ext>
          </c:extLst>
        </c:ser>
        <c:ser>
          <c:idx val="1"/>
          <c:order val="1"/>
          <c:tx>
            <c:strRef>
              <c:f>'CAD FGE Method'!$P$47</c:f>
              <c:strCache>
                <c:ptCount val="1"/>
                <c:pt idx="0">
                  <c:v>Left coping (deck edge)</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'CAD FGE Method'!$Q$47:$Q$59</c:f>
              <c:numCache>
                <c:formatCode>0.0000</c:formatCode>
                <c:ptCount val="13"/>
                <c:pt idx="0">
                  <c:v>1700.57</c:v>
                </c:pt>
                <c:pt idx="1">
                  <c:v>1701.4449999999999</c:v>
                </c:pt>
                <c:pt idx="2">
                  <c:v>1711.7474999999999</c:v>
                </c:pt>
                <c:pt idx="3">
                  <c:v>1722.05</c:v>
                </c:pt>
                <c:pt idx="4">
                  <c:v>1732.3525</c:v>
                </c:pt>
                <c:pt idx="5">
                  <c:v>1742.655</c:v>
                </c:pt>
                <c:pt idx="6">
                  <c:v>1752.9575</c:v>
                </c:pt>
                <c:pt idx="7">
                  <c:v>1763.26</c:v>
                </c:pt>
                <c:pt idx="8">
                  <c:v>1773.5625</c:v>
                </c:pt>
                <c:pt idx="9">
                  <c:v>1783.865</c:v>
                </c:pt>
                <c:pt idx="10">
                  <c:v>1794.1675</c:v>
                </c:pt>
                <c:pt idx="11">
                  <c:v>1804.47</c:v>
                </c:pt>
                <c:pt idx="12">
                  <c:v>1805.47</c:v>
                </c:pt>
              </c:numCache>
            </c:numRef>
          </c:xVal>
          <c:yVal>
            <c:numRef>
              <c:f>'CAD FGE Method'!$R$47:$R$59</c:f>
              <c:numCache>
                <c:formatCode>0.0000</c:formatCode>
                <c:ptCount val="13"/>
                <c:pt idx="0">
                  <c:v>-6.7916666666666652</c:v>
                </c:pt>
                <c:pt idx="1">
                  <c:v>-6.7916666666666652</c:v>
                </c:pt>
                <c:pt idx="2">
                  <c:v>-6.7916666666666652</c:v>
                </c:pt>
                <c:pt idx="3">
                  <c:v>-6.7916666666666652</c:v>
                </c:pt>
                <c:pt idx="4">
                  <c:v>-6.7916666666666652</c:v>
                </c:pt>
                <c:pt idx="5">
                  <c:v>-6.7916666666666652</c:v>
                </c:pt>
                <c:pt idx="6">
                  <c:v>-6.7916666666666652</c:v>
                </c:pt>
                <c:pt idx="7">
                  <c:v>-6.7916666666666652</c:v>
                </c:pt>
                <c:pt idx="8">
                  <c:v>-6.7916666666666652</c:v>
                </c:pt>
                <c:pt idx="9">
                  <c:v>-6.7916666666666652</c:v>
                </c:pt>
                <c:pt idx="10">
                  <c:v>-6.7916666666666652</c:v>
                </c:pt>
                <c:pt idx="11">
                  <c:v>-6.7916666666666652</c:v>
                </c:pt>
                <c:pt idx="12">
                  <c:v>-6.7916666666666652</c:v>
                </c:pt>
              </c:numCache>
            </c:numRef>
          </c:yVal>
          <c:smooth val="0"/>
          <c:extLst>
            <c:ext xmlns:c16="http://schemas.microsoft.com/office/drawing/2014/chart" uri="{C3380CC4-5D6E-409C-BE32-E72D297353CC}">
              <c16:uniqueId val="{00000001-826B-4980-8912-A4DDBD70D0E4}"/>
            </c:ext>
          </c:extLst>
        </c:ser>
        <c:ser>
          <c:idx val="2"/>
          <c:order val="2"/>
          <c:tx>
            <c:strRef>
              <c:f>'CAD FGE Method'!$P$61</c:f>
              <c:strCache>
                <c:ptCount val="1"/>
                <c:pt idx="0">
                  <c:v>Left coping (deck edge)</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Method'!$Q$61</c:f>
              <c:numCache>
                <c:formatCode>0.0000</c:formatCode>
                <c:ptCount val="1"/>
                <c:pt idx="0">
                  <c:v>1699.07</c:v>
                </c:pt>
              </c:numCache>
            </c:numRef>
          </c:xVal>
          <c:yVal>
            <c:numRef>
              <c:f>'CAD FGE Method'!$R$61</c:f>
              <c:numCache>
                <c:formatCode>0.0000</c:formatCode>
                <c:ptCount val="1"/>
                <c:pt idx="0">
                  <c:v>-6.7916666666666652</c:v>
                </c:pt>
              </c:numCache>
            </c:numRef>
          </c:yVal>
          <c:smooth val="0"/>
          <c:extLst>
            <c:ext xmlns:c16="http://schemas.microsoft.com/office/drawing/2014/chart" uri="{C3380CC4-5D6E-409C-BE32-E72D297353CC}">
              <c16:uniqueId val="{00000002-826B-4980-8912-A4DDBD70D0E4}"/>
            </c:ext>
          </c:extLst>
        </c:ser>
        <c:ser>
          <c:idx val="3"/>
          <c:order val="3"/>
          <c:tx>
            <c:strRef>
              <c:f>'CAD FGE Method'!$P$63</c:f>
              <c:strCache>
                <c:ptCount val="1"/>
                <c:pt idx="0">
                  <c:v>CL Beam 2-1</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'CAD FGE Method'!$Q$63:$Q$75</c:f>
              <c:numCache>
                <c:formatCode>0.0000</c:formatCode>
                <c:ptCount val="13"/>
                <c:pt idx="0">
                  <c:v>1700.57</c:v>
                </c:pt>
                <c:pt idx="1">
                  <c:v>1701.4449999999999</c:v>
                </c:pt>
                <c:pt idx="2">
                  <c:v>1711.7474999999999</c:v>
                </c:pt>
                <c:pt idx="3">
                  <c:v>1722.05</c:v>
                </c:pt>
                <c:pt idx="4">
                  <c:v>1732.3525</c:v>
                </c:pt>
                <c:pt idx="5">
                  <c:v>1742.655</c:v>
                </c:pt>
                <c:pt idx="6">
                  <c:v>1752.9575</c:v>
                </c:pt>
                <c:pt idx="7">
                  <c:v>1763.26</c:v>
                </c:pt>
                <c:pt idx="8">
                  <c:v>1773.5625</c:v>
                </c:pt>
                <c:pt idx="9">
                  <c:v>1783.865</c:v>
                </c:pt>
                <c:pt idx="10">
                  <c:v>1794.1675</c:v>
                </c:pt>
                <c:pt idx="11">
                  <c:v>1804.47</c:v>
                </c:pt>
                <c:pt idx="12">
                  <c:v>1805.47</c:v>
                </c:pt>
              </c:numCache>
            </c:numRef>
          </c:xVal>
          <c:yVal>
            <c:numRef>
              <c:f>'CAD FGE Method'!$R$63:$R$75</c:f>
              <c:numCache>
                <c:formatCode>0.0000</c:formatCode>
                <c:ptCount val="13"/>
                <c:pt idx="0">
                  <c:v>-4.291666666666667</c:v>
                </c:pt>
                <c:pt idx="1">
                  <c:v>-4.291666666666667</c:v>
                </c:pt>
                <c:pt idx="2">
                  <c:v>-4.291666666666667</c:v>
                </c:pt>
                <c:pt idx="3">
                  <c:v>-4.291666666666667</c:v>
                </c:pt>
                <c:pt idx="4">
                  <c:v>-4.291666666666667</c:v>
                </c:pt>
                <c:pt idx="5">
                  <c:v>-4.291666666666667</c:v>
                </c:pt>
                <c:pt idx="6">
                  <c:v>-4.291666666666667</c:v>
                </c:pt>
                <c:pt idx="7">
                  <c:v>-4.291666666666667</c:v>
                </c:pt>
                <c:pt idx="8">
                  <c:v>-4.291666666666667</c:v>
                </c:pt>
                <c:pt idx="9">
                  <c:v>-4.291666666666667</c:v>
                </c:pt>
                <c:pt idx="10">
                  <c:v>-4.291666666666667</c:v>
                </c:pt>
                <c:pt idx="11">
                  <c:v>-4.291666666666667</c:v>
                </c:pt>
                <c:pt idx="12">
                  <c:v>-4.291666666666667</c:v>
                </c:pt>
              </c:numCache>
            </c:numRef>
          </c:yVal>
          <c:smooth val="0"/>
          <c:extLst>
            <c:ext xmlns:c16="http://schemas.microsoft.com/office/drawing/2014/chart" uri="{C3380CC4-5D6E-409C-BE32-E72D297353CC}">
              <c16:uniqueId val="{00000003-826B-4980-8912-A4DDBD70D0E4}"/>
            </c:ext>
          </c:extLst>
        </c:ser>
        <c:ser>
          <c:idx val="4"/>
          <c:order val="4"/>
          <c:tx>
            <c:strRef>
              <c:f>'CAD FGE Method'!$P$77</c:f>
              <c:strCache>
                <c:ptCount val="1"/>
                <c:pt idx="0">
                  <c:v>CL Beam 2-1</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Method'!$Q$77</c:f>
              <c:numCache>
                <c:formatCode>0.0000</c:formatCode>
                <c:ptCount val="1"/>
                <c:pt idx="0">
                  <c:v>1699.07</c:v>
                </c:pt>
              </c:numCache>
            </c:numRef>
          </c:xVal>
          <c:yVal>
            <c:numRef>
              <c:f>'CAD FGE Method'!$R$77</c:f>
              <c:numCache>
                <c:formatCode>0.0000</c:formatCode>
                <c:ptCount val="1"/>
                <c:pt idx="0">
                  <c:v>-4.291666666666667</c:v>
                </c:pt>
              </c:numCache>
            </c:numRef>
          </c:yVal>
          <c:smooth val="0"/>
          <c:extLst>
            <c:ext xmlns:c16="http://schemas.microsoft.com/office/drawing/2014/chart" uri="{C3380CC4-5D6E-409C-BE32-E72D297353CC}">
              <c16:uniqueId val="{00000004-826B-4980-8912-A4DDBD70D0E4}"/>
            </c:ext>
          </c:extLst>
        </c:ser>
        <c:ser>
          <c:idx val="5"/>
          <c:order val="5"/>
          <c:tx>
            <c:strRef>
              <c:f>'CAD FGE Method'!$P$79</c:f>
              <c:strCache>
                <c:ptCount val="1"/>
                <c:pt idx="0">
                  <c:v>PGL</c:v>
                </c:pt>
              </c:strCache>
            </c:strRef>
          </c:tx>
          <c:spPr>
            <a:ln w="11430">
              <a:solidFill>
                <a:srgbClr val="2B6CB0"/>
              </a:solidFill>
              <a:prstDash val="dash"/>
            </a:ln>
          </c:spPr>
          <c:marker>
            <c:symbol val="circle"/>
            <c:size val="3"/>
            <c:spPr>
              <a:solidFill>
                <a:srgbClr val="2B6CB0"/>
              </a:solidFill>
              <a:ln>
                <a:solidFill>
                  <a:srgbClr val="2B6CB0"/>
                </a:solidFill>
                <a:prstDash val="solid"/>
              </a:ln>
            </c:spPr>
          </c:marker>
          <c:xVal>
            <c:numRef>
              <c:f>'CAD FGE Method'!$Q$79:$Q$91</c:f>
              <c:numCache>
                <c:formatCode>0.0000</c:formatCode>
                <c:ptCount val="13"/>
                <c:pt idx="0">
                  <c:v>1700.57</c:v>
                </c:pt>
                <c:pt idx="1">
                  <c:v>1701.4449999999999</c:v>
                </c:pt>
                <c:pt idx="2">
                  <c:v>1711.7474999999999</c:v>
                </c:pt>
                <c:pt idx="3">
                  <c:v>1722.05</c:v>
                </c:pt>
                <c:pt idx="4">
                  <c:v>1732.3525</c:v>
                </c:pt>
                <c:pt idx="5">
                  <c:v>1742.655</c:v>
                </c:pt>
                <c:pt idx="6">
                  <c:v>1752.9575</c:v>
                </c:pt>
                <c:pt idx="7">
                  <c:v>1763.26</c:v>
                </c:pt>
                <c:pt idx="8">
                  <c:v>1773.5625</c:v>
                </c:pt>
                <c:pt idx="9">
                  <c:v>1783.865</c:v>
                </c:pt>
                <c:pt idx="10">
                  <c:v>1794.1675</c:v>
                </c:pt>
                <c:pt idx="11">
                  <c:v>1804.47</c:v>
                </c:pt>
                <c:pt idx="12">
                  <c:v>1805.47</c:v>
                </c:pt>
              </c:numCache>
            </c:numRef>
          </c:xVal>
          <c:yVal>
            <c:numRef>
              <c:f>'CAD FGE Method'!$R$79:$R$91</c:f>
              <c:numCache>
                <c:formatCode>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yVal>
          <c:smooth val="0"/>
          <c:extLst>
            <c:ext xmlns:c16="http://schemas.microsoft.com/office/drawing/2014/chart" uri="{C3380CC4-5D6E-409C-BE32-E72D297353CC}">
              <c16:uniqueId val="{00000005-826B-4980-8912-A4DDBD70D0E4}"/>
            </c:ext>
          </c:extLst>
        </c:ser>
        <c:ser>
          <c:idx val="6"/>
          <c:order val="6"/>
          <c:tx>
            <c:strRef>
              <c:f>'CAD FGE Method'!$P$93</c:f>
              <c:strCache>
                <c:ptCount val="1"/>
                <c:pt idx="0">
                  <c:v>PGL</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Method'!$Q$93</c:f>
              <c:numCache>
                <c:formatCode>0.0000</c:formatCode>
                <c:ptCount val="1"/>
                <c:pt idx="0">
                  <c:v>1699.07</c:v>
                </c:pt>
              </c:numCache>
            </c:numRef>
          </c:xVal>
          <c:yVal>
            <c:numRef>
              <c:f>'CAD FGE Method'!$R$93</c:f>
              <c:numCache>
                <c:formatCode>0.0000</c:formatCode>
                <c:ptCount val="1"/>
                <c:pt idx="0">
                  <c:v>0</c:v>
                </c:pt>
              </c:numCache>
            </c:numRef>
          </c:yVal>
          <c:smooth val="0"/>
          <c:extLst>
            <c:ext xmlns:c16="http://schemas.microsoft.com/office/drawing/2014/chart" uri="{C3380CC4-5D6E-409C-BE32-E72D297353CC}">
              <c16:uniqueId val="{00000006-826B-4980-8912-A4DDBD70D0E4}"/>
            </c:ext>
          </c:extLst>
        </c:ser>
        <c:ser>
          <c:idx val="7"/>
          <c:order val="7"/>
          <c:tx>
            <c:strRef>
              <c:f>'CAD FGE Method'!$P$95</c:f>
              <c:strCache>
                <c:ptCount val="1"/>
                <c:pt idx="0">
                  <c:v>CL Beam 2-2</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'CAD FGE Method'!$Q$95:$Q$107</c:f>
              <c:numCache>
                <c:formatCode>0.0000</c:formatCode>
                <c:ptCount val="13"/>
                <c:pt idx="0">
                  <c:v>1700.57</c:v>
                </c:pt>
                <c:pt idx="1">
                  <c:v>1701.4449999999999</c:v>
                </c:pt>
                <c:pt idx="2">
                  <c:v>1711.7474999999999</c:v>
                </c:pt>
                <c:pt idx="3">
                  <c:v>1722.05</c:v>
                </c:pt>
                <c:pt idx="4">
                  <c:v>1732.3525</c:v>
                </c:pt>
                <c:pt idx="5">
                  <c:v>1742.655</c:v>
                </c:pt>
                <c:pt idx="6">
                  <c:v>1752.9575</c:v>
                </c:pt>
                <c:pt idx="7">
                  <c:v>1763.26</c:v>
                </c:pt>
                <c:pt idx="8">
                  <c:v>1773.5625</c:v>
                </c:pt>
                <c:pt idx="9">
                  <c:v>1783.865</c:v>
                </c:pt>
                <c:pt idx="10">
                  <c:v>1794.1675</c:v>
                </c:pt>
                <c:pt idx="11">
                  <c:v>1804.47</c:v>
                </c:pt>
                <c:pt idx="12">
                  <c:v>1805.47</c:v>
                </c:pt>
              </c:numCache>
            </c:numRef>
          </c:xVal>
          <c:yVal>
            <c:numRef>
              <c:f>'CAD FGE Method'!$R$95:$R$107</c:f>
              <c:numCache>
                <c:formatCode>0.0000</c:formatCode>
                <c:ptCount val="13"/>
                <c:pt idx="0">
                  <c:v>4.291666666666667</c:v>
                </c:pt>
                <c:pt idx="1">
                  <c:v>4.291666666666667</c:v>
                </c:pt>
                <c:pt idx="2">
                  <c:v>4.291666666666667</c:v>
                </c:pt>
                <c:pt idx="3">
                  <c:v>4.291666666666667</c:v>
                </c:pt>
                <c:pt idx="4">
                  <c:v>4.291666666666667</c:v>
                </c:pt>
                <c:pt idx="5">
                  <c:v>4.291666666666667</c:v>
                </c:pt>
                <c:pt idx="6">
                  <c:v>4.291666666666667</c:v>
                </c:pt>
                <c:pt idx="7">
                  <c:v>4.291666666666667</c:v>
                </c:pt>
                <c:pt idx="8">
                  <c:v>4.291666666666667</c:v>
                </c:pt>
                <c:pt idx="9">
                  <c:v>4.291666666666667</c:v>
                </c:pt>
                <c:pt idx="10">
                  <c:v>4.291666666666667</c:v>
                </c:pt>
                <c:pt idx="11">
                  <c:v>4.291666666666667</c:v>
                </c:pt>
                <c:pt idx="12">
                  <c:v>4.291666666666667</c:v>
                </c:pt>
              </c:numCache>
            </c:numRef>
          </c:yVal>
          <c:smooth val="0"/>
          <c:extLst>
            <c:ext xmlns:c16="http://schemas.microsoft.com/office/drawing/2014/chart" uri="{C3380CC4-5D6E-409C-BE32-E72D297353CC}">
              <c16:uniqueId val="{00000007-826B-4980-8912-A4DDBD70D0E4}"/>
            </c:ext>
          </c:extLst>
        </c:ser>
        <c:ser>
          <c:idx val="8"/>
          <c:order val="8"/>
          <c:tx>
            <c:strRef>
              <c:f>'CAD FGE Method'!$P$109</c:f>
              <c:strCache>
                <c:ptCount val="1"/>
                <c:pt idx="0">
                  <c:v>CL Beam 2-2</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Method'!$Q$109</c:f>
              <c:numCache>
                <c:formatCode>0.0000</c:formatCode>
                <c:ptCount val="1"/>
                <c:pt idx="0">
                  <c:v>1699.07</c:v>
                </c:pt>
              </c:numCache>
            </c:numRef>
          </c:xVal>
          <c:yVal>
            <c:numRef>
              <c:f>'CAD FGE Method'!$R$109</c:f>
              <c:numCache>
                <c:formatCode>0.0000</c:formatCode>
                <c:ptCount val="1"/>
                <c:pt idx="0">
                  <c:v>4.291666666666667</c:v>
                </c:pt>
              </c:numCache>
            </c:numRef>
          </c:yVal>
          <c:smooth val="0"/>
          <c:extLst>
            <c:ext xmlns:c16="http://schemas.microsoft.com/office/drawing/2014/chart" uri="{C3380CC4-5D6E-409C-BE32-E72D297353CC}">
              <c16:uniqueId val="{00000008-826B-4980-8912-A4DDBD70D0E4}"/>
            </c:ext>
          </c:extLst>
        </c:ser>
        <c:ser>
          <c:idx val="9"/>
          <c:order val="9"/>
          <c:tx>
            <c:strRef>
              <c:f>'CAD FGE Method'!$P$111</c:f>
              <c:strCache>
                <c:ptCount val="1"/>
                <c:pt idx="0">
                  <c:v>Right coping (deck edge)</c:v>
                </c:pt>
              </c:strCache>
            </c:strRef>
          </c:tx>
          <c:spPr>
            <a:ln w="13970">
              <a:solidFill>
                <a:srgbClr val="1F2A36"/>
              </a:solidFill>
              <a:prstDash val="solid"/>
            </a:ln>
          </c:spPr>
          <c:marker>
            <c:symbol val="circle"/>
            <c:size val="3"/>
            <c:spPr>
              <a:solidFill>
                <a:srgbClr val="1F2A36"/>
              </a:solidFill>
              <a:ln>
                <a:solidFill>
                  <a:srgbClr val="1F2A36"/>
                </a:solidFill>
                <a:prstDash val="solid"/>
              </a:ln>
            </c:spPr>
          </c:marker>
          <c:xVal>
            <c:numRef>
              <c:f>'CAD FGE Method'!$Q$111:$Q$123</c:f>
              <c:numCache>
                <c:formatCode>0.0000</c:formatCode>
                <c:ptCount val="13"/>
                <c:pt idx="0">
                  <c:v>1700.57</c:v>
                </c:pt>
                <c:pt idx="1">
                  <c:v>1701.4449999999999</c:v>
                </c:pt>
                <c:pt idx="2">
                  <c:v>1711.7474999999999</c:v>
                </c:pt>
                <c:pt idx="3">
                  <c:v>1722.05</c:v>
                </c:pt>
                <c:pt idx="4">
                  <c:v>1732.3525</c:v>
                </c:pt>
                <c:pt idx="5">
                  <c:v>1742.655</c:v>
                </c:pt>
                <c:pt idx="6">
                  <c:v>1752.9575</c:v>
                </c:pt>
                <c:pt idx="7">
                  <c:v>1763.26</c:v>
                </c:pt>
                <c:pt idx="8">
                  <c:v>1773.5625</c:v>
                </c:pt>
                <c:pt idx="9">
                  <c:v>1783.865</c:v>
                </c:pt>
                <c:pt idx="10">
                  <c:v>1794.1675</c:v>
                </c:pt>
                <c:pt idx="11">
                  <c:v>1804.47</c:v>
                </c:pt>
                <c:pt idx="12">
                  <c:v>1805.47</c:v>
                </c:pt>
              </c:numCache>
            </c:numRef>
          </c:xVal>
          <c:yVal>
            <c:numRef>
              <c:f>'CAD FGE Method'!$R$111:$R$123</c:f>
              <c:numCache>
                <c:formatCode>0.0000</c:formatCode>
                <c:ptCount val="13"/>
                <c:pt idx="0">
                  <c:v>6.7916666666666652</c:v>
                </c:pt>
                <c:pt idx="1">
                  <c:v>6.7916666666666652</c:v>
                </c:pt>
                <c:pt idx="2">
                  <c:v>6.7916666666666652</c:v>
                </c:pt>
                <c:pt idx="3">
                  <c:v>6.7916666666666652</c:v>
                </c:pt>
                <c:pt idx="4">
                  <c:v>6.7916666666666652</c:v>
                </c:pt>
                <c:pt idx="5">
                  <c:v>6.7916666666666652</c:v>
                </c:pt>
                <c:pt idx="6">
                  <c:v>6.7916666666666652</c:v>
                </c:pt>
                <c:pt idx="7">
                  <c:v>6.7916666666666652</c:v>
                </c:pt>
                <c:pt idx="8">
                  <c:v>6.7916666666666652</c:v>
                </c:pt>
                <c:pt idx="9">
                  <c:v>6.7916666666666652</c:v>
                </c:pt>
                <c:pt idx="10">
                  <c:v>6.7916666666666652</c:v>
                </c:pt>
                <c:pt idx="11">
                  <c:v>6.7916666666666652</c:v>
                </c:pt>
                <c:pt idx="12">
                  <c:v>6.7916666666666652</c:v>
                </c:pt>
              </c:numCache>
            </c:numRef>
          </c:yVal>
          <c:smooth val="0"/>
          <c:extLst>
            <c:ext xmlns:c16="http://schemas.microsoft.com/office/drawing/2014/chart" uri="{C3380CC4-5D6E-409C-BE32-E72D297353CC}">
              <c16:uniqueId val="{00000009-826B-4980-8912-A4DDBD70D0E4}"/>
            </c:ext>
          </c:extLst>
        </c:ser>
        <c:ser>
          <c:idx val="10"/>
          <c:order val="10"/>
          <c:tx>
            <c:strRef>
              <c:f>'CAD FGE Method'!$P$125</c:f>
              <c:strCache>
                <c:ptCount val="1"/>
                <c:pt idx="0">
                  <c:v>Right coping (deck edge)</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l"/>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Method'!$Q$125</c:f>
              <c:numCache>
                <c:formatCode>0.0000</c:formatCode>
                <c:ptCount val="1"/>
                <c:pt idx="0">
                  <c:v>1699.07</c:v>
                </c:pt>
              </c:numCache>
            </c:numRef>
          </c:xVal>
          <c:yVal>
            <c:numRef>
              <c:f>'CAD FGE Method'!$R$125</c:f>
              <c:numCache>
                <c:formatCode>0.0000</c:formatCode>
                <c:ptCount val="1"/>
                <c:pt idx="0">
                  <c:v>6.7916666666666652</c:v>
                </c:pt>
              </c:numCache>
            </c:numRef>
          </c:yVal>
          <c:smooth val="0"/>
          <c:extLst>
            <c:ext xmlns:c16="http://schemas.microsoft.com/office/drawing/2014/chart" uri="{C3380CC4-5D6E-409C-BE32-E72D297353CC}">
              <c16:uniqueId val="{0000000A-826B-4980-8912-A4DDBD70D0E4}"/>
            </c:ext>
          </c:extLst>
        </c:ser>
        <c:ser>
          <c:idx val="11"/>
          <c:order val="11"/>
          <c:tx>
            <c:strRef>
              <c:f>'CAD FGE Method'!$P$127</c:f>
              <c:strCache>
                <c:ptCount val="1"/>
                <c:pt idx="0">
                  <c:v>CL Pier  17+00.57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Method'!$Q$127</c:f>
              <c:numCache>
                <c:formatCode>0.0000</c:formatCode>
                <c:ptCount val="1"/>
                <c:pt idx="0">
                  <c:v>1700.57</c:v>
                </c:pt>
              </c:numCache>
            </c:numRef>
          </c:xVal>
          <c:yVal>
            <c:numRef>
              <c:f>'CAD FGE Method'!$R$127</c:f>
              <c:numCache>
                <c:formatCode>0.0000</c:formatCode>
                <c:ptCount val="1"/>
                <c:pt idx="0">
                  <c:v>-6.7916666666666652</c:v>
                </c:pt>
              </c:numCache>
            </c:numRef>
          </c:yVal>
          <c:smooth val="0"/>
          <c:extLst>
            <c:ext xmlns:c16="http://schemas.microsoft.com/office/drawing/2014/chart" uri="{C3380CC4-5D6E-409C-BE32-E72D297353CC}">
              <c16:uniqueId val="{0000000B-826B-4980-8912-A4DDBD70D0E4}"/>
            </c:ext>
          </c:extLst>
        </c:ser>
        <c:ser>
          <c:idx val="12"/>
          <c:order val="12"/>
          <c:tx>
            <c:strRef>
              <c:f>'CAD FGE Method'!$P$129</c:f>
              <c:strCache>
                <c:ptCount val="1"/>
                <c:pt idx="0">
                  <c:v>CL Brg  17+01.45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Method'!$Q$129</c:f>
              <c:numCache>
                <c:formatCode>0.0000</c:formatCode>
                <c:ptCount val="1"/>
                <c:pt idx="0">
                  <c:v>1701.4449999999999</c:v>
                </c:pt>
              </c:numCache>
            </c:numRef>
          </c:xVal>
          <c:yVal>
            <c:numRef>
              <c:f>'CAD FGE Method'!$R$129</c:f>
              <c:numCache>
                <c:formatCode>0.0000</c:formatCode>
                <c:ptCount val="1"/>
                <c:pt idx="0">
                  <c:v>6.7916666666666652</c:v>
                </c:pt>
              </c:numCache>
            </c:numRef>
          </c:yVal>
          <c:smooth val="0"/>
          <c:extLst>
            <c:ext xmlns:c16="http://schemas.microsoft.com/office/drawing/2014/chart" uri="{C3380CC4-5D6E-409C-BE32-E72D297353CC}">
              <c16:uniqueId val="{0000000C-826B-4980-8912-A4DDBD70D0E4}"/>
            </c:ext>
          </c:extLst>
        </c:ser>
        <c:ser>
          <c:idx val="13"/>
          <c:order val="13"/>
          <c:tx>
            <c:strRef>
              <c:f>'CAD FGE Method'!$P$131</c:f>
              <c:strCache>
                <c:ptCount val="1"/>
                <c:pt idx="0">
                  <c:v>1  17+11.75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Method'!$Q$131</c:f>
              <c:numCache>
                <c:formatCode>0.0000</c:formatCode>
                <c:ptCount val="1"/>
                <c:pt idx="0">
                  <c:v>1711.7474999999999</c:v>
                </c:pt>
              </c:numCache>
            </c:numRef>
          </c:xVal>
          <c:yVal>
            <c:numRef>
              <c:f>'CAD FGE Method'!$R$131</c:f>
              <c:numCache>
                <c:formatCode>0.0000</c:formatCode>
                <c:ptCount val="1"/>
                <c:pt idx="0">
                  <c:v>6.7916666666666652</c:v>
                </c:pt>
              </c:numCache>
            </c:numRef>
          </c:yVal>
          <c:smooth val="0"/>
          <c:extLst>
            <c:ext xmlns:c16="http://schemas.microsoft.com/office/drawing/2014/chart" uri="{C3380CC4-5D6E-409C-BE32-E72D297353CC}">
              <c16:uniqueId val="{0000000D-826B-4980-8912-A4DDBD70D0E4}"/>
            </c:ext>
          </c:extLst>
        </c:ser>
        <c:ser>
          <c:idx val="14"/>
          <c:order val="14"/>
          <c:tx>
            <c:strRef>
              <c:f>'CAD FGE Method'!$P$133</c:f>
              <c:strCache>
                <c:ptCount val="1"/>
                <c:pt idx="0">
                  <c:v>2  17+22.05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Method'!$Q$133</c:f>
              <c:numCache>
                <c:formatCode>0.0000</c:formatCode>
                <c:ptCount val="1"/>
                <c:pt idx="0">
                  <c:v>1722.05</c:v>
                </c:pt>
              </c:numCache>
            </c:numRef>
          </c:xVal>
          <c:yVal>
            <c:numRef>
              <c:f>'CAD FGE Method'!$R$133</c:f>
              <c:numCache>
                <c:formatCode>0.0000</c:formatCode>
                <c:ptCount val="1"/>
                <c:pt idx="0">
                  <c:v>6.7916666666666652</c:v>
                </c:pt>
              </c:numCache>
            </c:numRef>
          </c:yVal>
          <c:smooth val="0"/>
          <c:extLst>
            <c:ext xmlns:c16="http://schemas.microsoft.com/office/drawing/2014/chart" uri="{C3380CC4-5D6E-409C-BE32-E72D297353CC}">
              <c16:uniqueId val="{0000000E-826B-4980-8912-A4DDBD70D0E4}"/>
            </c:ext>
          </c:extLst>
        </c:ser>
        <c:ser>
          <c:idx val="15"/>
          <c:order val="15"/>
          <c:tx>
            <c:strRef>
              <c:f>'CAD FGE Method'!$P$135</c:f>
              <c:strCache>
                <c:ptCount val="1"/>
                <c:pt idx="0">
                  <c:v>3  17+32.35</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Method'!$Q$135</c:f>
              <c:numCache>
                <c:formatCode>0.0000</c:formatCode>
                <c:ptCount val="1"/>
                <c:pt idx="0">
                  <c:v>1732.3525</c:v>
                </c:pt>
              </c:numCache>
            </c:numRef>
          </c:xVal>
          <c:yVal>
            <c:numRef>
              <c:f>'CAD FGE Method'!$R$135</c:f>
              <c:numCache>
                <c:formatCode>0.0000</c:formatCode>
                <c:ptCount val="1"/>
                <c:pt idx="0">
                  <c:v>6.7916666666666652</c:v>
                </c:pt>
              </c:numCache>
            </c:numRef>
          </c:yVal>
          <c:smooth val="0"/>
          <c:extLst>
            <c:ext xmlns:c16="http://schemas.microsoft.com/office/drawing/2014/chart" uri="{C3380CC4-5D6E-409C-BE32-E72D297353CC}">
              <c16:uniqueId val="{0000000F-826B-4980-8912-A4DDBD70D0E4}"/>
            </c:ext>
          </c:extLst>
        </c:ser>
        <c:ser>
          <c:idx val="16"/>
          <c:order val="16"/>
          <c:tx>
            <c:strRef>
              <c:f>'CAD FGE Method'!$P$137</c:f>
              <c:strCache>
                <c:ptCount val="1"/>
                <c:pt idx="0">
                  <c:v>4  17+42.66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Method'!$Q$137</c:f>
              <c:numCache>
                <c:formatCode>0.0000</c:formatCode>
                <c:ptCount val="1"/>
                <c:pt idx="0">
                  <c:v>1742.655</c:v>
                </c:pt>
              </c:numCache>
            </c:numRef>
          </c:xVal>
          <c:yVal>
            <c:numRef>
              <c:f>'CAD FGE Method'!$R$137</c:f>
              <c:numCache>
                <c:formatCode>0.0000</c:formatCode>
                <c:ptCount val="1"/>
                <c:pt idx="0">
                  <c:v>6.7916666666666652</c:v>
                </c:pt>
              </c:numCache>
            </c:numRef>
          </c:yVal>
          <c:smooth val="0"/>
          <c:extLst>
            <c:ext xmlns:c16="http://schemas.microsoft.com/office/drawing/2014/chart" uri="{C3380CC4-5D6E-409C-BE32-E72D297353CC}">
              <c16:uniqueId val="{00000010-826B-4980-8912-A4DDBD70D0E4}"/>
            </c:ext>
          </c:extLst>
        </c:ser>
        <c:ser>
          <c:idx val="17"/>
          <c:order val="17"/>
          <c:tx>
            <c:strRef>
              <c:f>'CAD FGE Method'!$P$139</c:f>
              <c:strCache>
                <c:ptCount val="1"/>
                <c:pt idx="0">
                  <c:v>5  17+52.96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Method'!$Q$139</c:f>
              <c:numCache>
                <c:formatCode>0.0000</c:formatCode>
                <c:ptCount val="1"/>
                <c:pt idx="0">
                  <c:v>1752.9575</c:v>
                </c:pt>
              </c:numCache>
            </c:numRef>
          </c:xVal>
          <c:yVal>
            <c:numRef>
              <c:f>'CAD FGE Method'!$R$139</c:f>
              <c:numCache>
                <c:formatCode>0.0000</c:formatCode>
                <c:ptCount val="1"/>
                <c:pt idx="0">
                  <c:v>6.7916666666666652</c:v>
                </c:pt>
              </c:numCache>
            </c:numRef>
          </c:yVal>
          <c:smooth val="0"/>
          <c:extLst>
            <c:ext xmlns:c16="http://schemas.microsoft.com/office/drawing/2014/chart" uri="{C3380CC4-5D6E-409C-BE32-E72D297353CC}">
              <c16:uniqueId val="{00000011-826B-4980-8912-A4DDBD70D0E4}"/>
            </c:ext>
          </c:extLst>
        </c:ser>
        <c:ser>
          <c:idx val="18"/>
          <c:order val="18"/>
          <c:tx>
            <c:strRef>
              <c:f>'CAD FGE Method'!$P$141</c:f>
              <c:strCache>
                <c:ptCount val="1"/>
                <c:pt idx="0">
                  <c:v>6  17+63.26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Method'!$Q$141</c:f>
              <c:numCache>
                <c:formatCode>0.0000</c:formatCode>
                <c:ptCount val="1"/>
                <c:pt idx="0">
                  <c:v>1763.26</c:v>
                </c:pt>
              </c:numCache>
            </c:numRef>
          </c:xVal>
          <c:yVal>
            <c:numRef>
              <c:f>'CAD FGE Method'!$R$141</c:f>
              <c:numCache>
                <c:formatCode>0.0000</c:formatCode>
                <c:ptCount val="1"/>
                <c:pt idx="0">
                  <c:v>6.7916666666666652</c:v>
                </c:pt>
              </c:numCache>
            </c:numRef>
          </c:yVal>
          <c:smooth val="0"/>
          <c:extLst>
            <c:ext xmlns:c16="http://schemas.microsoft.com/office/drawing/2014/chart" uri="{C3380CC4-5D6E-409C-BE32-E72D297353CC}">
              <c16:uniqueId val="{00000012-826B-4980-8912-A4DDBD70D0E4}"/>
            </c:ext>
          </c:extLst>
        </c:ser>
        <c:ser>
          <c:idx val="19"/>
          <c:order val="19"/>
          <c:tx>
            <c:strRef>
              <c:f>'CAD FGE Method'!$P$143</c:f>
              <c:strCache>
                <c:ptCount val="1"/>
                <c:pt idx="0">
                  <c:v>7  17+73.56</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Method'!$Q$143</c:f>
              <c:numCache>
                <c:formatCode>0.0000</c:formatCode>
                <c:ptCount val="1"/>
                <c:pt idx="0">
                  <c:v>1773.5625</c:v>
                </c:pt>
              </c:numCache>
            </c:numRef>
          </c:xVal>
          <c:yVal>
            <c:numRef>
              <c:f>'CAD FGE Method'!$R$143</c:f>
              <c:numCache>
                <c:formatCode>0.0000</c:formatCode>
                <c:ptCount val="1"/>
                <c:pt idx="0">
                  <c:v>6.7916666666666652</c:v>
                </c:pt>
              </c:numCache>
            </c:numRef>
          </c:yVal>
          <c:smooth val="0"/>
          <c:extLst>
            <c:ext xmlns:c16="http://schemas.microsoft.com/office/drawing/2014/chart" uri="{C3380CC4-5D6E-409C-BE32-E72D297353CC}">
              <c16:uniqueId val="{00000013-826B-4980-8912-A4DDBD70D0E4}"/>
            </c:ext>
          </c:extLst>
        </c:ser>
        <c:ser>
          <c:idx val="20"/>
          <c:order val="20"/>
          <c:tx>
            <c:strRef>
              <c:f>'CAD FGE Method'!$P$145</c:f>
              <c:strCache>
                <c:ptCount val="1"/>
                <c:pt idx="0">
                  <c:v>8  17+83.87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Method'!$Q$145</c:f>
              <c:numCache>
                <c:formatCode>0.0000</c:formatCode>
                <c:ptCount val="1"/>
                <c:pt idx="0">
                  <c:v>1783.865</c:v>
                </c:pt>
              </c:numCache>
            </c:numRef>
          </c:xVal>
          <c:yVal>
            <c:numRef>
              <c:f>'CAD FGE Method'!$R$145</c:f>
              <c:numCache>
                <c:formatCode>0.0000</c:formatCode>
                <c:ptCount val="1"/>
                <c:pt idx="0">
                  <c:v>6.7916666666666652</c:v>
                </c:pt>
              </c:numCache>
            </c:numRef>
          </c:yVal>
          <c:smooth val="0"/>
          <c:extLst>
            <c:ext xmlns:c16="http://schemas.microsoft.com/office/drawing/2014/chart" uri="{C3380CC4-5D6E-409C-BE32-E72D297353CC}">
              <c16:uniqueId val="{00000014-826B-4980-8912-A4DDBD70D0E4}"/>
            </c:ext>
          </c:extLst>
        </c:ser>
        <c:ser>
          <c:idx val="21"/>
          <c:order val="21"/>
          <c:tx>
            <c:strRef>
              <c:f>'CAD FGE Method'!$P$147</c:f>
              <c:strCache>
                <c:ptCount val="1"/>
                <c:pt idx="0">
                  <c:v>9  17+94.17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Method'!$Q$147</c:f>
              <c:numCache>
                <c:formatCode>0.0000</c:formatCode>
                <c:ptCount val="1"/>
                <c:pt idx="0">
                  <c:v>1794.1675</c:v>
                </c:pt>
              </c:numCache>
            </c:numRef>
          </c:xVal>
          <c:yVal>
            <c:numRef>
              <c:f>'CAD FGE Method'!$R$147</c:f>
              <c:numCache>
                <c:formatCode>0.0000</c:formatCode>
                <c:ptCount val="1"/>
                <c:pt idx="0">
                  <c:v>6.7916666666666652</c:v>
                </c:pt>
              </c:numCache>
            </c:numRef>
          </c:yVal>
          <c:smooth val="0"/>
          <c:extLst>
            <c:ext xmlns:c16="http://schemas.microsoft.com/office/drawing/2014/chart" uri="{C3380CC4-5D6E-409C-BE32-E72D297353CC}">
              <c16:uniqueId val="{00000015-826B-4980-8912-A4DDBD70D0E4}"/>
            </c:ext>
          </c:extLst>
        </c:ser>
        <c:ser>
          <c:idx val="22"/>
          <c:order val="22"/>
          <c:tx>
            <c:strRef>
              <c:f>'CAD FGE Method'!$P$149</c:f>
              <c:strCache>
                <c:ptCount val="1"/>
                <c:pt idx="0">
                  <c:v>CL Brg  18+04.47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Method'!$Q$149</c:f>
              <c:numCache>
                <c:formatCode>0.0000</c:formatCode>
                <c:ptCount val="1"/>
                <c:pt idx="0">
                  <c:v>1804.47</c:v>
                </c:pt>
              </c:numCache>
            </c:numRef>
          </c:xVal>
          <c:yVal>
            <c:numRef>
              <c:f>'CAD FGE Method'!$R$149</c:f>
              <c:numCache>
                <c:formatCode>0.0000</c:formatCode>
                <c:ptCount val="1"/>
                <c:pt idx="0">
                  <c:v>6.7916666666666652</c:v>
                </c:pt>
              </c:numCache>
            </c:numRef>
          </c:yVal>
          <c:smooth val="0"/>
          <c:extLst>
            <c:ext xmlns:c16="http://schemas.microsoft.com/office/drawing/2014/chart" uri="{C3380CC4-5D6E-409C-BE32-E72D297353CC}">
              <c16:uniqueId val="{00000016-826B-4980-8912-A4DDBD70D0E4}"/>
            </c:ext>
          </c:extLst>
        </c:ser>
        <c:ser>
          <c:idx val="23"/>
          <c:order val="23"/>
          <c:tx>
            <c:strRef>
              <c:f>'CAD FGE Method'!$P$151</c:f>
              <c:strCache>
                <c:ptCount val="1"/>
                <c:pt idx="0">
                  <c:v>FFBW EB 2  18+05.47</c:v>
                </c:pt>
              </c:strCache>
            </c:strRef>
          </c:tx>
          <c:spPr>
            <a:ln>
              <a:noFill/>
              <a:prstDash val="solid"/>
            </a:ln>
          </c:spPr>
          <c:marker>
            <c:symbol val="none"/>
          </c:marker>
          <c:dLbls>
            <c:spPr>
              <a:noFill/>
              <a:ln>
                <a:noFill/>
              </a:ln>
              <a:effectLst/>
            </c:spPr>
            <c:txPr>
              <a:bodyPr rot="-5400000" vert="horz"/>
              <a:lstStyle/>
              <a:p>
                <a:pPr>
                  <a:defRPr sz="6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FGE Method'!$Q$151</c:f>
              <c:numCache>
                <c:formatCode>0.0000</c:formatCode>
                <c:ptCount val="1"/>
                <c:pt idx="0">
                  <c:v>1805.47</c:v>
                </c:pt>
              </c:numCache>
            </c:numRef>
          </c:xVal>
          <c:yVal>
            <c:numRef>
              <c:f>'CAD FGE Method'!$R$151</c:f>
              <c:numCache>
                <c:formatCode>0.0000</c:formatCode>
                <c:ptCount val="1"/>
                <c:pt idx="0">
                  <c:v>-6.7916666666666652</c:v>
                </c:pt>
              </c:numCache>
            </c:numRef>
          </c:yVal>
          <c:smooth val="0"/>
          <c:extLst>
            <c:ext xmlns:c16="http://schemas.microsoft.com/office/drawing/2014/chart" uri="{C3380CC4-5D6E-409C-BE32-E72D297353CC}">
              <c16:uniqueId val="{00000017-826B-4980-8912-A4DDBD70D0E4}"/>
            </c:ext>
          </c:extLst>
        </c:ser>
        <c:ser>
          <c:idx val="24"/>
          <c:order val="24"/>
          <c:tx>
            <c:strRef>
              <c:f>'CAD FGE Method'!$P$153</c:f>
              <c:strCache>
                <c:ptCount val="1"/>
                <c:pt idx="0">
                  <c:v>frame (invisible, sets the chart window)</c:v>
                </c:pt>
              </c:strCache>
            </c:strRef>
          </c:tx>
          <c:spPr>
            <a:ln>
              <a:noFill/>
              <a:prstDash val="solid"/>
            </a:ln>
          </c:spPr>
          <c:marker>
            <c:symbol val="none"/>
          </c:marker>
          <c:xVal>
            <c:numRef>
              <c:f>'CAD FGE Method'!$Q$153:$Q$154</c:f>
              <c:numCache>
                <c:formatCode>0.0000</c:formatCode>
                <c:ptCount val="2"/>
                <c:pt idx="0">
                  <c:v>1684.57</c:v>
                </c:pt>
                <c:pt idx="1">
                  <c:v>1807.47</c:v>
                </c:pt>
              </c:numCache>
            </c:numRef>
          </c:xVal>
          <c:yVal>
            <c:numRef>
              <c:f>'CAD FGE Method'!$R$153:$R$154</c:f>
              <c:numCache>
                <c:formatCode>0.0000</c:formatCode>
                <c:ptCount val="2"/>
                <c:pt idx="0">
                  <c:v>-9.9916666666666654</c:v>
                </c:pt>
                <c:pt idx="1">
                  <c:v>9.9916666666666654</c:v>
                </c:pt>
              </c:numCache>
            </c:numRef>
          </c:yVal>
          <c:smooth val="0"/>
          <c:extLst>
            <c:ext xmlns:c16="http://schemas.microsoft.com/office/drawing/2014/chart" uri="{C3380CC4-5D6E-409C-BE32-E72D297353CC}">
              <c16:uniqueId val="{00000018-826B-4980-8912-A4DDBD70D0E4}"/>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'CAD Build-Up Method'!$P$7</c:f>
              <c:strCache>
                <c:ptCount val="1"/>
                <c:pt idx="0">
                  <c:v>Deck soffit over CL beam 1</c:v>
                </c:pt>
              </c:strCache>
            </c:strRef>
          </c:tx>
          <c:spPr>
            <a:ln w="19050">
              <a:solidFill>
                <a:srgbClr val="2B6CB0"/>
              </a:solidFill>
              <a:prstDash val="solid"/>
            </a:ln>
          </c:spPr>
          <c:marker>
            <c:symbol val="none"/>
          </c:marker>
          <c:xVal>
            <c:numRef>
              <c:f>'CAD Build-Up Method'!$Q$7:$Q$47</c:f>
              <c:numCache>
                <c:formatCode>0.0000</c:formatCode>
                <c:ptCount val="41"/>
                <c:pt idx="0">
                  <c:v>1700.6949999999999</c:v>
                </c:pt>
                <c:pt idx="1">
                  <c:v>1703.308125</c:v>
                </c:pt>
                <c:pt idx="2">
                  <c:v>1705.9212499999999</c:v>
                </c:pt>
                <c:pt idx="3">
                  <c:v>1708.534375</c:v>
                </c:pt>
                <c:pt idx="4">
                  <c:v>1711.1475</c:v>
                </c:pt>
                <c:pt idx="5">
                  <c:v>1713.7606249999999</c:v>
                </c:pt>
                <c:pt idx="6">
                  <c:v>1716.37375</c:v>
                </c:pt>
                <c:pt idx="7">
                  <c:v>1718.9868750000001</c:v>
                </c:pt>
                <c:pt idx="8">
                  <c:v>1721.6</c:v>
                </c:pt>
                <c:pt idx="9">
                  <c:v>1724.213125</c:v>
                </c:pt>
                <c:pt idx="10">
                  <c:v>1726.8262500000001</c:v>
                </c:pt>
                <c:pt idx="11">
                  <c:v>1729.4393749999999</c:v>
                </c:pt>
                <c:pt idx="12">
                  <c:v>1732.0525</c:v>
                </c:pt>
                <c:pt idx="13">
                  <c:v>1734.6656249999999</c:v>
                </c:pt>
                <c:pt idx="14">
                  <c:v>1737.2787499999999</c:v>
                </c:pt>
                <c:pt idx="15">
                  <c:v>1739.891875</c:v>
                </c:pt>
                <c:pt idx="16">
                  <c:v>1742.5049999999999</c:v>
                </c:pt>
                <c:pt idx="17">
                  <c:v>1745.118125</c:v>
                </c:pt>
                <c:pt idx="18">
                  <c:v>1747.73125</c:v>
                </c:pt>
                <c:pt idx="19">
                  <c:v>1750.3443749999999</c:v>
                </c:pt>
                <c:pt idx="20">
                  <c:v>1752.9575</c:v>
                </c:pt>
                <c:pt idx="21">
                  <c:v>1755.5706250000001</c:v>
                </c:pt>
                <c:pt idx="22">
                  <c:v>1758.1837499999999</c:v>
                </c:pt>
                <c:pt idx="23">
                  <c:v>1760.796875</c:v>
                </c:pt>
                <c:pt idx="24">
                  <c:v>1763.41</c:v>
                </c:pt>
                <c:pt idx="25">
                  <c:v>1766.0231249999999</c:v>
                </c:pt>
                <c:pt idx="26">
                  <c:v>1768.63625</c:v>
                </c:pt>
                <c:pt idx="27">
                  <c:v>1771.2493750000001</c:v>
                </c:pt>
                <c:pt idx="28">
                  <c:v>1773.8625</c:v>
                </c:pt>
                <c:pt idx="29">
                  <c:v>1776.475625</c:v>
                </c:pt>
                <c:pt idx="30">
                  <c:v>1779.0887499999999</c:v>
                </c:pt>
                <c:pt idx="31">
                  <c:v>1781.701875</c:v>
                </c:pt>
                <c:pt idx="32">
                  <c:v>1784.3150000000001</c:v>
                </c:pt>
                <c:pt idx="33">
                  <c:v>1786.9281249999999</c:v>
                </c:pt>
                <c:pt idx="34">
                  <c:v>1789.54125</c:v>
                </c:pt>
                <c:pt idx="35">
                  <c:v>1792.1543750000001</c:v>
                </c:pt>
                <c:pt idx="36">
                  <c:v>1794.7674999999999</c:v>
                </c:pt>
                <c:pt idx="37">
                  <c:v>1797.380625</c:v>
                </c:pt>
                <c:pt idx="38">
                  <c:v>1799.9937500000001</c:v>
                </c:pt>
                <c:pt idx="39">
                  <c:v>1802.6068749999999</c:v>
                </c:pt>
                <c:pt idx="40">
                  <c:v>1805.22</c:v>
                </c:pt>
              </c:numCache>
            </c:numRef>
          </c:xVal>
          <c:yVal>
            <c:numRef>
              <c:f>'CAD Build-Up Method'!$R$7:$R$47</c:f>
              <c:numCache>
                <c:formatCode>0.0000</c:formatCode>
                <c:ptCount val="41"/>
                <c:pt idx="0">
                  <c:v>5.1572382101832659</c:v>
                </c:pt>
                <c:pt idx="1">
                  <c:v>5.1572382101832659</c:v>
                </c:pt>
                <c:pt idx="2">
                  <c:v>5.1572382101835501</c:v>
                </c:pt>
                <c:pt idx="3">
                  <c:v>5.1572382101832659</c:v>
                </c:pt>
                <c:pt idx="4">
                  <c:v>5.1572382101835501</c:v>
                </c:pt>
                <c:pt idx="5">
                  <c:v>5.1572382101832659</c:v>
                </c:pt>
                <c:pt idx="6">
                  <c:v>5.1572382101835501</c:v>
                </c:pt>
                <c:pt idx="7">
                  <c:v>5.1572382101832659</c:v>
                </c:pt>
                <c:pt idx="8">
                  <c:v>5.1572382101832659</c:v>
                </c:pt>
                <c:pt idx="9">
                  <c:v>5.1572382101835501</c:v>
                </c:pt>
                <c:pt idx="10">
                  <c:v>5.1572382101832659</c:v>
                </c:pt>
                <c:pt idx="11">
                  <c:v>5.1572382101835501</c:v>
                </c:pt>
                <c:pt idx="12">
                  <c:v>5.1572382101832659</c:v>
                </c:pt>
                <c:pt idx="13">
                  <c:v>5.1572382101832659</c:v>
                </c:pt>
                <c:pt idx="14">
                  <c:v>5.1572382101832659</c:v>
                </c:pt>
                <c:pt idx="15">
                  <c:v>5.1572382101832659</c:v>
                </c:pt>
                <c:pt idx="16">
                  <c:v>5.1572382101835501</c:v>
                </c:pt>
                <c:pt idx="17">
                  <c:v>5.1572382101832659</c:v>
                </c:pt>
                <c:pt idx="18">
                  <c:v>5.1572382101835501</c:v>
                </c:pt>
                <c:pt idx="19">
                  <c:v>5.1572382101832659</c:v>
                </c:pt>
                <c:pt idx="20">
                  <c:v>5.1572382101832659</c:v>
                </c:pt>
                <c:pt idx="21">
                  <c:v>5.1572382101832659</c:v>
                </c:pt>
                <c:pt idx="22">
                  <c:v>5.1572382101832659</c:v>
                </c:pt>
                <c:pt idx="23">
                  <c:v>5.1572382101832659</c:v>
                </c:pt>
                <c:pt idx="24">
                  <c:v>5.1572382101832659</c:v>
                </c:pt>
                <c:pt idx="25">
                  <c:v>5.1572382101835501</c:v>
                </c:pt>
                <c:pt idx="26">
                  <c:v>5.1572382101832659</c:v>
                </c:pt>
                <c:pt idx="27">
                  <c:v>5.1572382101835501</c:v>
                </c:pt>
                <c:pt idx="28">
                  <c:v>5.1572382101832659</c:v>
                </c:pt>
                <c:pt idx="29">
                  <c:v>5.1572382101832659</c:v>
                </c:pt>
                <c:pt idx="30">
                  <c:v>5.1572382101832659</c:v>
                </c:pt>
                <c:pt idx="31">
                  <c:v>5.1572382101832659</c:v>
                </c:pt>
                <c:pt idx="32">
                  <c:v>5.1572382101832659</c:v>
                </c:pt>
                <c:pt idx="33">
                  <c:v>5.1572382101832659</c:v>
                </c:pt>
                <c:pt idx="34">
                  <c:v>5.1572382101832659</c:v>
                </c:pt>
                <c:pt idx="35">
                  <c:v>5.1572382101832659</c:v>
                </c:pt>
                <c:pt idx="36">
                  <c:v>5.1572382101832659</c:v>
                </c:pt>
                <c:pt idx="37">
                  <c:v>5.1572382101832659</c:v>
                </c:pt>
                <c:pt idx="38">
                  <c:v>5.1572382101832659</c:v>
                </c:pt>
                <c:pt idx="39">
                  <c:v>5.1572382101832659</c:v>
                </c:pt>
                <c:pt idx="40">
                  <c:v>5.1572382101832659</c:v>
                </c:pt>
              </c:numCache>
            </c:numRef>
          </c:yVal>
          <c:smooth val="0"/>
          <c:extLst>
            <c:ext xmlns:c16="http://schemas.microsoft.com/office/drawing/2014/chart" uri="{C3380CC4-5D6E-409C-BE32-E72D297353CC}">
              <c16:uniqueId val="{00000000-802F-442A-B630-79B3781535D2}"/>
            </c:ext>
          </c:extLst>
        </c:ser>
        <c:ser>
          <c:idx val="1"/>
          <c:order val="1"/>
          <c:tx>
            <c:strRef>
              <c:f>'CAD Build-Up Method'!$P$49</c:f>
              <c:strCache>
                <c:ptCount val="1"/>
                <c:pt idx="0">
                  <c:v>Cambered beam top</c:v>
                </c:pt>
              </c:strCache>
            </c:strRef>
          </c:tx>
          <c:spPr>
            <a:ln w="19050">
              <a:solidFill>
                <a:srgbClr val="1F2A36"/>
              </a:solidFill>
              <a:prstDash val="solid"/>
            </a:ln>
          </c:spPr>
          <c:marker>
            <c:symbol val="none"/>
          </c:marker>
          <c:errBars>
            <c:errDir val="y"/>
            <c:errBarType val="plus"/>
            <c:errValType val="cust"/>
            <c:noEndCap val="1"/>
            <c:plus>
              <c:numRef>
                <c:f>'CAD Build-Up Method'!$S$49:$S$89</c:f>
                <c:numCache>
                  <c:formatCode>General</c:formatCode>
                  <c:ptCount val="41"/>
                  <c:pt idx="0">
                    <c:v>5.2126908042325226</c:v>
                  </c:pt>
                  <c:pt idx="1">
                    <c:v>5.0229534508198981</c:v>
                  </c:pt>
                  <c:pt idx="2">
                    <c:v>4.8429462180951077</c:v>
                  </c:pt>
                  <c:pt idx="3">
                    <c:v>4.6726691060578673</c:v>
                  </c:pt>
                  <c:pt idx="4">
                    <c:v>4.5121221147090296</c:v>
                  </c:pt>
                  <c:pt idx="5">
                    <c:v>4.3613052440474576</c:v>
                  </c:pt>
                  <c:pt idx="6">
                    <c:v>4.2202184940742882</c:v>
                  </c:pt>
                  <c:pt idx="7">
                    <c:v>4.0888618647881003</c:v>
                  </c:pt>
                  <c:pt idx="8">
                    <c:v>3.9672353561903151</c:v>
                  </c:pt>
                  <c:pt idx="9">
                    <c:v>3.8553389682806483</c:v>
                  </c:pt>
                  <c:pt idx="10">
                    <c:v>3.753172701057963</c:v>
                  </c:pt>
                  <c:pt idx="11">
                    <c:v>3.6607365545239645</c:v>
                  </c:pt>
                  <c:pt idx="12">
                    <c:v>3.5780305286772318</c:v>
                  </c:pt>
                  <c:pt idx="13">
                    <c:v>3.5050546235183333</c:v>
                  </c:pt>
                  <c:pt idx="14">
                    <c:v>3.4418088390475532</c:v>
                  </c:pt>
                  <c:pt idx="15">
                    <c:v>3.3882931752643231</c:v>
                  </c:pt>
                  <c:pt idx="16">
                    <c:v>3.3445076321694955</c:v>
                  </c:pt>
                  <c:pt idx="17">
                    <c:v>3.3104522097619338</c:v>
                  </c:pt>
                  <c:pt idx="18">
                    <c:v>3.2861269080424904</c:v>
                  </c:pt>
                  <c:pt idx="19">
                    <c:v>3.271531727010597</c:v>
                  </c:pt>
                  <c:pt idx="20">
                    <c:v>3.2666666666665378</c:v>
                  </c:pt>
                  <c:pt idx="21">
                    <c:v>3.271531727010597</c:v>
                  </c:pt>
                  <c:pt idx="22">
                    <c:v>3.2861269080422062</c:v>
                  </c:pt>
                  <c:pt idx="23">
                    <c:v>3.3104522097619338</c:v>
                  </c:pt>
                  <c:pt idx="24">
                    <c:v>3.3445076321692113</c:v>
                  </c:pt>
                  <c:pt idx="25">
                    <c:v>3.3882931752646073</c:v>
                  </c:pt>
                  <c:pt idx="26">
                    <c:v>3.4418088390475532</c:v>
                  </c:pt>
                  <c:pt idx="27">
                    <c:v>3.5050546235186175</c:v>
                  </c:pt>
                  <c:pt idx="28">
                    <c:v>3.5780305286772318</c:v>
                  </c:pt>
                  <c:pt idx="29">
                    <c:v>3.6607365545236803</c:v>
                  </c:pt>
                  <c:pt idx="30">
                    <c:v>3.753172701057963</c:v>
                  </c:pt>
                  <c:pt idx="31">
                    <c:v>3.855338968280364</c:v>
                  </c:pt>
                  <c:pt idx="32">
                    <c:v>3.9672353561903151</c:v>
                  </c:pt>
                  <c:pt idx="33">
                    <c:v>4.0888618647881003</c:v>
                  </c:pt>
                  <c:pt idx="34">
                    <c:v>4.220218494074004</c:v>
                  </c:pt>
                  <c:pt idx="35">
                    <c:v>4.3613052440474576</c:v>
                  </c:pt>
                  <c:pt idx="36">
                    <c:v>4.5121221147087454</c:v>
                  </c:pt>
                  <c:pt idx="37">
                    <c:v>4.6726691060578673</c:v>
                  </c:pt>
                  <c:pt idx="38">
                    <c:v>4.8429462180948235</c:v>
                  </c:pt>
                  <c:pt idx="39">
                    <c:v>5.0229534508198981</c:v>
                  </c:pt>
                  <c:pt idx="40">
                    <c:v>5.2126908042325226</c:v>
                  </c:pt>
                </c:numCache>
              </c:numRef>
            </c:plus>
            <c:spPr>
              <a:ln w="38100">
                <a:solidFill>
                  <a:srgbClr val="E3B85C"/>
                </a:solidFill>
                <a:prstDash val="solid"/>
              </a:ln>
            </c:spPr>
          </c:errBars>
          <c:xVal>
            <c:numRef>
              <c:f>'CAD Build-Up Method'!$Q$49:$Q$89</c:f>
              <c:numCache>
                <c:formatCode>0.0000</c:formatCode>
                <c:ptCount val="41"/>
                <c:pt idx="0">
                  <c:v>1700.6949999999999</c:v>
                </c:pt>
                <c:pt idx="1">
                  <c:v>1703.308125</c:v>
                </c:pt>
                <c:pt idx="2">
                  <c:v>1705.9212499999999</c:v>
                </c:pt>
                <c:pt idx="3">
                  <c:v>1708.534375</c:v>
                </c:pt>
                <c:pt idx="4">
                  <c:v>1711.1475</c:v>
                </c:pt>
                <c:pt idx="5">
                  <c:v>1713.7606249999999</c:v>
                </c:pt>
                <c:pt idx="6">
                  <c:v>1716.37375</c:v>
                </c:pt>
                <c:pt idx="7">
                  <c:v>1718.9868750000001</c:v>
                </c:pt>
                <c:pt idx="8">
                  <c:v>1721.6</c:v>
                </c:pt>
                <c:pt idx="9">
                  <c:v>1724.213125</c:v>
                </c:pt>
                <c:pt idx="10">
                  <c:v>1726.8262500000001</c:v>
                </c:pt>
                <c:pt idx="11">
                  <c:v>1729.4393749999999</c:v>
                </c:pt>
                <c:pt idx="12">
                  <c:v>1732.0525</c:v>
                </c:pt>
                <c:pt idx="13">
                  <c:v>1734.6656249999999</c:v>
                </c:pt>
                <c:pt idx="14">
                  <c:v>1737.2787499999999</c:v>
                </c:pt>
                <c:pt idx="15">
                  <c:v>1739.891875</c:v>
                </c:pt>
                <c:pt idx="16">
                  <c:v>1742.5049999999999</c:v>
                </c:pt>
                <c:pt idx="17">
                  <c:v>1745.118125</c:v>
                </c:pt>
                <c:pt idx="18">
                  <c:v>1747.73125</c:v>
                </c:pt>
                <c:pt idx="19">
                  <c:v>1750.3443749999999</c:v>
                </c:pt>
                <c:pt idx="20">
                  <c:v>1752.9575</c:v>
                </c:pt>
                <c:pt idx="21">
                  <c:v>1755.5706250000001</c:v>
                </c:pt>
                <c:pt idx="22">
                  <c:v>1758.1837499999999</c:v>
                </c:pt>
                <c:pt idx="23">
                  <c:v>1760.796875</c:v>
                </c:pt>
                <c:pt idx="24">
                  <c:v>1763.41</c:v>
                </c:pt>
                <c:pt idx="25">
                  <c:v>1766.0231249999999</c:v>
                </c:pt>
                <c:pt idx="26">
                  <c:v>1768.63625</c:v>
                </c:pt>
                <c:pt idx="27">
                  <c:v>1771.2493750000001</c:v>
                </c:pt>
                <c:pt idx="28">
                  <c:v>1773.8625</c:v>
                </c:pt>
                <c:pt idx="29">
                  <c:v>1776.475625</c:v>
                </c:pt>
                <c:pt idx="30">
                  <c:v>1779.0887499999999</c:v>
                </c:pt>
                <c:pt idx="31">
                  <c:v>1781.701875</c:v>
                </c:pt>
                <c:pt idx="32">
                  <c:v>1784.3150000000001</c:v>
                </c:pt>
                <c:pt idx="33">
                  <c:v>1786.9281249999999</c:v>
                </c:pt>
                <c:pt idx="34">
                  <c:v>1789.54125</c:v>
                </c:pt>
                <c:pt idx="35">
                  <c:v>1792.1543750000001</c:v>
                </c:pt>
                <c:pt idx="36">
                  <c:v>1794.7674999999999</c:v>
                </c:pt>
                <c:pt idx="37">
                  <c:v>1797.380625</c:v>
                </c:pt>
                <c:pt idx="38">
                  <c:v>1799.9937500000001</c:v>
                </c:pt>
                <c:pt idx="39">
                  <c:v>1802.6068749999999</c:v>
                </c:pt>
                <c:pt idx="40">
                  <c:v>1805.22</c:v>
                </c:pt>
              </c:numCache>
            </c:numRef>
          </c:xVal>
          <c:yVal>
            <c:numRef>
              <c:f>'CAD Build-Up Method'!$R$49:$R$89</c:f>
              <c:numCache>
                <c:formatCode>0.0000</c:formatCode>
                <c:ptCount val="41"/>
                <c:pt idx="0">
                  <c:v>-5.5452594049256732E-2</c:v>
                </c:pt>
                <c:pt idx="1">
                  <c:v>0.13428475936336781</c:v>
                </c:pt>
                <c:pt idx="2">
                  <c:v>0.31429199208844238</c:v>
                </c:pt>
                <c:pt idx="3">
                  <c:v>0.48456910412539855</c:v>
                </c:pt>
                <c:pt idx="4">
                  <c:v>0.64511609547452053</c:v>
                </c:pt>
                <c:pt idx="5">
                  <c:v>0.79593296613580833</c:v>
                </c:pt>
                <c:pt idx="6">
                  <c:v>0.93701971610926194</c:v>
                </c:pt>
                <c:pt idx="7">
                  <c:v>1.0683763453951656</c:v>
                </c:pt>
                <c:pt idx="8">
                  <c:v>1.1900028539929508</c:v>
                </c:pt>
                <c:pt idx="9">
                  <c:v>1.3018992419029018</c:v>
                </c:pt>
                <c:pt idx="10">
                  <c:v>1.4040655091253029</c:v>
                </c:pt>
                <c:pt idx="11">
                  <c:v>1.4965016556595856</c:v>
                </c:pt>
                <c:pt idx="12">
                  <c:v>1.5792076815060341</c:v>
                </c:pt>
                <c:pt idx="13">
                  <c:v>1.6521835866649326</c:v>
                </c:pt>
                <c:pt idx="14">
                  <c:v>1.7154293711357127</c:v>
                </c:pt>
                <c:pt idx="15">
                  <c:v>1.7689450349189428</c:v>
                </c:pt>
                <c:pt idx="16">
                  <c:v>1.8127305780140546</c:v>
                </c:pt>
                <c:pt idx="17">
                  <c:v>1.8467860004213321</c:v>
                </c:pt>
                <c:pt idx="18">
                  <c:v>1.8711113021410597</c:v>
                </c:pt>
                <c:pt idx="19">
                  <c:v>1.8857064831726689</c:v>
                </c:pt>
                <c:pt idx="20">
                  <c:v>1.8905715435167281</c:v>
                </c:pt>
                <c:pt idx="21">
                  <c:v>1.8857064831726689</c:v>
                </c:pt>
                <c:pt idx="22">
                  <c:v>1.8711113021410597</c:v>
                </c:pt>
                <c:pt idx="23">
                  <c:v>1.8467860004213321</c:v>
                </c:pt>
                <c:pt idx="24">
                  <c:v>1.8127305780140546</c:v>
                </c:pt>
                <c:pt idx="25">
                  <c:v>1.7689450349189428</c:v>
                </c:pt>
                <c:pt idx="26">
                  <c:v>1.7154293711357127</c:v>
                </c:pt>
                <c:pt idx="27">
                  <c:v>1.6521835866649326</c:v>
                </c:pt>
                <c:pt idx="28">
                  <c:v>1.5792076815060341</c:v>
                </c:pt>
                <c:pt idx="29">
                  <c:v>1.4965016556595856</c:v>
                </c:pt>
                <c:pt idx="30">
                  <c:v>1.4040655091253029</c:v>
                </c:pt>
                <c:pt idx="31">
                  <c:v>1.3018992419029018</c:v>
                </c:pt>
                <c:pt idx="32">
                  <c:v>1.1900028539929508</c:v>
                </c:pt>
                <c:pt idx="33">
                  <c:v>1.0683763453951656</c:v>
                </c:pt>
                <c:pt idx="34">
                  <c:v>0.93701971610926194</c:v>
                </c:pt>
                <c:pt idx="35">
                  <c:v>0.79593296613580833</c:v>
                </c:pt>
                <c:pt idx="36">
                  <c:v>0.64511609547452053</c:v>
                </c:pt>
                <c:pt idx="37">
                  <c:v>0.48456910412539855</c:v>
                </c:pt>
                <c:pt idx="38">
                  <c:v>0.31429199208844238</c:v>
                </c:pt>
                <c:pt idx="39">
                  <c:v>0.13428475936336781</c:v>
                </c:pt>
                <c:pt idx="40">
                  <c:v>-5.5452594049256732E-2</c:v>
                </c:pt>
              </c:numCache>
            </c:numRef>
          </c:yVal>
          <c:smooth val="0"/>
          <c:extLst>
            <c:ext xmlns:c16="http://schemas.microsoft.com/office/drawing/2014/chart" uri="{C3380CC4-5D6E-409C-BE32-E72D297353CC}">
              <c16:uniqueId val="{00000001-802F-442A-B630-79B3781535D2}"/>
            </c:ext>
          </c:extLst>
        </c:ser>
        <c:ser>
          <c:idx val="2"/>
          <c:order val="2"/>
          <c:tx>
            <c:strRef>
              <c:f>'CAD Build-Up Method'!$P$91</c:f>
              <c:strCache>
                <c:ptCount val="1"/>
                <c:pt idx="0">
                  <c:v>Beam top with zero camber</c:v>
                </c:pt>
              </c:strCache>
            </c:strRef>
          </c:tx>
          <c:spPr>
            <a:ln w="12700">
              <a:solidFill>
                <a:srgbClr val="8A96A3"/>
              </a:solidFill>
              <a:prstDash val="dash"/>
            </a:ln>
          </c:spPr>
          <c:marker>
            <c:symbol val="none"/>
          </c:marker>
          <c:xVal>
            <c:numRef>
              <c:f>'CAD Build-Up Method'!$Q$91:$Q$92</c:f>
              <c:numCache>
                <c:formatCode>0.0000</c:formatCode>
                <c:ptCount val="2"/>
                <c:pt idx="0">
                  <c:v>1700.6949999999999</c:v>
                </c:pt>
                <c:pt idx="1">
                  <c:v>1805.22</c:v>
                </c:pt>
              </c:numCache>
            </c:numRef>
          </c:xVal>
          <c:yVal>
            <c:numRef>
              <c:f>'CAD Build-Up Method'!$R$91:$R$92</c:f>
              <c:numCache>
                <c:formatCode>0.0000</c:formatCode>
                <c:ptCount val="2"/>
                <c:pt idx="0">
                  <c:v>0</c:v>
                </c:pt>
                <c:pt idx="1">
                  <c:v>0</c:v>
                </c:pt>
              </c:numCache>
            </c:numRef>
          </c:yVal>
          <c:smooth val="0"/>
          <c:extLst>
            <c:ext xmlns:c16="http://schemas.microsoft.com/office/drawing/2014/chart" uri="{C3380CC4-5D6E-409C-BE32-E72D297353CC}">
              <c16:uniqueId val="{00000002-802F-442A-B630-79B3781535D2}"/>
            </c:ext>
          </c:extLst>
        </c:ser>
        <c:ser>
          <c:idx val="3"/>
          <c:order val="3"/>
          <c:tx>
            <c:strRef>
              <c:f>'CAD Build-Up Method'!$P$94</c:f>
              <c:strCache>
                <c:ptCount val="1"/>
                <c:pt idx="0">
                  <c:v>deck soffit over CL beam 1</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Method'!$Q$94</c:f>
              <c:numCache>
                <c:formatCode>0.0000</c:formatCode>
                <c:ptCount val="1"/>
                <c:pt idx="0">
                  <c:v>1726.8262500000001</c:v>
                </c:pt>
              </c:numCache>
            </c:numRef>
          </c:xVal>
          <c:yVal>
            <c:numRef>
              <c:f>'CAD Build-Up Method'!$R$94</c:f>
              <c:numCache>
                <c:formatCode>0.0000</c:formatCode>
                <c:ptCount val="1"/>
                <c:pt idx="0">
                  <c:v>5.1572382101832659</c:v>
                </c:pt>
              </c:numCache>
            </c:numRef>
          </c:yVal>
          <c:smooth val="0"/>
          <c:extLst>
            <c:ext xmlns:c16="http://schemas.microsoft.com/office/drawing/2014/chart" uri="{C3380CC4-5D6E-409C-BE32-E72D297353CC}">
              <c16:uniqueId val="{00000003-802F-442A-B630-79B3781535D2}"/>
            </c:ext>
          </c:extLst>
        </c:ser>
        <c:ser>
          <c:idx val="4"/>
          <c:order val="4"/>
          <c:tx>
            <c:strRef>
              <c:f>'CAD Build-Up Method'!$P$96</c:f>
              <c:strCache>
                <c:ptCount val="1"/>
                <c:pt idx="0">
                  <c:v>cambered beam top, C = 0.567 in</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Method'!$Q$96</c:f>
              <c:numCache>
                <c:formatCode>0.0000</c:formatCode>
                <c:ptCount val="1"/>
                <c:pt idx="0">
                  <c:v>1739.891875</c:v>
                </c:pt>
              </c:numCache>
            </c:numRef>
          </c:xVal>
          <c:yVal>
            <c:numRef>
              <c:f>'CAD Build-Up Method'!$R$96</c:f>
              <c:numCache>
                <c:formatCode>0.0000</c:formatCode>
                <c:ptCount val="1"/>
                <c:pt idx="0">
                  <c:v>1.7689450349189428</c:v>
                </c:pt>
              </c:numCache>
            </c:numRef>
          </c:yVal>
          <c:smooth val="0"/>
          <c:extLst>
            <c:ext xmlns:c16="http://schemas.microsoft.com/office/drawing/2014/chart" uri="{C3380CC4-5D6E-409C-BE32-E72D297353CC}">
              <c16:uniqueId val="{00000004-802F-442A-B630-79B3781535D2}"/>
            </c:ext>
          </c:extLst>
        </c:ser>
        <c:ser>
          <c:idx val="5"/>
          <c:order val="5"/>
          <c:tx>
            <c:strRef>
              <c:f>'CAD Build-Up Method'!$P$98</c:f>
              <c:strCache>
                <c:ptCount val="1"/>
                <c:pt idx="0">
                  <c:v>beam top with zero camber (chord less D)</c:v>
                </c:pt>
              </c:strCache>
            </c:strRef>
          </c:tx>
          <c:spPr>
            <a:ln>
              <a:noFill/>
              <a:prstDash val="solid"/>
            </a:ln>
          </c:spPr>
          <c:marker>
            <c:symbol val="none"/>
          </c:marker>
          <c:dLbls>
            <c:spPr>
              <a:noFill/>
              <a:ln>
                <a:noFill/>
              </a:ln>
              <a:effectLst/>
            </c:spPr>
            <c:txPr>
              <a:bodyPr/>
              <a:lstStyle/>
              <a:p>
                <a:pPr>
                  <a:defRPr sz="750" b="0">
                    <a:solidFill>
                      <a:srgbClr val="8A96A3"/>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Method'!$Q$98</c:f>
              <c:numCache>
                <c:formatCode>0.0000</c:formatCode>
                <c:ptCount val="1"/>
                <c:pt idx="0">
                  <c:v>1779.0887499999999</c:v>
                </c:pt>
              </c:numCache>
            </c:numRef>
          </c:xVal>
          <c:yVal>
            <c:numRef>
              <c:f>'CAD Build-Up Method'!$R$98</c:f>
              <c:numCache>
                <c:formatCode>0.0000</c:formatCode>
                <c:ptCount val="1"/>
                <c:pt idx="0">
                  <c:v>0</c:v>
                </c:pt>
              </c:numCache>
            </c:numRef>
          </c:yVal>
          <c:smooth val="0"/>
          <c:extLst>
            <c:ext xmlns:c16="http://schemas.microsoft.com/office/drawing/2014/chart" uri="{C3380CC4-5D6E-409C-BE32-E72D297353CC}">
              <c16:uniqueId val="{00000005-802F-442A-B630-79B3781535D2}"/>
            </c:ext>
          </c:extLst>
        </c:ser>
        <c:ser>
          <c:idx val="6"/>
          <c:order val="6"/>
          <c:tx>
            <c:strRef>
              <c:f>'CAD Build-Up Method'!$P$100</c:f>
              <c:strCache>
                <c:ptCount val="1"/>
                <c:pt idx="0">
                  <c:v>Dim B arrow</c:v>
                </c:pt>
              </c:strCache>
            </c:strRef>
          </c:tx>
          <c:spPr>
            <a:ln w="11430">
              <a:solidFill>
                <a:srgbClr val="C0392B"/>
              </a:solidFill>
              <a:prstDash val="solid"/>
              <a:headEnd type="triangle" w="sm" len="sm"/>
              <a:tailEnd type="triangle" w="sm" len="sm"/>
            </a:ln>
          </c:spPr>
          <c:marker>
            <c:symbol val="none"/>
          </c:marker>
          <c:xVal>
            <c:numRef>
              <c:f>'CAD Build-Up Method'!$Q$100:$Q$101</c:f>
              <c:numCache>
                <c:formatCode>0.0000</c:formatCode>
                <c:ptCount val="2"/>
                <c:pt idx="0">
                  <c:v>1701.4449999999999</c:v>
                </c:pt>
                <c:pt idx="1">
                  <c:v>1701.4449999999999</c:v>
                </c:pt>
              </c:numCache>
            </c:numRef>
          </c:xVal>
          <c:yVal>
            <c:numRef>
              <c:f>'CAD Build-Up Method'!$R$100:$R$101</c:f>
              <c:numCache>
                <c:formatCode>0.0000</c:formatCode>
                <c:ptCount val="2"/>
                <c:pt idx="0">
                  <c:v>0</c:v>
                </c:pt>
                <c:pt idx="1">
                  <c:v>5.1572382101832659</c:v>
                </c:pt>
              </c:numCache>
            </c:numRef>
          </c:yVal>
          <c:smooth val="0"/>
          <c:extLst>
            <c:ext xmlns:c16="http://schemas.microsoft.com/office/drawing/2014/chart" uri="{C3380CC4-5D6E-409C-BE32-E72D297353CC}">
              <c16:uniqueId val="{00000006-802F-442A-B630-79B3781535D2}"/>
            </c:ext>
          </c:extLst>
        </c:ser>
        <c:ser>
          <c:idx val="7"/>
          <c:order val="7"/>
          <c:tx>
            <c:strRef>
              <c:f>'CAD Build-Up Method'!$P$103</c:f>
              <c:strCache>
                <c:ptCount val="1"/>
                <c:pt idx="0">
                  <c:v>Dim B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Method'!$Q$103</c:f>
              <c:numCache>
                <c:formatCode>0.0000</c:formatCode>
                <c:ptCount val="1"/>
                <c:pt idx="0">
                  <c:v>1701.4449999999999</c:v>
                </c:pt>
              </c:numCache>
            </c:numRef>
          </c:xVal>
          <c:yVal>
            <c:numRef>
              <c:f>'CAD Build-Up Method'!$R$103</c:f>
              <c:numCache>
                <c:formatCode>0.0000</c:formatCode>
                <c:ptCount val="1"/>
                <c:pt idx="0">
                  <c:v>5.1572382101832659</c:v>
                </c:pt>
              </c:numCache>
            </c:numRef>
          </c:yVal>
          <c:smooth val="0"/>
          <c:extLst>
            <c:ext xmlns:c16="http://schemas.microsoft.com/office/drawing/2014/chart" uri="{C3380CC4-5D6E-409C-BE32-E72D297353CC}">
              <c16:uniqueId val="{00000007-802F-442A-B630-79B3781535D2}"/>
            </c:ext>
          </c:extLst>
        </c:ser>
        <c:ser>
          <c:idx val="8"/>
          <c:order val="8"/>
          <c:tx>
            <c:strRef>
              <c:f>'CAD Build-Up Method'!$P$105</c:f>
              <c:strCache>
                <c:ptCount val="1"/>
                <c:pt idx="0">
                  <c:v>Dim C arrow</c:v>
                </c:pt>
              </c:strCache>
            </c:strRef>
          </c:tx>
          <c:spPr>
            <a:ln w="11430">
              <a:solidFill>
                <a:srgbClr val="C0392B"/>
              </a:solidFill>
              <a:prstDash val="solid"/>
              <a:headEnd type="triangle" w="sm" len="sm"/>
              <a:tailEnd type="triangle" w="sm" len="sm"/>
            </a:ln>
          </c:spPr>
          <c:marker>
            <c:symbol val="none"/>
          </c:marker>
          <c:xVal>
            <c:numRef>
              <c:f>'CAD Build-Up Method'!$Q$105:$Q$106</c:f>
              <c:numCache>
                <c:formatCode>0.0000</c:formatCode>
                <c:ptCount val="2"/>
                <c:pt idx="0">
                  <c:v>1752.9575</c:v>
                </c:pt>
                <c:pt idx="1">
                  <c:v>1752.9575</c:v>
                </c:pt>
              </c:numCache>
            </c:numRef>
          </c:xVal>
          <c:yVal>
            <c:numRef>
              <c:f>'CAD Build-Up Method'!$R$105:$R$106</c:f>
              <c:numCache>
                <c:formatCode>0.0000</c:formatCode>
                <c:ptCount val="2"/>
                <c:pt idx="0">
                  <c:v>1.8905715435167281</c:v>
                </c:pt>
                <c:pt idx="1">
                  <c:v>5.1572382101832659</c:v>
                </c:pt>
              </c:numCache>
            </c:numRef>
          </c:yVal>
          <c:smooth val="0"/>
          <c:extLst>
            <c:ext xmlns:c16="http://schemas.microsoft.com/office/drawing/2014/chart" uri="{C3380CC4-5D6E-409C-BE32-E72D297353CC}">
              <c16:uniqueId val="{00000008-802F-442A-B630-79B3781535D2}"/>
            </c:ext>
          </c:extLst>
        </c:ser>
        <c:ser>
          <c:idx val="9"/>
          <c:order val="9"/>
          <c:tx>
            <c:strRef>
              <c:f>'CAD Build-Up Method'!$P$108</c:f>
              <c:strCache>
                <c:ptCount val="1"/>
                <c:pt idx="0">
                  <c:v>Dim C
0.980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Method'!$Q$108</c:f>
              <c:numCache>
                <c:formatCode>0.0000</c:formatCode>
                <c:ptCount val="1"/>
                <c:pt idx="0">
                  <c:v>1752.9575</c:v>
                </c:pt>
              </c:numCache>
            </c:numRef>
          </c:xVal>
          <c:yVal>
            <c:numRef>
              <c:f>'CAD Build-Up Method'!$R$108</c:f>
              <c:numCache>
                <c:formatCode>0.0000</c:formatCode>
                <c:ptCount val="1"/>
                <c:pt idx="0">
                  <c:v>5.1572382101832659</c:v>
                </c:pt>
              </c:numCache>
            </c:numRef>
          </c:yVal>
          <c:smooth val="0"/>
          <c:extLst>
            <c:ext xmlns:c16="http://schemas.microsoft.com/office/drawing/2014/chart" uri="{C3380CC4-5D6E-409C-BE32-E72D297353CC}">
              <c16:uniqueId val="{00000009-802F-442A-B630-79B3781535D2}"/>
            </c:ext>
          </c:extLst>
        </c:ser>
        <c:ser>
          <c:idx val="10"/>
          <c:order val="10"/>
          <c:tx>
            <c:strRef>
              <c:f>'CAD Build-Up Method'!$P$110</c:f>
              <c:strCache>
                <c:ptCount val="1"/>
                <c:pt idx="0">
                  <c:v>Dim D arrow</c:v>
                </c:pt>
              </c:strCache>
            </c:strRef>
          </c:tx>
          <c:spPr>
            <a:ln w="11430">
              <a:solidFill>
                <a:srgbClr val="C0392B"/>
              </a:solidFill>
              <a:prstDash val="solid"/>
              <a:headEnd type="triangle" w="sm" len="sm"/>
              <a:tailEnd type="triangle" w="sm" len="sm"/>
            </a:ln>
          </c:spPr>
          <c:marker>
            <c:symbol val="none"/>
          </c:marker>
          <c:xVal>
            <c:numRef>
              <c:f>'CAD Build-Up Method'!$Q$110:$Q$111</c:f>
              <c:numCache>
                <c:formatCode>0.0000</c:formatCode>
                <c:ptCount val="2"/>
                <c:pt idx="0">
                  <c:v>1804.47</c:v>
                </c:pt>
                <c:pt idx="1">
                  <c:v>1804.47</c:v>
                </c:pt>
              </c:numCache>
            </c:numRef>
          </c:xVal>
          <c:yVal>
            <c:numRef>
              <c:f>'CAD Build-Up Method'!$R$110:$R$111</c:f>
              <c:numCache>
                <c:formatCode>0.0000</c:formatCode>
                <c:ptCount val="2"/>
                <c:pt idx="0">
                  <c:v>0</c:v>
                </c:pt>
                <c:pt idx="1">
                  <c:v>5.1572382101832659</c:v>
                </c:pt>
              </c:numCache>
            </c:numRef>
          </c:yVal>
          <c:smooth val="0"/>
          <c:extLst>
            <c:ext xmlns:c16="http://schemas.microsoft.com/office/drawing/2014/chart" uri="{C3380CC4-5D6E-409C-BE32-E72D297353CC}">
              <c16:uniqueId val="{0000000A-802F-442A-B630-79B3781535D2}"/>
            </c:ext>
          </c:extLst>
        </c:ser>
        <c:ser>
          <c:idx val="11"/>
          <c:order val="11"/>
          <c:tx>
            <c:strRef>
              <c:f>'CAD Build-Up Method'!$P$113</c:f>
              <c:strCache>
                <c:ptCount val="1"/>
                <c:pt idx="0">
                  <c:v>Dim D
1.547 in</c:v>
                </c:pt>
              </c:strCache>
            </c:strRef>
          </c:tx>
          <c:spPr>
            <a:ln>
              <a:noFill/>
              <a:prstDash val="solid"/>
            </a:ln>
          </c:spPr>
          <c:marker>
            <c:symbol val="none"/>
          </c:marker>
          <c:dLbls>
            <c:spPr>
              <a:noFill/>
              <a:ln>
                <a:noFill/>
              </a:ln>
              <a:effectLst/>
            </c:spPr>
            <c:txPr>
              <a:bodyPr/>
              <a:lstStyle/>
              <a:p>
                <a:pPr>
                  <a:defRPr sz="75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Build-Up Method'!$Q$113</c:f>
              <c:numCache>
                <c:formatCode>0.0000</c:formatCode>
                <c:ptCount val="1"/>
                <c:pt idx="0">
                  <c:v>1804.47</c:v>
                </c:pt>
              </c:numCache>
            </c:numRef>
          </c:xVal>
          <c:yVal>
            <c:numRef>
              <c:f>'CAD Build-Up Method'!$R$113</c:f>
              <c:numCache>
                <c:formatCode>0.0000</c:formatCode>
                <c:ptCount val="1"/>
                <c:pt idx="0">
                  <c:v>5.1572382101832659</c:v>
                </c:pt>
              </c:numCache>
            </c:numRef>
          </c:yVal>
          <c:smooth val="0"/>
          <c:extLst>
            <c:ext xmlns:c16="http://schemas.microsoft.com/office/drawing/2014/chart" uri="{C3380CC4-5D6E-409C-BE32-E72D297353CC}">
              <c16:uniqueId val="{0000000B-802F-442A-B630-79B3781535D2}"/>
            </c:ext>
          </c:extLst>
        </c:ser>
        <c:ser>
          <c:idx val="12"/>
          <c:order val="12"/>
          <c:tx>
            <c:strRef>
              <c:f>'CAD Build-Up Method'!$P$115</c:f>
              <c:strCache>
                <c:ptCount val="1"/>
                <c:pt idx="0">
                  <c:v>frame (invisible, sets the chart window)</c:v>
                </c:pt>
              </c:strCache>
            </c:strRef>
          </c:tx>
          <c:spPr>
            <a:ln>
              <a:noFill/>
              <a:prstDash val="solid"/>
            </a:ln>
          </c:spPr>
          <c:marker>
            <c:symbol val="none"/>
          </c:marker>
          <c:xVal>
            <c:numRef>
              <c:f>'CAD Build-Up Method'!$Q$115:$Q$116</c:f>
              <c:numCache>
                <c:formatCode>0.0000</c:formatCode>
                <c:ptCount val="2"/>
                <c:pt idx="0">
                  <c:v>1698.6949999999999</c:v>
                </c:pt>
                <c:pt idx="1">
                  <c:v>1807.22</c:v>
                </c:pt>
              </c:numCache>
            </c:numRef>
          </c:xVal>
          <c:yVal>
            <c:numRef>
              <c:f>'CAD Build-Up Method'!$R$115:$R$116</c:f>
              <c:numCache>
                <c:formatCode>0.0000</c:formatCode>
                <c:ptCount val="2"/>
                <c:pt idx="0">
                  <c:v>-1.5</c:v>
                </c:pt>
                <c:pt idx="1">
                  <c:v>7.6572382101835501</c:v>
                </c:pt>
              </c:numCache>
            </c:numRef>
          </c:yVal>
          <c:smooth val="0"/>
          <c:extLst>
            <c:ext xmlns:c16="http://schemas.microsoft.com/office/drawing/2014/chart" uri="{C3380CC4-5D6E-409C-BE32-E72D297353CC}">
              <c16:uniqueId val="{0000000C-802F-442A-B630-79B3781535D2}"/>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Station (ft)</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'CAD Pedestal Elevs Method'!$P$8</c:f>
              <c:strCache>
                <c:ptCount val="1"/>
                <c:pt idx="0">
                  <c:v>Pedestal outline</c:v>
                </c:pt>
              </c:strCache>
            </c:strRef>
          </c:tx>
          <c:spPr>
            <a:ln w="12700">
              <a:solidFill>
                <a:srgbClr val="5A6570"/>
              </a:solidFill>
              <a:prstDash val="solid"/>
            </a:ln>
          </c:spPr>
          <c:marker>
            <c:symbol val="none"/>
          </c:marker>
          <c:xVal>
            <c:numRef>
              <c:f>'CAD Pedestal Elevs Method'!$Q$8:$Q$14</c:f>
              <c:numCache>
                <c:formatCode>0.0000</c:formatCode>
                <c:ptCount val="7"/>
                <c:pt idx="0">
                  <c:v>1698.57</c:v>
                </c:pt>
                <c:pt idx="1">
                  <c:v>1698.57</c:v>
                </c:pt>
                <c:pt idx="2">
                  <c:v>1700.1116666666667</c:v>
                </c:pt>
                <c:pt idx="3">
                  <c:v>1701.0283333333332</c:v>
                </c:pt>
                <c:pt idx="4">
                  <c:v>1702.57</c:v>
                </c:pt>
                <c:pt idx="5">
                  <c:v>1702.57</c:v>
                </c:pt>
                <c:pt idx="6">
                  <c:v>1698.57</c:v>
                </c:pt>
              </c:numCache>
            </c:numRef>
          </c:xVal>
          <c:yVal>
            <c:numRef>
              <c:f>'CAD Pedestal Elevs Method'!$R$8:$R$14</c:f>
              <c:numCache>
                <c:formatCode>0.0000</c:formatCode>
                <c:ptCount val="7"/>
                <c:pt idx="0">
                  <c:v>44.253763695637588</c:v>
                </c:pt>
                <c:pt idx="1">
                  <c:v>44.259763695637588</c:v>
                </c:pt>
                <c:pt idx="2">
                  <c:v>44.266863200630297</c:v>
                </c:pt>
                <c:pt idx="3">
                  <c:v>44.266259130867788</c:v>
                </c:pt>
                <c:pt idx="4">
                  <c:v>44.261378012764986</c:v>
                </c:pt>
                <c:pt idx="5">
                  <c:v>44.253763695637588</c:v>
                </c:pt>
                <c:pt idx="6">
                  <c:v>44.253763695637588</c:v>
                </c:pt>
              </c:numCache>
            </c:numRef>
          </c:yVal>
          <c:smooth val="0"/>
          <c:extLst>
            <c:ext xmlns:c16="http://schemas.microsoft.com/office/drawing/2014/chart" uri="{C3380CC4-5D6E-409C-BE32-E72D297353CC}">
              <c16:uniqueId val="{00000000-8396-4859-9B2B-EC9FEDB924C3}"/>
            </c:ext>
          </c:extLst>
        </c:ser>
        <c:ser>
          <c:idx val="1"/>
          <c:order val="1"/>
          <c:tx>
            <c:strRef>
              <c:f>'CAD Pedestal Elevs Method'!$P$16</c:f>
              <c:strCache>
                <c:ptCount val="1"/>
                <c:pt idx="0">
                  <c:v>Pedestal top</c:v>
                </c:pt>
              </c:strCache>
            </c:strRef>
          </c:tx>
          <c:spPr>
            <a:ln w="17780">
              <a:solidFill>
                <a:srgbClr val="C0392B"/>
              </a:solidFill>
              <a:prstDash val="solid"/>
            </a:ln>
          </c:spPr>
          <c:marker>
            <c:symbol val="circle"/>
            <c:size val="4"/>
            <c:spPr>
              <a:solidFill>
                <a:srgbClr val="C0392B"/>
              </a:solidFill>
              <a:ln>
                <a:solidFill>
                  <a:srgbClr val="C0392B"/>
                </a:solidFill>
                <a:prstDash val="solid"/>
              </a:ln>
            </c:spPr>
          </c:marker>
          <c:xVal>
            <c:numRef>
              <c:f>'CAD Pedestal Elevs Method'!$Q$16:$Q$19</c:f>
              <c:numCache>
                <c:formatCode>0.0000</c:formatCode>
                <c:ptCount val="4"/>
                <c:pt idx="0">
                  <c:v>1698.57</c:v>
                </c:pt>
                <c:pt idx="1">
                  <c:v>1700.1116666666667</c:v>
                </c:pt>
                <c:pt idx="2">
                  <c:v>1701.0283333333332</c:v>
                </c:pt>
                <c:pt idx="3">
                  <c:v>1702.57</c:v>
                </c:pt>
              </c:numCache>
            </c:numRef>
          </c:xVal>
          <c:yVal>
            <c:numRef>
              <c:f>'CAD Pedestal Elevs Method'!$R$16:$R$19</c:f>
              <c:numCache>
                <c:formatCode>0.0000</c:formatCode>
                <c:ptCount val="4"/>
                <c:pt idx="0">
                  <c:v>44.259763695637588</c:v>
                </c:pt>
                <c:pt idx="1">
                  <c:v>44.266863200630297</c:v>
                </c:pt>
                <c:pt idx="2">
                  <c:v>44.266259130867788</c:v>
                </c:pt>
                <c:pt idx="3">
                  <c:v>44.261378012764986</c:v>
                </c:pt>
              </c:numCache>
            </c:numRef>
          </c:yVal>
          <c:smooth val="0"/>
          <c:extLst>
            <c:ext xmlns:c16="http://schemas.microsoft.com/office/drawing/2014/chart" uri="{C3380CC4-5D6E-409C-BE32-E72D297353CC}">
              <c16:uniqueId val="{00000001-8396-4859-9B2B-EC9FEDB924C3}"/>
            </c:ext>
          </c:extLst>
        </c:ser>
        <c:ser>
          <c:idx val="2"/>
          <c:order val="2"/>
          <c:tx>
            <c:strRef>
              <c:f>'CAD Pedestal Elevs Method'!$P$21</c:f>
              <c:strCache>
                <c:ptCount val="1"/>
                <c:pt idx="0">
                  <c:v>CL pier</c:v>
                </c:pt>
              </c:strCache>
            </c:strRef>
          </c:tx>
          <c:spPr>
            <a:ln w="10160">
              <a:solidFill>
                <a:srgbClr val="2B6CB0"/>
              </a:solidFill>
              <a:prstDash val="dash"/>
            </a:ln>
          </c:spPr>
          <c:marker>
            <c:symbol val="none"/>
          </c:marker>
          <c:xVal>
            <c:numRef>
              <c:f>'CAD Pedestal Elevs Method'!$Q$21:$Q$22</c:f>
              <c:numCache>
                <c:formatCode>0.0000</c:formatCode>
                <c:ptCount val="2"/>
                <c:pt idx="0">
                  <c:v>1700.57</c:v>
                </c:pt>
                <c:pt idx="1">
                  <c:v>1700.57</c:v>
                </c:pt>
              </c:numCache>
            </c:numRef>
          </c:xVal>
          <c:yVal>
            <c:numRef>
              <c:f>'CAD Pedestal Elevs Method'!$R$21:$R$22</c:f>
              <c:numCache>
                <c:formatCode>0.0000</c:formatCode>
                <c:ptCount val="2"/>
                <c:pt idx="0">
                  <c:v>44.253763695637588</c:v>
                </c:pt>
                <c:pt idx="1">
                  <c:v>44.270863200630295</c:v>
                </c:pt>
              </c:numCache>
            </c:numRef>
          </c:yVal>
          <c:smooth val="0"/>
          <c:extLst>
            <c:ext xmlns:c16="http://schemas.microsoft.com/office/drawing/2014/chart" uri="{C3380CC4-5D6E-409C-BE32-E72D297353CC}">
              <c16:uniqueId val="{00000002-8396-4859-9B2B-EC9FEDB924C3}"/>
            </c:ext>
          </c:extLst>
        </c:ser>
        <c:ser>
          <c:idx val="3"/>
          <c:order val="3"/>
          <c:tx>
            <c:strRef>
              <c:f>'CAD Pedestal Elevs Method'!$P$24</c:f>
              <c:strCache>
                <c:ptCount val="1"/>
                <c:pt idx="0">
                  <c:v>CL pier</c:v>
                </c:pt>
              </c:strCache>
            </c:strRef>
          </c:tx>
          <c:spPr>
            <a:ln>
              <a:noFill/>
              <a:prstDash val="solid"/>
            </a:ln>
          </c:spPr>
          <c:marker>
            <c:symbol val="none"/>
          </c:marker>
          <c:dLbls>
            <c:spPr>
              <a:noFill/>
              <a:ln>
                <a:noFill/>
              </a:ln>
              <a:effectLst/>
            </c:spPr>
            <c:txPr>
              <a:bodyPr/>
              <a:lstStyle/>
              <a:p>
                <a:pPr>
                  <a:defRPr sz="70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Method'!$Q$24</c:f>
              <c:numCache>
                <c:formatCode>0.0000</c:formatCode>
                <c:ptCount val="1"/>
                <c:pt idx="0">
                  <c:v>1700.57</c:v>
                </c:pt>
              </c:numCache>
            </c:numRef>
          </c:xVal>
          <c:yVal>
            <c:numRef>
              <c:f>'CAD Pedestal Elevs Method'!$R$24</c:f>
              <c:numCache>
                <c:formatCode>0.0000</c:formatCode>
                <c:ptCount val="1"/>
                <c:pt idx="0">
                  <c:v>44.270863200630295</c:v>
                </c:pt>
              </c:numCache>
            </c:numRef>
          </c:yVal>
          <c:smooth val="0"/>
          <c:extLst>
            <c:ext xmlns:c16="http://schemas.microsoft.com/office/drawing/2014/chart" uri="{C3380CC4-5D6E-409C-BE32-E72D297353CC}">
              <c16:uniqueId val="{00000003-8396-4859-9B2B-EC9FEDB924C3}"/>
            </c:ext>
          </c:extLst>
        </c:ser>
        <c:ser>
          <c:idx val="4"/>
          <c:order val="4"/>
          <c:tx>
            <c:strRef>
              <c:f>'CAD Pedestal Elevs Method'!$P$26</c:f>
              <c:strCache>
                <c:ptCount val="1"/>
                <c:pt idx="0">
                  <c:v>A/C
44.2598</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Method'!$Q$26</c:f>
              <c:numCache>
                <c:formatCode>0.0000</c:formatCode>
                <c:ptCount val="1"/>
                <c:pt idx="0">
                  <c:v>1698.57</c:v>
                </c:pt>
              </c:numCache>
            </c:numRef>
          </c:xVal>
          <c:yVal>
            <c:numRef>
              <c:f>'CAD Pedestal Elevs Method'!$R$26</c:f>
              <c:numCache>
                <c:formatCode>0.0000</c:formatCode>
                <c:ptCount val="1"/>
                <c:pt idx="0">
                  <c:v>44.259763695637588</c:v>
                </c:pt>
              </c:numCache>
            </c:numRef>
          </c:yVal>
          <c:smooth val="0"/>
          <c:extLst>
            <c:ext xmlns:c16="http://schemas.microsoft.com/office/drawing/2014/chart" uri="{C3380CC4-5D6E-409C-BE32-E72D297353CC}">
              <c16:uniqueId val="{00000004-8396-4859-9B2B-EC9FEDB924C3}"/>
            </c:ext>
          </c:extLst>
        </c:ser>
        <c:ser>
          <c:idx val="5"/>
          <c:order val="5"/>
          <c:tx>
            <c:strRef>
              <c:f>'CAD Pedestal Elevs Method'!$P$28</c:f>
              <c:strCache>
                <c:ptCount val="1"/>
                <c:pt idx="0">
                  <c:v>E
44.2669</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Method'!$Q$28</c:f>
              <c:numCache>
                <c:formatCode>0.0000</c:formatCode>
                <c:ptCount val="1"/>
                <c:pt idx="0">
                  <c:v>1700.1116666666667</c:v>
                </c:pt>
              </c:numCache>
            </c:numRef>
          </c:xVal>
          <c:yVal>
            <c:numRef>
              <c:f>'CAD Pedestal Elevs Method'!$R$28</c:f>
              <c:numCache>
                <c:formatCode>0.0000</c:formatCode>
                <c:ptCount val="1"/>
                <c:pt idx="0">
                  <c:v>44.266863200630297</c:v>
                </c:pt>
              </c:numCache>
            </c:numRef>
          </c:yVal>
          <c:smooth val="0"/>
          <c:extLst>
            <c:ext xmlns:c16="http://schemas.microsoft.com/office/drawing/2014/chart" uri="{C3380CC4-5D6E-409C-BE32-E72D297353CC}">
              <c16:uniqueId val="{00000005-8396-4859-9B2B-EC9FEDB924C3}"/>
            </c:ext>
          </c:extLst>
        </c:ser>
        <c:ser>
          <c:idx val="6"/>
          <c:order val="6"/>
          <c:tx>
            <c:strRef>
              <c:f>'CAD Pedestal Elevs Method'!$P$30</c:f>
              <c:strCache>
                <c:ptCount val="1"/>
                <c:pt idx="0">
                  <c:v>F
44.2663</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Method'!$Q$30</c:f>
              <c:numCache>
                <c:formatCode>0.0000</c:formatCode>
                <c:ptCount val="1"/>
                <c:pt idx="0">
                  <c:v>1701.0283333333332</c:v>
                </c:pt>
              </c:numCache>
            </c:numRef>
          </c:xVal>
          <c:yVal>
            <c:numRef>
              <c:f>'CAD Pedestal Elevs Method'!$R$30</c:f>
              <c:numCache>
                <c:formatCode>0.0000</c:formatCode>
                <c:ptCount val="1"/>
                <c:pt idx="0">
                  <c:v>44.266259130867788</c:v>
                </c:pt>
              </c:numCache>
            </c:numRef>
          </c:yVal>
          <c:smooth val="0"/>
          <c:extLst>
            <c:ext xmlns:c16="http://schemas.microsoft.com/office/drawing/2014/chart" uri="{C3380CC4-5D6E-409C-BE32-E72D297353CC}">
              <c16:uniqueId val="{00000006-8396-4859-9B2B-EC9FEDB924C3}"/>
            </c:ext>
          </c:extLst>
        </c:ser>
        <c:ser>
          <c:idx val="7"/>
          <c:order val="7"/>
          <c:tx>
            <c:strRef>
              <c:f>'CAD Pedestal Elevs Method'!$P$32</c:f>
              <c:strCache>
                <c:ptCount val="1"/>
                <c:pt idx="0">
                  <c:v>B/D
44.2614</c:v>
                </c:pt>
              </c:strCache>
            </c:strRef>
          </c:tx>
          <c:spPr>
            <a:ln>
              <a:noFill/>
              <a:prstDash val="solid"/>
            </a:ln>
          </c:spPr>
          <c:marker>
            <c:symbol val="none"/>
          </c:marker>
          <c:dLbls>
            <c:spPr>
              <a:noFill/>
              <a:ln>
                <a:noFill/>
              </a:ln>
              <a:effectLst/>
            </c:spPr>
            <c:txPr>
              <a:bodyPr/>
              <a:lstStyle/>
              <a:p>
                <a:pPr>
                  <a:defRPr sz="75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Method'!$Q$32</c:f>
              <c:numCache>
                <c:formatCode>0.0000</c:formatCode>
                <c:ptCount val="1"/>
                <c:pt idx="0">
                  <c:v>1702.57</c:v>
                </c:pt>
              </c:numCache>
            </c:numRef>
          </c:xVal>
          <c:yVal>
            <c:numRef>
              <c:f>'CAD Pedestal Elevs Method'!$R$32</c:f>
              <c:numCache>
                <c:formatCode>0.0000</c:formatCode>
                <c:ptCount val="1"/>
                <c:pt idx="0">
                  <c:v>44.261378012764986</c:v>
                </c:pt>
              </c:numCache>
            </c:numRef>
          </c:yVal>
          <c:smooth val="0"/>
          <c:extLst>
            <c:ext xmlns:c16="http://schemas.microsoft.com/office/drawing/2014/chart" uri="{C3380CC4-5D6E-409C-BE32-E72D297353CC}">
              <c16:uniqueId val="{00000007-8396-4859-9B2B-EC9FEDB924C3}"/>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w="6350">
              <a:solidFill>
                <a:srgbClr val="E6E9ED"/>
              </a:solidFill>
              <a:prstDash val="solid"/>
            </a:ln>
          </c:spPr>
        </c:majorGridlines>
        <c:title>
          <c:tx>
            <c:rich>
              <a:bodyPr/>
              <a:lstStyle/>
              <a:p>
                <a:pPr>
                  <a:defRPr/>
                </a:pPr>
                <a:r>
                  <a:t>Station (ft)</a:t>
                </a:r>
              </a:p>
            </c:rich>
          </c:tx>
          <c:overlay val="0"/>
        </c:title>
        <c:numFmt formatCode="0.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0"/>
        <c:axPos val="l"/>
        <c:majorGridlines>
          <c:spPr>
            <a:ln w="6350">
              <a:solidFill>
                <a:srgbClr val="E6E9ED"/>
              </a:solidFill>
              <a:prstDash val="solid"/>
            </a:ln>
          </c:spPr>
        </c:majorGridlines>
        <c:title>
          <c:tx>
            <c:rich>
              <a:bodyPr/>
              <a:lstStyle/>
              <a:p>
                <a:pPr>
                  <a:defRPr/>
                </a:pPr>
                <a:r>
                  <a:t>Elevation (ft)</a:t>
                </a:r>
              </a:p>
            </c:rich>
          </c:tx>
          <c:overlay val="0"/>
        </c:title>
        <c:numFmt formatCode="0.000" sourceLinked="0"/>
        <c:majorTickMark val="out"/>
        <c:minorTickMark val="none"/>
        <c:tickLblPos val="nextTo"/>
        <c:txPr>
          <a:bodyPr/>
          <a:lstStyle/>
          <a:p>
            <a:pPr>
              <a:defRPr sz="800" b="0">
                <a:solidFill>
                  <a:srgbClr val="5A6570"/>
                </a:solidFill>
              </a:defRPr>
            </a:pPr>
            <a:endParaRPr lang="en-US"/>
          </a:p>
        </c:txPr>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'CAD Pedestal Elevs Method'!$P$39</c:f>
              <c:strCache>
                <c:ptCount val="1"/>
                <c:pt idx="0">
                  <c:v>Cap</c:v>
                </c:pt>
              </c:strCache>
            </c:strRef>
          </c:tx>
          <c:spPr>
            <a:ln w="19050">
              <a:solidFill>
                <a:srgbClr val="1F2A36"/>
              </a:solidFill>
              <a:prstDash val="solid"/>
            </a:ln>
          </c:spPr>
          <c:marker>
            <c:symbol val="none"/>
          </c:marker>
          <c:xVal>
            <c:numRef>
              <c:f>'CAD Pedestal Elevs Method'!$Q$39:$Q$43</c:f>
              <c:numCache>
                <c:formatCode>0.0000</c:formatCode>
                <c:ptCount val="5"/>
                <c:pt idx="0">
                  <c:v>-9.5833333333333339</c:v>
                </c:pt>
                <c:pt idx="1">
                  <c:v>9.5833333333333339</c:v>
                </c:pt>
                <c:pt idx="2">
                  <c:v>9.5833333333333339</c:v>
                </c:pt>
                <c:pt idx="3">
                  <c:v>-9.5833333333333339</c:v>
                </c:pt>
                <c:pt idx="4">
                  <c:v>-9.5833333333333339</c:v>
                </c:pt>
              </c:numCache>
            </c:numRef>
          </c:xVal>
          <c:yVal>
            <c:numRef>
              <c:f>'CAD Pedestal Elevs Method'!$R$39:$R$43</c:f>
              <c:numCache>
                <c:formatCode>0.0000</c:formatCode>
                <c:ptCount val="5"/>
                <c:pt idx="0">
                  <c:v>0</c:v>
                </c:pt>
                <c:pt idx="1">
                  <c:v>0</c:v>
                </c:pt>
                <c:pt idx="2">
                  <c:v>-3</c:v>
                </c:pt>
                <c:pt idx="3">
                  <c:v>-3</c:v>
                </c:pt>
                <c:pt idx="4">
                  <c:v>0</c:v>
                </c:pt>
              </c:numCache>
            </c:numRef>
          </c:yVal>
          <c:smooth val="0"/>
          <c:extLst>
            <c:ext xmlns:c16="http://schemas.microsoft.com/office/drawing/2014/chart" uri="{C3380CC4-5D6E-409C-BE32-E72D297353CC}">
              <c16:uniqueId val="{00000000-4452-4108-B062-0A11370AA45F}"/>
            </c:ext>
          </c:extLst>
        </c:ser>
        <c:ser>
          <c:idx val="1"/>
          <c:order val="1"/>
          <c:tx>
            <c:strRef>
              <c:f>'CAD Pedestal Elevs Method'!$P$45</c:f>
              <c:strCache>
                <c:ptCount val="1"/>
                <c:pt idx="0">
                  <c:v>Piles (shown 2.2 ft below the cap)</c:v>
                </c:pt>
              </c:strCache>
            </c:strRef>
          </c:tx>
          <c:spPr>
            <a:ln w="12700">
              <a:solidFill>
                <a:srgbClr val="6B7785"/>
              </a:solidFill>
              <a:prstDash val="solid"/>
            </a:ln>
          </c:spPr>
          <c:marker>
            <c:symbol val="none"/>
          </c:marker>
          <c:xVal>
            <c:numRef>
              <c:f>'CAD Pedestal Elevs Method'!$Q$45:$Q$67</c:f>
              <c:numCache>
                <c:formatCode>0.0000</c:formatCode>
                <c:ptCount val="23"/>
                <c:pt idx="0">
                  <c:v>-8.3333333333333339</c:v>
                </c:pt>
                <c:pt idx="1">
                  <c:v>-6.666666666666667</c:v>
                </c:pt>
                <c:pt idx="2">
                  <c:v>-6.666666666666667</c:v>
                </c:pt>
                <c:pt idx="3">
                  <c:v>-8.3333333333333339</c:v>
                </c:pt>
                <c:pt idx="4">
                  <c:v>-8.3333333333333339</c:v>
                </c:pt>
                <c:pt idx="6">
                  <c:v>-3.3333333333333335</c:v>
                </c:pt>
                <c:pt idx="7">
                  <c:v>-1.6666666666666665</c:v>
                </c:pt>
                <c:pt idx="8">
                  <c:v>-1.6666666666666665</c:v>
                </c:pt>
                <c:pt idx="9">
                  <c:v>-3.3333333333333335</c:v>
                </c:pt>
                <c:pt idx="10">
                  <c:v>-3.3333333333333335</c:v>
                </c:pt>
                <c:pt idx="12">
                  <c:v>1.6666666666666665</c:v>
                </c:pt>
                <c:pt idx="13">
                  <c:v>3.3333333333333335</c:v>
                </c:pt>
                <c:pt idx="14">
                  <c:v>3.3333333333333335</c:v>
                </c:pt>
                <c:pt idx="15">
                  <c:v>1.6666666666666665</c:v>
                </c:pt>
                <c:pt idx="16">
                  <c:v>1.6666666666666665</c:v>
                </c:pt>
                <c:pt idx="18">
                  <c:v>6.666666666666667</c:v>
                </c:pt>
                <c:pt idx="19">
                  <c:v>8.3333333333333339</c:v>
                </c:pt>
                <c:pt idx="20">
                  <c:v>8.3333333333333339</c:v>
                </c:pt>
                <c:pt idx="21">
                  <c:v>6.666666666666667</c:v>
                </c:pt>
                <c:pt idx="22">
                  <c:v>6.666666666666667</c:v>
                </c:pt>
              </c:numCache>
            </c:numRef>
          </c:xVal>
          <c:yVal>
            <c:numRef>
              <c:f>'CAD Pedestal Elevs Method'!$R$45:$R$67</c:f>
              <c:numCache>
                <c:formatCode>0.0000</c:formatCode>
                <c:ptCount val="23"/>
                <c:pt idx="0">
                  <c:v>-2</c:v>
                </c:pt>
                <c:pt idx="1">
                  <c:v>-2</c:v>
                </c:pt>
                <c:pt idx="2">
                  <c:v>-5.2</c:v>
                </c:pt>
                <c:pt idx="3">
                  <c:v>-5.2</c:v>
                </c:pt>
                <c:pt idx="4">
                  <c:v>-2</c:v>
                </c:pt>
                <c:pt idx="6">
                  <c:v>-2</c:v>
                </c:pt>
                <c:pt idx="7">
                  <c:v>-2</c:v>
                </c:pt>
                <c:pt idx="8">
                  <c:v>-5.2</c:v>
                </c:pt>
                <c:pt idx="9">
                  <c:v>-5.2</c:v>
                </c:pt>
                <c:pt idx="10">
                  <c:v>-2</c:v>
                </c:pt>
                <c:pt idx="12">
                  <c:v>-2</c:v>
                </c:pt>
                <c:pt idx="13">
                  <c:v>-2</c:v>
                </c:pt>
                <c:pt idx="14">
                  <c:v>-5.2</c:v>
                </c:pt>
                <c:pt idx="15">
                  <c:v>-5.2</c:v>
                </c:pt>
                <c:pt idx="16">
                  <c:v>-2</c:v>
                </c:pt>
                <c:pt idx="18">
                  <c:v>-2</c:v>
                </c:pt>
                <c:pt idx="19">
                  <c:v>-2</c:v>
                </c:pt>
                <c:pt idx="20">
                  <c:v>-5.2</c:v>
                </c:pt>
                <c:pt idx="21">
                  <c:v>-5.2</c:v>
                </c:pt>
                <c:pt idx="22">
                  <c:v>-2</c:v>
                </c:pt>
              </c:numCache>
            </c:numRef>
          </c:yVal>
          <c:smooth val="0"/>
          <c:extLst>
            <c:ext xmlns:c16="http://schemas.microsoft.com/office/drawing/2014/chart" uri="{C3380CC4-5D6E-409C-BE32-E72D297353CC}">
              <c16:uniqueId val="{00000001-4452-4108-B062-0A11370AA45F}"/>
            </c:ext>
          </c:extLst>
        </c:ser>
        <c:ser>
          <c:idx val="2"/>
          <c:order val="2"/>
          <c:tx>
            <c:strRef>
              <c:f>'CAD Pedestal Elevs Method'!$P$69</c:f>
              <c:strCache>
                <c:ptCount val="1"/>
                <c:pt idx="0">
                  <c:v>pile cutoff
41.7649</c:v>
                </c:pt>
              </c:strCache>
            </c:strRef>
          </c:tx>
          <c:spPr>
            <a:ln>
              <a:noFill/>
              <a:prstDash val="solid"/>
            </a:ln>
          </c:spPr>
          <c:marker>
            <c:symbol val="none"/>
          </c:marker>
          <c:dLbls>
            <c:spPr>
              <a:noFill/>
              <a:ln>
                <a:noFill/>
              </a:ln>
              <a:effectLst/>
            </c:spPr>
            <c:txPr>
              <a:bodyPr/>
              <a:lstStyle/>
              <a:p>
                <a:pPr>
                  <a:defRPr sz="7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Method'!$Q$69</c:f>
              <c:numCache>
                <c:formatCode>0.0000</c:formatCode>
                <c:ptCount val="1"/>
                <c:pt idx="0">
                  <c:v>-7.5</c:v>
                </c:pt>
              </c:numCache>
            </c:numRef>
          </c:xVal>
          <c:yVal>
            <c:numRef>
              <c:f>'CAD Pedestal Elevs Method'!$R$69</c:f>
              <c:numCache>
                <c:formatCode>0.0000</c:formatCode>
                <c:ptCount val="1"/>
                <c:pt idx="0">
                  <c:v>-2</c:v>
                </c:pt>
              </c:numCache>
            </c:numRef>
          </c:yVal>
          <c:smooth val="0"/>
          <c:extLst>
            <c:ext xmlns:c16="http://schemas.microsoft.com/office/drawing/2014/chart" uri="{C3380CC4-5D6E-409C-BE32-E72D297353CC}">
              <c16:uniqueId val="{00000002-4452-4108-B062-0A11370AA45F}"/>
            </c:ext>
          </c:extLst>
        </c:ser>
        <c:ser>
          <c:idx val="3"/>
          <c:order val="3"/>
          <c:tx>
            <c:strRef>
              <c:f>'CAD Pedestal Elevs Method'!$P$71</c:f>
              <c:strCache>
                <c:ptCount val="1"/>
                <c:pt idx="0">
                  <c:v>pad top
44.478</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Method'!$Q$71</c:f>
              <c:numCache>
                <c:formatCode>0.0000</c:formatCode>
                <c:ptCount val="1"/>
                <c:pt idx="0">
                  <c:v>-4.291666666666667</c:v>
                </c:pt>
              </c:numCache>
            </c:numRef>
          </c:xVal>
          <c:yVal>
            <c:numRef>
              <c:f>'CAD Pedestal Elevs Method'!$R$71</c:f>
              <c:numCache>
                <c:formatCode>0.0000</c:formatCode>
                <c:ptCount val="1"/>
                <c:pt idx="0">
                  <c:v>0.71354617240487761</c:v>
                </c:pt>
              </c:numCache>
            </c:numRef>
          </c:yVal>
          <c:smooth val="0"/>
          <c:extLst>
            <c:ext xmlns:c16="http://schemas.microsoft.com/office/drawing/2014/chart" uri="{C3380CC4-5D6E-409C-BE32-E72D297353CC}">
              <c16:uniqueId val="{00000003-4452-4108-B062-0A11370AA45F}"/>
            </c:ext>
          </c:extLst>
        </c:ser>
        <c:ser>
          <c:idx val="4"/>
          <c:order val="4"/>
          <c:tx>
            <c:strRef>
              <c:f>'CAD Pedestal Elevs Method'!$P$73</c:f>
              <c:strCache>
                <c:ptCount val="1"/>
                <c:pt idx="0">
                  <c:v>pad top
44.478</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Method'!$Q$73</c:f>
              <c:numCache>
                <c:formatCode>0.0000</c:formatCode>
                <c:ptCount val="1"/>
                <c:pt idx="0">
                  <c:v>4.291666666666667</c:v>
                </c:pt>
              </c:numCache>
            </c:numRef>
          </c:xVal>
          <c:yVal>
            <c:numRef>
              <c:f>'CAD Pedestal Elevs Method'!$R$73</c:f>
              <c:numCache>
                <c:formatCode>0.0000</c:formatCode>
                <c:ptCount val="1"/>
                <c:pt idx="0">
                  <c:v>0.71354617240487761</c:v>
                </c:pt>
              </c:numCache>
            </c:numRef>
          </c:yVal>
          <c:smooth val="0"/>
          <c:extLst>
            <c:ext xmlns:c16="http://schemas.microsoft.com/office/drawing/2014/chart" uri="{C3380CC4-5D6E-409C-BE32-E72D297353CC}">
              <c16:uniqueId val="{00000004-4452-4108-B062-0A11370AA45F}"/>
            </c:ext>
          </c:extLst>
        </c:ser>
        <c:ser>
          <c:idx val="5"/>
          <c:order val="5"/>
          <c:tx>
            <c:strRef>
              <c:f>'CAD Pedestal Elevs Method'!$P$75</c:f>
              <c:strCache>
                <c:ptCount val="1"/>
                <c:pt idx="0">
                  <c:v>Pedestals</c:v>
                </c:pt>
              </c:strCache>
            </c:strRef>
          </c:tx>
          <c:spPr>
            <a:ln w="12700">
              <a:solidFill>
                <a:srgbClr val="5A6570"/>
              </a:solidFill>
              <a:prstDash val="solid"/>
            </a:ln>
          </c:spPr>
          <c:marker>
            <c:symbol val="none"/>
          </c:marker>
          <c:xVal>
            <c:numRef>
              <c:f>'CAD Pedestal Elevs Method'!$Q$75:$Q$85</c:f>
              <c:numCache>
                <c:formatCode>0.0000</c:formatCode>
                <c:ptCount val="11"/>
                <c:pt idx="0">
                  <c:v>-6.041666666666667</c:v>
                </c:pt>
                <c:pt idx="1">
                  <c:v>-2.541666666666667</c:v>
                </c:pt>
                <c:pt idx="2">
                  <c:v>-2.541666666666667</c:v>
                </c:pt>
                <c:pt idx="3">
                  <c:v>-6.041666666666667</c:v>
                </c:pt>
                <c:pt idx="4">
                  <c:v>-6.041666666666667</c:v>
                </c:pt>
                <c:pt idx="6">
                  <c:v>2.541666666666667</c:v>
                </c:pt>
                <c:pt idx="7">
                  <c:v>6.041666666666667</c:v>
                </c:pt>
                <c:pt idx="8">
                  <c:v>6.041666666666667</c:v>
                </c:pt>
                <c:pt idx="9">
                  <c:v>2.541666666666667</c:v>
                </c:pt>
                <c:pt idx="10">
                  <c:v>2.541666666666667</c:v>
                </c:pt>
              </c:numCache>
            </c:numRef>
          </c:xVal>
          <c:yVal>
            <c:numRef>
              <c:f>'CAD Pedestal Elevs Method'!$R$75:$R$85</c:f>
              <c:numCache>
                <c:formatCode>0.0000</c:formatCode>
                <c:ptCount val="11"/>
                <c:pt idx="0">
                  <c:v>0</c:v>
                </c:pt>
                <c:pt idx="1">
                  <c:v>0</c:v>
                </c:pt>
                <c:pt idx="2">
                  <c:v>0.50000450573821098</c:v>
                </c:pt>
                <c:pt idx="3">
                  <c:v>0.50000450573821098</c:v>
                </c:pt>
                <c:pt idx="4">
                  <c:v>0</c:v>
                </c:pt>
                <c:pt idx="6">
                  <c:v>0</c:v>
                </c:pt>
                <c:pt idx="7">
                  <c:v>0</c:v>
                </c:pt>
                <c:pt idx="8">
                  <c:v>0.50000450573821098</c:v>
                </c:pt>
                <c:pt idx="9">
                  <c:v>0.50000450573821098</c:v>
                </c:pt>
                <c:pt idx="10">
                  <c:v>0</c:v>
                </c:pt>
              </c:numCache>
            </c:numRef>
          </c:yVal>
          <c:smooth val="0"/>
          <c:extLst>
            <c:ext xmlns:c16="http://schemas.microsoft.com/office/drawing/2014/chart" uri="{C3380CC4-5D6E-409C-BE32-E72D297353CC}">
              <c16:uniqueId val="{00000005-4452-4108-B062-0A11370AA45F}"/>
            </c:ext>
          </c:extLst>
        </c:ser>
        <c:ser>
          <c:idx val="6"/>
          <c:order val="6"/>
          <c:tx>
            <c:strRef>
              <c:f>'CAD Pedestal Elevs Method'!$P$87</c:f>
              <c:strCache>
                <c:ptCount val="1"/>
                <c:pt idx="0">
                  <c:v>Bearing pads</c:v>
                </c:pt>
              </c:strCache>
            </c:strRef>
          </c:tx>
          <c:spPr>
            <a:ln w="12700">
              <a:solidFill>
                <a:srgbClr val="6B7785"/>
              </a:solidFill>
              <a:prstDash val="solid"/>
            </a:ln>
          </c:spPr>
          <c:marker>
            <c:symbol val="none"/>
          </c:marker>
          <c:xVal>
            <c:numRef>
              <c:f>'CAD Pedestal Elevs Method'!$Q$87:$Q$97</c:f>
              <c:numCache>
                <c:formatCode>0.0000</c:formatCode>
                <c:ptCount val="11"/>
                <c:pt idx="0">
                  <c:v>-5.625</c:v>
                </c:pt>
                <c:pt idx="1">
                  <c:v>-2.9583333333333339</c:v>
                </c:pt>
                <c:pt idx="2">
                  <c:v>-2.9583333333333339</c:v>
                </c:pt>
                <c:pt idx="3">
                  <c:v>-5.625</c:v>
                </c:pt>
                <c:pt idx="4">
                  <c:v>-5.625</c:v>
                </c:pt>
                <c:pt idx="6">
                  <c:v>2.9583333333333339</c:v>
                </c:pt>
                <c:pt idx="7">
                  <c:v>5.625</c:v>
                </c:pt>
                <c:pt idx="8">
                  <c:v>5.625</c:v>
                </c:pt>
                <c:pt idx="9">
                  <c:v>2.9583333333333339</c:v>
                </c:pt>
                <c:pt idx="10">
                  <c:v>2.9583333333333339</c:v>
                </c:pt>
              </c:numCache>
            </c:numRef>
          </c:xVal>
          <c:yVal>
            <c:numRef>
              <c:f>'CAD Pedestal Elevs Method'!$R$87:$R$97</c:f>
              <c:numCache>
                <c:formatCode>0.0000</c:formatCode>
                <c:ptCount val="11"/>
                <c:pt idx="0">
                  <c:v>0.50000450573821098</c:v>
                </c:pt>
                <c:pt idx="1">
                  <c:v>0.50000450573821098</c:v>
                </c:pt>
                <c:pt idx="2">
                  <c:v>0.71354617240487761</c:v>
                </c:pt>
                <c:pt idx="3">
                  <c:v>0.71354617240487761</c:v>
                </c:pt>
                <c:pt idx="4">
                  <c:v>0.50000450573821098</c:v>
                </c:pt>
                <c:pt idx="6">
                  <c:v>0.50000450573821098</c:v>
                </c:pt>
                <c:pt idx="7">
                  <c:v>0.50000450573821098</c:v>
                </c:pt>
                <c:pt idx="8">
                  <c:v>0.71354617240487761</c:v>
                </c:pt>
                <c:pt idx="9">
                  <c:v>0.71354617240487761</c:v>
                </c:pt>
                <c:pt idx="10">
                  <c:v>0.50000450573821098</c:v>
                </c:pt>
              </c:numCache>
            </c:numRef>
          </c:yVal>
          <c:smooth val="0"/>
          <c:extLst>
            <c:ext xmlns:c16="http://schemas.microsoft.com/office/drawing/2014/chart" uri="{C3380CC4-5D6E-409C-BE32-E72D297353CC}">
              <c16:uniqueId val="{00000006-4452-4108-B062-0A11370AA45F}"/>
            </c:ext>
          </c:extLst>
        </c:ser>
        <c:ser>
          <c:idx val="7"/>
          <c:order val="7"/>
          <c:tx>
            <c:strRef>
              <c:f>'CAD Pedestal Elevs Method'!$P$99</c:f>
              <c:strCache>
                <c:ptCount val="1"/>
                <c:pt idx="0">
                  <c:v>cap top 43.7649</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Method'!$Q$99</c:f>
              <c:numCache>
                <c:formatCode>0.0000</c:formatCode>
                <c:ptCount val="1"/>
                <c:pt idx="0">
                  <c:v>0</c:v>
                </c:pt>
              </c:numCache>
            </c:numRef>
          </c:xVal>
          <c:yVal>
            <c:numRef>
              <c:f>'CAD Pedestal Elevs Method'!$R$99</c:f>
              <c:numCache>
                <c:formatCode>0.0000</c:formatCode>
                <c:ptCount val="1"/>
                <c:pt idx="0">
                  <c:v>0</c:v>
                </c:pt>
              </c:numCache>
            </c:numRef>
          </c:yVal>
          <c:smooth val="0"/>
          <c:extLst>
            <c:ext xmlns:c16="http://schemas.microsoft.com/office/drawing/2014/chart" uri="{C3380CC4-5D6E-409C-BE32-E72D297353CC}">
              <c16:uniqueId val="{00000007-4452-4108-B062-0A11370AA45F}"/>
            </c:ext>
          </c:extLst>
        </c:ser>
        <c:ser>
          <c:idx val="8"/>
          <c:order val="8"/>
          <c:tx>
            <c:strRef>
              <c:f>'CAD Pedestal Elevs Method'!$P$101</c:f>
              <c:strCache>
                <c:ptCount val="1"/>
                <c:pt idx="0">
                  <c:v>cap underside
40.7649</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Method'!$Q$101</c:f>
              <c:numCache>
                <c:formatCode>0.0000</c:formatCode>
                <c:ptCount val="1"/>
                <c:pt idx="0">
                  <c:v>0</c:v>
                </c:pt>
              </c:numCache>
            </c:numRef>
          </c:xVal>
          <c:yVal>
            <c:numRef>
              <c:f>'CAD Pedestal Elevs Method'!$R$101</c:f>
              <c:numCache>
                <c:formatCode>0.0000</c:formatCode>
                <c:ptCount val="1"/>
                <c:pt idx="0">
                  <c:v>-3</c:v>
                </c:pt>
              </c:numCache>
            </c:numRef>
          </c:yVal>
          <c:smooth val="0"/>
          <c:extLst>
            <c:ext xmlns:c16="http://schemas.microsoft.com/office/drawing/2014/chart" uri="{C3380CC4-5D6E-409C-BE32-E72D297353CC}">
              <c16:uniqueId val="{00000008-4452-4108-B062-0A11370AA45F}"/>
            </c:ext>
          </c:extLst>
        </c:ser>
        <c:ser>
          <c:idx val="9"/>
          <c:order val="9"/>
          <c:tx>
            <c:strRef>
              <c:f>'CAD Pedestal Elevs Method'!$P$104</c:f>
              <c:strCache>
                <c:ptCount val="1"/>
                <c:pt idx="0">
                  <c:v>Cap length</c:v>
                </c:pt>
              </c:strCache>
            </c:strRef>
          </c:tx>
          <c:spPr>
            <a:ln w="9525">
              <a:solidFill>
                <a:srgbClr val="1F2A36"/>
              </a:solidFill>
              <a:prstDash val="solid"/>
              <a:headEnd type="triangle" w="sm" len="sm"/>
              <a:tailEnd type="triangle" w="sm" len="sm"/>
            </a:ln>
          </c:spPr>
          <c:marker>
            <c:symbol val="none"/>
          </c:marker>
          <c:xVal>
            <c:numRef>
              <c:f>'CAD Pedestal Elevs Method'!$Q$104:$Q$105</c:f>
              <c:numCache>
                <c:formatCode>0.0000</c:formatCode>
                <c:ptCount val="2"/>
                <c:pt idx="0">
                  <c:v>-9.5833333333333339</c:v>
                </c:pt>
                <c:pt idx="1">
                  <c:v>9.5833333333333339</c:v>
                </c:pt>
              </c:numCache>
            </c:numRef>
          </c:xVal>
          <c:yVal>
            <c:numRef>
              <c:f>'CAD Pedestal Elevs Method'!$R$104:$R$105</c:f>
              <c:numCache>
                <c:formatCode>0.0000</c:formatCode>
                <c:ptCount val="2"/>
                <c:pt idx="0">
                  <c:v>-5.7</c:v>
                </c:pt>
                <c:pt idx="1">
                  <c:v>-5.7</c:v>
                </c:pt>
              </c:numCache>
            </c:numRef>
          </c:yVal>
          <c:smooth val="0"/>
          <c:extLst>
            <c:ext xmlns:c16="http://schemas.microsoft.com/office/drawing/2014/chart" uri="{C3380CC4-5D6E-409C-BE32-E72D297353CC}">
              <c16:uniqueId val="{00000009-4452-4108-B062-0A11370AA45F}"/>
            </c:ext>
          </c:extLst>
        </c:ser>
        <c:ser>
          <c:idx val="10"/>
          <c:order val="10"/>
          <c:tx>
            <c:strRef>
              <c:f>'CAD Pedestal Elevs Method'!$P$107</c:f>
              <c:strCache>
                <c:ptCount val="1"/>
                <c:pt idx="0">
                  <c:v>cap length 230.0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Method'!$Q$107</c:f>
              <c:numCache>
                <c:formatCode>0.0000</c:formatCode>
                <c:ptCount val="1"/>
                <c:pt idx="0">
                  <c:v>0</c:v>
                </c:pt>
              </c:numCache>
            </c:numRef>
          </c:xVal>
          <c:yVal>
            <c:numRef>
              <c:f>'CAD Pedestal Elevs Method'!$R$107</c:f>
              <c:numCache>
                <c:formatCode>0.0000</c:formatCode>
                <c:ptCount val="1"/>
                <c:pt idx="0">
                  <c:v>-5.7</c:v>
                </c:pt>
              </c:numCache>
            </c:numRef>
          </c:yVal>
          <c:smooth val="0"/>
          <c:extLst>
            <c:ext xmlns:c16="http://schemas.microsoft.com/office/drawing/2014/chart" uri="{C3380CC4-5D6E-409C-BE32-E72D297353CC}">
              <c16:uniqueId val="{0000000A-4452-4108-B062-0A11370AA45F}"/>
            </c:ext>
          </c:extLst>
        </c:ser>
        <c:ser>
          <c:idx val="11"/>
          <c:order val="11"/>
          <c:tx>
            <c:strRef>
              <c:f>'CAD Pedestal Elevs Method'!$P$110</c:f>
              <c:strCache>
                <c:ptCount val="1"/>
                <c:pt idx="0">
                  <c:v>frame (invisible, sets the chart window)</c:v>
                </c:pt>
              </c:strCache>
            </c:strRef>
          </c:tx>
          <c:spPr>
            <a:ln>
              <a:noFill/>
              <a:prstDash val="solid"/>
            </a:ln>
          </c:spPr>
          <c:marker>
            <c:symbol val="none"/>
          </c:marker>
          <c:xVal>
            <c:numRef>
              <c:f>'CAD Pedestal Elevs Method'!$Q$110:$Q$111</c:f>
              <c:numCache>
                <c:formatCode>0.0000</c:formatCode>
                <c:ptCount val="2"/>
                <c:pt idx="0">
                  <c:v>-10.883333333333335</c:v>
                </c:pt>
                <c:pt idx="1">
                  <c:v>10.883333333333335</c:v>
                </c:pt>
              </c:numCache>
            </c:numRef>
          </c:xVal>
          <c:yVal>
            <c:numRef>
              <c:f>'CAD Pedestal Elevs Method'!$R$110:$R$111</c:f>
              <c:numCache>
                <c:formatCode>0.0000</c:formatCode>
                <c:ptCount val="2"/>
                <c:pt idx="0">
                  <c:v>-6</c:v>
                </c:pt>
                <c:pt idx="1">
                  <c:v>1.7135461724048775</c:v>
                </c:pt>
              </c:numCache>
            </c:numRef>
          </c:yVal>
          <c:smooth val="0"/>
          <c:extLst>
            <c:ext xmlns:c16="http://schemas.microsoft.com/office/drawing/2014/chart" uri="{C3380CC4-5D6E-409C-BE32-E72D297353CC}">
              <c16:uniqueId val="{0000000B-4452-4108-B062-0A11370AA45F}"/>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Offset from PGL (ft), looking up-station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scatterChart>
        <c:scatterStyle val="lineMarker"/>
        <c:varyColors val="1"/>
        <c:ser>
          <c:idx val="0"/>
          <c:order val="0"/>
          <c:tx>
            <c:strRef>
              <c:f>'CAD Pedestal Elevs Method'!$P$118</c:f>
              <c:strCache>
                <c:ptCount val="1"/>
                <c:pt idx="0">
                  <c:v>Backwall (behind the cap, at the FFBW)</c:v>
                </c:pt>
              </c:strCache>
            </c:strRef>
          </c:tx>
          <c:spPr>
            <a:ln w="12700">
              <a:solidFill>
                <a:srgbClr val="8A96A3"/>
              </a:solidFill>
              <a:prstDash val="dash"/>
            </a:ln>
          </c:spPr>
          <c:marker>
            <c:symbol val="none"/>
          </c:marker>
          <c:xVal>
            <c:numRef>
              <c:f>'CAD Pedestal Elevs Method'!$Q$118:$Q$123</c:f>
              <c:numCache>
                <c:formatCode>0.0000</c:formatCode>
                <c:ptCount val="6"/>
                <c:pt idx="0">
                  <c:v>-9.7916666666666661</c:v>
                </c:pt>
                <c:pt idx="1">
                  <c:v>9.7916666666666661</c:v>
                </c:pt>
                <c:pt idx="2">
                  <c:v>9.7916666666666661</c:v>
                </c:pt>
                <c:pt idx="3">
                  <c:v>0</c:v>
                </c:pt>
                <c:pt idx="4">
                  <c:v>-9.7916666666666661</c:v>
                </c:pt>
                <c:pt idx="5">
                  <c:v>-9.7916666666666661</c:v>
                </c:pt>
              </c:numCache>
            </c:numRef>
          </c:xVal>
          <c:yVal>
            <c:numRef>
              <c:f>'CAD Pedestal Elevs Method'!$R$118:$R$123</c:f>
              <c:numCache>
                <c:formatCode>0.0000</c:formatCode>
                <c:ptCount val="6"/>
                <c:pt idx="0">
                  <c:v>0</c:v>
                </c:pt>
                <c:pt idx="1">
                  <c:v>0</c:v>
                </c:pt>
                <c:pt idx="2">
                  <c:v>3.8733078559703458</c:v>
                </c:pt>
                <c:pt idx="3">
                  <c:v>4.0691411893036786</c:v>
                </c:pt>
                <c:pt idx="4">
                  <c:v>3.8733078559703458</c:v>
                </c:pt>
                <c:pt idx="5">
                  <c:v>0</c:v>
                </c:pt>
              </c:numCache>
            </c:numRef>
          </c:yVal>
          <c:smooth val="0"/>
          <c:extLst>
            <c:ext xmlns:c16="http://schemas.microsoft.com/office/drawing/2014/chart" uri="{C3380CC4-5D6E-409C-BE32-E72D297353CC}">
              <c16:uniqueId val="{00000000-6CAA-491D-B39A-C7CC198C994D}"/>
            </c:ext>
          </c:extLst>
        </c:ser>
        <c:ser>
          <c:idx val="1"/>
          <c:order val="1"/>
          <c:tx>
            <c:strRef>
              <c:f>'CAD Pedestal Elevs Method'!$P$125</c:f>
              <c:strCache>
                <c:ptCount val="1"/>
                <c:pt idx="0">
                  <c:v>Cheek webs with bottom lugs</c:v>
                </c:pt>
              </c:strCache>
            </c:strRef>
          </c:tx>
          <c:spPr>
            <a:ln w="15875">
              <a:solidFill>
                <a:srgbClr val="5B7F3A"/>
              </a:solidFill>
              <a:prstDash val="solid"/>
            </a:ln>
          </c:spPr>
          <c:marker>
            <c:symbol val="none"/>
          </c:marker>
          <c:xVal>
            <c:numRef>
              <c:f>'CAD Pedestal Elevs Method'!$Q$125:$Q$139</c:f>
              <c:numCache>
                <c:formatCode>0.0000</c:formatCode>
                <c:ptCount val="15"/>
                <c:pt idx="0">
                  <c:v>-10.458333333333332</c:v>
                </c:pt>
                <c:pt idx="1">
                  <c:v>-9.9999999999999982</c:v>
                </c:pt>
                <c:pt idx="2">
                  <c:v>-9.9999999999999982</c:v>
                </c:pt>
                <c:pt idx="3">
                  <c:v>-9.7916666666666661</c:v>
                </c:pt>
                <c:pt idx="4">
                  <c:v>-9.7916666666666661</c:v>
                </c:pt>
                <c:pt idx="5">
                  <c:v>-10.458333333333332</c:v>
                </c:pt>
                <c:pt idx="6">
                  <c:v>-10.458333333333332</c:v>
                </c:pt>
                <c:pt idx="8">
                  <c:v>9.9999999999999982</c:v>
                </c:pt>
                <c:pt idx="9">
                  <c:v>10.458333333333332</c:v>
                </c:pt>
                <c:pt idx="10">
                  <c:v>10.458333333333332</c:v>
                </c:pt>
                <c:pt idx="11">
                  <c:v>9.7916666666666661</c:v>
                </c:pt>
                <c:pt idx="12">
                  <c:v>9.7916666666666661</c:v>
                </c:pt>
                <c:pt idx="13">
                  <c:v>9.9999999999999982</c:v>
                </c:pt>
                <c:pt idx="14">
                  <c:v>9.9999999999999982</c:v>
                </c:pt>
              </c:numCache>
            </c:numRef>
          </c:xVal>
          <c:yVal>
            <c:numRef>
              <c:f>'CAD Pedestal Elevs Method'!$R$125:$R$139</c:f>
              <c:numCache>
                <c:formatCode>0.0000</c:formatCode>
                <c:ptCount val="15"/>
                <c:pt idx="0">
                  <c:v>-3.5</c:v>
                </c:pt>
                <c:pt idx="1">
                  <c:v>-3.5</c:v>
                </c:pt>
                <c:pt idx="2">
                  <c:v>-3</c:v>
                </c:pt>
                <c:pt idx="3">
                  <c:v>-3</c:v>
                </c:pt>
                <c:pt idx="4">
                  <c:v>5.0273505516869434</c:v>
                </c:pt>
                <c:pt idx="5">
                  <c:v>5.0273505516869434</c:v>
                </c:pt>
                <c:pt idx="6">
                  <c:v>-3.5</c:v>
                </c:pt>
                <c:pt idx="8">
                  <c:v>-3.5</c:v>
                </c:pt>
                <c:pt idx="9">
                  <c:v>-3.5</c:v>
                </c:pt>
                <c:pt idx="10">
                  <c:v>5.0101107337257389</c:v>
                </c:pt>
                <c:pt idx="11">
                  <c:v>5.0101107337257389</c:v>
                </c:pt>
                <c:pt idx="12">
                  <c:v>-3</c:v>
                </c:pt>
                <c:pt idx="13">
                  <c:v>-3</c:v>
                </c:pt>
                <c:pt idx="14">
                  <c:v>-3.5</c:v>
                </c:pt>
              </c:numCache>
            </c:numRef>
          </c:yVal>
          <c:smooth val="0"/>
          <c:extLst>
            <c:ext xmlns:c16="http://schemas.microsoft.com/office/drawing/2014/chart" uri="{C3380CC4-5D6E-409C-BE32-E72D297353CC}">
              <c16:uniqueId val="{00000001-6CAA-491D-B39A-C7CC198C994D}"/>
            </c:ext>
          </c:extLst>
        </c:ser>
        <c:ser>
          <c:idx val="2"/>
          <c:order val="2"/>
          <c:tx>
            <c:strRef>
              <c:f>'CAD Pedestal Elevs Method'!$P$141</c:f>
              <c:strCache>
                <c:ptCount val="1"/>
                <c:pt idx="0">
                  <c:v>backwall top 47.319
(behind, at FFBW)</c:v>
                </c:pt>
              </c:strCache>
            </c:strRef>
          </c:tx>
          <c:spPr>
            <a:ln>
              <a:noFill/>
              <a:prstDash val="solid"/>
            </a:ln>
          </c:spPr>
          <c:marker>
            <c:symbol val="none"/>
          </c:marker>
          <c:dLbls>
            <c:spPr>
              <a:noFill/>
              <a:ln>
                <a:noFill/>
              </a:ln>
              <a:effectLst/>
            </c:spPr>
            <c:txPr>
              <a:bodyPr/>
              <a:lstStyle/>
              <a:p>
                <a:pPr>
                  <a:defRPr sz="700" b="0">
                    <a:solidFill>
                      <a:srgbClr val="8A96A3"/>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Method'!$Q$141</c:f>
              <c:numCache>
                <c:formatCode>0.0000</c:formatCode>
                <c:ptCount val="1"/>
                <c:pt idx="0">
                  <c:v>0</c:v>
                </c:pt>
              </c:numCache>
            </c:numRef>
          </c:xVal>
          <c:yVal>
            <c:numRef>
              <c:f>'CAD Pedestal Elevs Method'!$R$141</c:f>
              <c:numCache>
                <c:formatCode>0.0000</c:formatCode>
                <c:ptCount val="1"/>
                <c:pt idx="0">
                  <c:v>4.0691411893036786</c:v>
                </c:pt>
              </c:numCache>
            </c:numRef>
          </c:yVal>
          <c:smooth val="0"/>
          <c:extLst>
            <c:ext xmlns:c16="http://schemas.microsoft.com/office/drawing/2014/chart" uri="{C3380CC4-5D6E-409C-BE32-E72D297353CC}">
              <c16:uniqueId val="{00000002-6CAA-491D-B39A-C7CC198C994D}"/>
            </c:ext>
          </c:extLst>
        </c:ser>
        <c:ser>
          <c:idx val="3"/>
          <c:order val="3"/>
          <c:tx>
            <c:strRef>
              <c:f>'CAD Pedestal Elevs Method'!$P$143</c:f>
              <c:strCache>
                <c:ptCount val="1"/>
                <c:pt idx="0">
                  <c:v>cheek top
48.277</c:v>
                </c:pt>
              </c:strCache>
            </c:strRef>
          </c:tx>
          <c:spPr>
            <a:ln>
              <a:noFill/>
              <a:prstDash val="solid"/>
            </a:ln>
          </c:spPr>
          <c:marker>
            <c:symbol val="none"/>
          </c:marker>
          <c:dLbls>
            <c:spPr>
              <a:noFill/>
              <a:ln>
                <a:noFill/>
              </a:ln>
              <a:effectLst/>
            </c:spPr>
            <c:txPr>
              <a:bodyPr/>
              <a:lstStyle/>
              <a:p>
                <a:pPr>
                  <a:defRPr sz="700" b="0">
                    <a:solidFill>
                      <a:srgbClr val="5B7F3A"/>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Method'!$Q$143</c:f>
              <c:numCache>
                <c:formatCode>0.0000</c:formatCode>
                <c:ptCount val="1"/>
                <c:pt idx="0">
                  <c:v>-10.125</c:v>
                </c:pt>
              </c:numCache>
            </c:numRef>
          </c:xVal>
          <c:yVal>
            <c:numRef>
              <c:f>'CAD Pedestal Elevs Method'!$R$143</c:f>
              <c:numCache>
                <c:formatCode>0.0000</c:formatCode>
                <c:ptCount val="1"/>
                <c:pt idx="0">
                  <c:v>5.0273505516869434</c:v>
                </c:pt>
              </c:numCache>
            </c:numRef>
          </c:yVal>
          <c:smooth val="0"/>
          <c:extLst>
            <c:ext xmlns:c16="http://schemas.microsoft.com/office/drawing/2014/chart" uri="{C3380CC4-5D6E-409C-BE32-E72D297353CC}">
              <c16:uniqueId val="{00000003-6CAA-491D-B39A-C7CC198C994D}"/>
            </c:ext>
          </c:extLst>
        </c:ser>
        <c:ser>
          <c:idx val="4"/>
          <c:order val="4"/>
          <c:tx>
            <c:strRef>
              <c:f>'CAD Pedestal Elevs Method'!$P$145</c:f>
              <c:strCache>
                <c:ptCount val="1"/>
                <c:pt idx="0">
                  <c:v>cheek top
48.260</c:v>
                </c:pt>
              </c:strCache>
            </c:strRef>
          </c:tx>
          <c:spPr>
            <a:ln>
              <a:noFill/>
              <a:prstDash val="solid"/>
            </a:ln>
          </c:spPr>
          <c:marker>
            <c:symbol val="none"/>
          </c:marker>
          <c:dLbls>
            <c:spPr>
              <a:noFill/>
              <a:ln>
                <a:noFill/>
              </a:ln>
              <a:effectLst/>
            </c:spPr>
            <c:txPr>
              <a:bodyPr/>
              <a:lstStyle/>
              <a:p>
                <a:pPr>
                  <a:defRPr sz="700" b="0">
                    <a:solidFill>
                      <a:srgbClr val="5B7F3A"/>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Method'!$Q$145</c:f>
              <c:numCache>
                <c:formatCode>0.0000</c:formatCode>
                <c:ptCount val="1"/>
                <c:pt idx="0">
                  <c:v>10.125</c:v>
                </c:pt>
              </c:numCache>
            </c:numRef>
          </c:xVal>
          <c:yVal>
            <c:numRef>
              <c:f>'CAD Pedestal Elevs Method'!$R$145</c:f>
              <c:numCache>
                <c:formatCode>0.0000</c:formatCode>
                <c:ptCount val="1"/>
                <c:pt idx="0">
                  <c:v>5.0101107337257389</c:v>
                </c:pt>
              </c:numCache>
            </c:numRef>
          </c:yVal>
          <c:smooth val="0"/>
          <c:extLst>
            <c:ext xmlns:c16="http://schemas.microsoft.com/office/drawing/2014/chart" uri="{C3380CC4-5D6E-409C-BE32-E72D297353CC}">
              <c16:uniqueId val="{00000004-6CAA-491D-B39A-C7CC198C994D}"/>
            </c:ext>
          </c:extLst>
        </c:ser>
        <c:ser>
          <c:idx val="5"/>
          <c:order val="5"/>
          <c:tx>
            <c:strRef>
              <c:f>'CAD Pedestal Elevs Method'!$P$147</c:f>
              <c:strCache>
                <c:ptCount val="1"/>
                <c:pt idx="0">
                  <c:v>Cap</c:v>
                </c:pt>
              </c:strCache>
            </c:strRef>
          </c:tx>
          <c:spPr>
            <a:ln w="19050">
              <a:solidFill>
                <a:srgbClr val="1F2A36"/>
              </a:solidFill>
              <a:prstDash val="solid"/>
            </a:ln>
          </c:spPr>
          <c:marker>
            <c:symbol val="none"/>
          </c:marker>
          <c:xVal>
            <c:numRef>
              <c:f>'CAD Pedestal Elevs Method'!$Q$147:$Q$151</c:f>
              <c:numCache>
                <c:formatCode>0.0000</c:formatCode>
                <c:ptCount val="5"/>
                <c:pt idx="0">
                  <c:v>-9.7916666666666661</c:v>
                </c:pt>
                <c:pt idx="1">
                  <c:v>9.7916666666666661</c:v>
                </c:pt>
                <c:pt idx="2">
                  <c:v>9.7916666666666661</c:v>
                </c:pt>
                <c:pt idx="3">
                  <c:v>-9.7916666666666661</c:v>
                </c:pt>
                <c:pt idx="4">
                  <c:v>-9.7916666666666661</c:v>
                </c:pt>
              </c:numCache>
            </c:numRef>
          </c:xVal>
          <c:yVal>
            <c:numRef>
              <c:f>'CAD Pedestal Elevs Method'!$R$147:$R$151</c:f>
              <c:numCache>
                <c:formatCode>0.0000</c:formatCode>
                <c:ptCount val="5"/>
                <c:pt idx="0">
                  <c:v>0</c:v>
                </c:pt>
                <c:pt idx="1">
                  <c:v>0</c:v>
                </c:pt>
                <c:pt idx="2">
                  <c:v>-3</c:v>
                </c:pt>
                <c:pt idx="3">
                  <c:v>-3</c:v>
                </c:pt>
                <c:pt idx="4">
                  <c:v>0</c:v>
                </c:pt>
              </c:numCache>
            </c:numRef>
          </c:yVal>
          <c:smooth val="0"/>
          <c:extLst>
            <c:ext xmlns:c16="http://schemas.microsoft.com/office/drawing/2014/chart" uri="{C3380CC4-5D6E-409C-BE32-E72D297353CC}">
              <c16:uniqueId val="{00000005-6CAA-491D-B39A-C7CC198C994D}"/>
            </c:ext>
          </c:extLst>
        </c:ser>
        <c:ser>
          <c:idx val="6"/>
          <c:order val="6"/>
          <c:tx>
            <c:strRef>
              <c:f>'CAD Pedestal Elevs Method'!$P$153</c:f>
              <c:strCache>
                <c:ptCount val="1"/>
                <c:pt idx="0">
                  <c:v>Piles (shown 2.2 ft below the cap)</c:v>
                </c:pt>
              </c:strCache>
            </c:strRef>
          </c:tx>
          <c:spPr>
            <a:ln w="12700">
              <a:solidFill>
                <a:srgbClr val="6B7785"/>
              </a:solidFill>
              <a:prstDash val="solid"/>
            </a:ln>
          </c:spPr>
          <c:marker>
            <c:symbol val="none"/>
          </c:marker>
          <c:xVal>
            <c:numRef>
              <c:f>'CAD Pedestal Elevs Method'!$Q$153:$Q$175</c:f>
              <c:numCache>
                <c:formatCode>0.0000</c:formatCode>
                <c:ptCount val="23"/>
                <c:pt idx="0">
                  <c:v>-7.5</c:v>
                </c:pt>
                <c:pt idx="1">
                  <c:v>-6</c:v>
                </c:pt>
                <c:pt idx="2">
                  <c:v>-6</c:v>
                </c:pt>
                <c:pt idx="3">
                  <c:v>-7.5</c:v>
                </c:pt>
                <c:pt idx="4">
                  <c:v>-7.5</c:v>
                </c:pt>
                <c:pt idx="6">
                  <c:v>-3</c:v>
                </c:pt>
                <c:pt idx="7">
                  <c:v>-1.5</c:v>
                </c:pt>
                <c:pt idx="8">
                  <c:v>-1.5</c:v>
                </c:pt>
                <c:pt idx="9">
                  <c:v>-3</c:v>
                </c:pt>
                <c:pt idx="10">
                  <c:v>-3</c:v>
                </c:pt>
                <c:pt idx="12">
                  <c:v>1.5</c:v>
                </c:pt>
                <c:pt idx="13">
                  <c:v>3</c:v>
                </c:pt>
                <c:pt idx="14">
                  <c:v>3</c:v>
                </c:pt>
                <c:pt idx="15">
                  <c:v>1.5</c:v>
                </c:pt>
                <c:pt idx="16">
                  <c:v>1.5</c:v>
                </c:pt>
                <c:pt idx="18">
                  <c:v>6</c:v>
                </c:pt>
                <c:pt idx="19">
                  <c:v>7.5</c:v>
                </c:pt>
                <c:pt idx="20">
                  <c:v>7.5</c:v>
                </c:pt>
                <c:pt idx="21">
                  <c:v>6</c:v>
                </c:pt>
                <c:pt idx="22">
                  <c:v>6</c:v>
                </c:pt>
              </c:numCache>
            </c:numRef>
          </c:xVal>
          <c:yVal>
            <c:numRef>
              <c:f>'CAD Pedestal Elevs Method'!$R$153:$R$175</c:f>
              <c:numCache>
                <c:formatCode>0.0000</c:formatCode>
                <c:ptCount val="23"/>
                <c:pt idx="0">
                  <c:v>-2</c:v>
                </c:pt>
                <c:pt idx="1">
                  <c:v>-2</c:v>
                </c:pt>
                <c:pt idx="2">
                  <c:v>-5.2</c:v>
                </c:pt>
                <c:pt idx="3">
                  <c:v>-5.2</c:v>
                </c:pt>
                <c:pt idx="4">
                  <c:v>-2</c:v>
                </c:pt>
                <c:pt idx="6">
                  <c:v>-2</c:v>
                </c:pt>
                <c:pt idx="7">
                  <c:v>-2</c:v>
                </c:pt>
                <c:pt idx="8">
                  <c:v>-5.2</c:v>
                </c:pt>
                <c:pt idx="9">
                  <c:v>-5.2</c:v>
                </c:pt>
                <c:pt idx="10">
                  <c:v>-2</c:v>
                </c:pt>
                <c:pt idx="12">
                  <c:v>-2</c:v>
                </c:pt>
                <c:pt idx="13">
                  <c:v>-2</c:v>
                </c:pt>
                <c:pt idx="14">
                  <c:v>-5.2</c:v>
                </c:pt>
                <c:pt idx="15">
                  <c:v>-5.2</c:v>
                </c:pt>
                <c:pt idx="16">
                  <c:v>-2</c:v>
                </c:pt>
                <c:pt idx="18">
                  <c:v>-2</c:v>
                </c:pt>
                <c:pt idx="19">
                  <c:v>-2</c:v>
                </c:pt>
                <c:pt idx="20">
                  <c:v>-5.2</c:v>
                </c:pt>
                <c:pt idx="21">
                  <c:v>-5.2</c:v>
                </c:pt>
                <c:pt idx="22">
                  <c:v>-2</c:v>
                </c:pt>
              </c:numCache>
            </c:numRef>
          </c:yVal>
          <c:smooth val="0"/>
          <c:extLst>
            <c:ext xmlns:c16="http://schemas.microsoft.com/office/drawing/2014/chart" uri="{C3380CC4-5D6E-409C-BE32-E72D297353CC}">
              <c16:uniqueId val="{00000006-6CAA-491D-B39A-C7CC198C994D}"/>
            </c:ext>
          </c:extLst>
        </c:ser>
        <c:ser>
          <c:idx val="7"/>
          <c:order val="7"/>
          <c:tx>
            <c:strRef>
              <c:f>'CAD Pedestal Elevs Method'!$P$177</c:f>
              <c:strCache>
                <c:ptCount val="1"/>
                <c:pt idx="0">
                  <c:v>pile cutoff
41.2497</c:v>
                </c:pt>
              </c:strCache>
            </c:strRef>
          </c:tx>
          <c:spPr>
            <a:ln>
              <a:noFill/>
              <a:prstDash val="solid"/>
            </a:ln>
          </c:spPr>
          <c:marker>
            <c:symbol val="none"/>
          </c:marker>
          <c:dLbls>
            <c:spPr>
              <a:noFill/>
              <a:ln>
                <a:noFill/>
              </a:ln>
              <a:effectLst/>
            </c:spPr>
            <c:txPr>
              <a:bodyPr/>
              <a:lstStyle/>
              <a:p>
                <a:pPr>
                  <a:defRPr sz="700" b="0">
                    <a:solidFill>
                      <a:srgbClr val="C0392B"/>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Method'!$Q$177</c:f>
              <c:numCache>
                <c:formatCode>0.0000</c:formatCode>
                <c:ptCount val="1"/>
                <c:pt idx="0">
                  <c:v>-6.75</c:v>
                </c:pt>
              </c:numCache>
            </c:numRef>
          </c:xVal>
          <c:yVal>
            <c:numRef>
              <c:f>'CAD Pedestal Elevs Method'!$R$177</c:f>
              <c:numCache>
                <c:formatCode>0.0000</c:formatCode>
                <c:ptCount val="1"/>
                <c:pt idx="0">
                  <c:v>-2</c:v>
                </c:pt>
              </c:numCache>
            </c:numRef>
          </c:yVal>
          <c:smooth val="0"/>
          <c:extLst>
            <c:ext xmlns:c16="http://schemas.microsoft.com/office/drawing/2014/chart" uri="{C3380CC4-5D6E-409C-BE32-E72D297353CC}">
              <c16:uniqueId val="{00000007-6CAA-491D-B39A-C7CC198C994D}"/>
            </c:ext>
          </c:extLst>
        </c:ser>
        <c:ser>
          <c:idx val="8"/>
          <c:order val="8"/>
          <c:tx>
            <c:strRef>
              <c:f>'CAD Pedestal Elevs Method'!$P$179</c:f>
              <c:strCache>
                <c:ptCount val="1"/>
                <c:pt idx="0">
                  <c:v>pad top
43.963</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Method'!$Q$179</c:f>
              <c:numCache>
                <c:formatCode>0.0000</c:formatCode>
                <c:ptCount val="1"/>
                <c:pt idx="0">
                  <c:v>-4.291666666666667</c:v>
                </c:pt>
              </c:numCache>
            </c:numRef>
          </c:xVal>
          <c:yVal>
            <c:numRef>
              <c:f>'CAD Pedestal Elevs Method'!$R$179</c:f>
              <c:numCache>
                <c:formatCode>0.0000</c:formatCode>
                <c:ptCount val="1"/>
                <c:pt idx="0">
                  <c:v>0.71354166666666663</c:v>
                </c:pt>
              </c:numCache>
            </c:numRef>
          </c:yVal>
          <c:smooth val="0"/>
          <c:extLst>
            <c:ext xmlns:c16="http://schemas.microsoft.com/office/drawing/2014/chart" uri="{C3380CC4-5D6E-409C-BE32-E72D297353CC}">
              <c16:uniqueId val="{00000008-6CAA-491D-B39A-C7CC198C994D}"/>
            </c:ext>
          </c:extLst>
        </c:ser>
        <c:ser>
          <c:idx val="9"/>
          <c:order val="9"/>
          <c:tx>
            <c:strRef>
              <c:f>'CAD Pedestal Elevs Method'!$P$181</c:f>
              <c:strCache>
                <c:ptCount val="1"/>
                <c:pt idx="0">
                  <c:v>pad top
43.963</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Method'!$Q$181</c:f>
              <c:numCache>
                <c:formatCode>0.0000</c:formatCode>
                <c:ptCount val="1"/>
                <c:pt idx="0">
                  <c:v>4.291666666666667</c:v>
                </c:pt>
              </c:numCache>
            </c:numRef>
          </c:xVal>
          <c:yVal>
            <c:numRef>
              <c:f>'CAD Pedestal Elevs Method'!$R$181</c:f>
              <c:numCache>
                <c:formatCode>0.0000</c:formatCode>
                <c:ptCount val="1"/>
                <c:pt idx="0">
                  <c:v>0.71354166666666663</c:v>
                </c:pt>
              </c:numCache>
            </c:numRef>
          </c:yVal>
          <c:smooth val="0"/>
          <c:extLst>
            <c:ext xmlns:c16="http://schemas.microsoft.com/office/drawing/2014/chart" uri="{C3380CC4-5D6E-409C-BE32-E72D297353CC}">
              <c16:uniqueId val="{00000009-6CAA-491D-B39A-C7CC198C994D}"/>
            </c:ext>
          </c:extLst>
        </c:ser>
        <c:ser>
          <c:idx val="10"/>
          <c:order val="10"/>
          <c:tx>
            <c:strRef>
              <c:f>'CAD Pedestal Elevs Method'!$P$183</c:f>
              <c:strCache>
                <c:ptCount val="1"/>
                <c:pt idx="0">
                  <c:v>Pedestals</c:v>
                </c:pt>
              </c:strCache>
            </c:strRef>
          </c:tx>
          <c:spPr>
            <a:ln w="12700">
              <a:solidFill>
                <a:srgbClr val="5A6570"/>
              </a:solidFill>
              <a:prstDash val="solid"/>
            </a:ln>
          </c:spPr>
          <c:marker>
            <c:symbol val="none"/>
          </c:marker>
          <c:xVal>
            <c:numRef>
              <c:f>'CAD Pedestal Elevs Method'!$Q$183:$Q$193</c:f>
              <c:numCache>
                <c:formatCode>0.0000</c:formatCode>
                <c:ptCount val="11"/>
                <c:pt idx="0">
                  <c:v>-6.041666666666667</c:v>
                </c:pt>
                <c:pt idx="1">
                  <c:v>-2.541666666666667</c:v>
                </c:pt>
                <c:pt idx="2">
                  <c:v>-2.541666666666667</c:v>
                </c:pt>
                <c:pt idx="3">
                  <c:v>-6.041666666666667</c:v>
                </c:pt>
                <c:pt idx="4">
                  <c:v>-6.041666666666667</c:v>
                </c:pt>
                <c:pt idx="6">
                  <c:v>2.541666666666667</c:v>
                </c:pt>
                <c:pt idx="7">
                  <c:v>6.041666666666667</c:v>
                </c:pt>
                <c:pt idx="8">
                  <c:v>6.041666666666667</c:v>
                </c:pt>
                <c:pt idx="9">
                  <c:v>2.541666666666667</c:v>
                </c:pt>
                <c:pt idx="10">
                  <c:v>2.541666666666667</c:v>
                </c:pt>
              </c:numCache>
            </c:numRef>
          </c:xVal>
          <c:yVal>
            <c:numRef>
              <c:f>'CAD Pedestal Elevs Method'!$R$183:$R$193</c:f>
              <c:numCache>
                <c:formatCode>0.0000</c:formatCode>
                <c:ptCount val="11"/>
                <c:pt idx="0">
                  <c:v>0</c:v>
                </c:pt>
                <c:pt idx="1">
                  <c:v>0</c:v>
                </c:pt>
                <c:pt idx="2">
                  <c:v>0.5</c:v>
                </c:pt>
                <c:pt idx="3">
                  <c:v>0.5</c:v>
                </c:pt>
                <c:pt idx="4">
                  <c:v>0</c:v>
                </c:pt>
                <c:pt idx="6">
                  <c:v>0</c:v>
                </c:pt>
                <c:pt idx="7">
                  <c:v>0</c:v>
                </c:pt>
                <c:pt idx="8">
                  <c:v>0.5</c:v>
                </c:pt>
                <c:pt idx="9">
                  <c:v>0.5</c:v>
                </c:pt>
                <c:pt idx="10">
                  <c:v>0</c:v>
                </c:pt>
              </c:numCache>
            </c:numRef>
          </c:yVal>
          <c:smooth val="0"/>
          <c:extLst>
            <c:ext xmlns:c16="http://schemas.microsoft.com/office/drawing/2014/chart" uri="{C3380CC4-5D6E-409C-BE32-E72D297353CC}">
              <c16:uniqueId val="{0000000A-6CAA-491D-B39A-C7CC198C994D}"/>
            </c:ext>
          </c:extLst>
        </c:ser>
        <c:ser>
          <c:idx val="11"/>
          <c:order val="11"/>
          <c:tx>
            <c:strRef>
              <c:f>'CAD Pedestal Elevs Method'!$P$195</c:f>
              <c:strCache>
                <c:ptCount val="1"/>
                <c:pt idx="0">
                  <c:v>Bearing pads</c:v>
                </c:pt>
              </c:strCache>
            </c:strRef>
          </c:tx>
          <c:spPr>
            <a:ln w="12700">
              <a:solidFill>
                <a:srgbClr val="6B7785"/>
              </a:solidFill>
              <a:prstDash val="solid"/>
            </a:ln>
          </c:spPr>
          <c:marker>
            <c:symbol val="none"/>
          </c:marker>
          <c:xVal>
            <c:numRef>
              <c:f>'CAD Pedestal Elevs Method'!$Q$195:$Q$205</c:f>
              <c:numCache>
                <c:formatCode>0.0000</c:formatCode>
                <c:ptCount val="11"/>
                <c:pt idx="0">
                  <c:v>-5.625</c:v>
                </c:pt>
                <c:pt idx="1">
                  <c:v>-2.9583333333333339</c:v>
                </c:pt>
                <c:pt idx="2">
                  <c:v>-2.9583333333333339</c:v>
                </c:pt>
                <c:pt idx="3">
                  <c:v>-5.625</c:v>
                </c:pt>
                <c:pt idx="4">
                  <c:v>-5.625</c:v>
                </c:pt>
                <c:pt idx="6">
                  <c:v>2.9583333333333339</c:v>
                </c:pt>
                <c:pt idx="7">
                  <c:v>5.625</c:v>
                </c:pt>
                <c:pt idx="8">
                  <c:v>5.625</c:v>
                </c:pt>
                <c:pt idx="9">
                  <c:v>2.9583333333333339</c:v>
                </c:pt>
                <c:pt idx="10">
                  <c:v>2.9583333333333339</c:v>
                </c:pt>
              </c:numCache>
            </c:numRef>
          </c:xVal>
          <c:yVal>
            <c:numRef>
              <c:f>'CAD Pedestal Elevs Method'!$R$195:$R$205</c:f>
              <c:numCache>
                <c:formatCode>0.0000</c:formatCode>
                <c:ptCount val="11"/>
                <c:pt idx="0">
                  <c:v>0.5</c:v>
                </c:pt>
                <c:pt idx="1">
                  <c:v>0.5</c:v>
                </c:pt>
                <c:pt idx="2">
                  <c:v>0.71354166666666663</c:v>
                </c:pt>
                <c:pt idx="3">
                  <c:v>0.71354166666666663</c:v>
                </c:pt>
                <c:pt idx="4">
                  <c:v>0.5</c:v>
                </c:pt>
                <c:pt idx="6">
                  <c:v>0.5</c:v>
                </c:pt>
                <c:pt idx="7">
                  <c:v>0.5</c:v>
                </c:pt>
                <c:pt idx="8">
                  <c:v>0.71354166666666663</c:v>
                </c:pt>
                <c:pt idx="9">
                  <c:v>0.71354166666666663</c:v>
                </c:pt>
                <c:pt idx="10">
                  <c:v>0.5</c:v>
                </c:pt>
              </c:numCache>
            </c:numRef>
          </c:yVal>
          <c:smooth val="0"/>
          <c:extLst>
            <c:ext xmlns:c16="http://schemas.microsoft.com/office/drawing/2014/chart" uri="{C3380CC4-5D6E-409C-BE32-E72D297353CC}">
              <c16:uniqueId val="{0000000B-6CAA-491D-B39A-C7CC198C994D}"/>
            </c:ext>
          </c:extLst>
        </c:ser>
        <c:ser>
          <c:idx val="12"/>
          <c:order val="12"/>
          <c:tx>
            <c:strRef>
              <c:f>'CAD Pedestal Elevs Method'!$P$207</c:f>
              <c:strCache>
                <c:ptCount val="1"/>
                <c:pt idx="0">
                  <c:v>cap top 43.2497</c:v>
                </c:pt>
              </c:strCache>
            </c:strRef>
          </c:tx>
          <c:spPr>
            <a:ln>
              <a:noFill/>
              <a:prstDash val="solid"/>
            </a:ln>
          </c:spPr>
          <c:marker>
            <c:symbol val="none"/>
          </c:marker>
          <c:dLbls>
            <c:spPr>
              <a:noFill/>
              <a:ln>
                <a:noFill/>
              </a:ln>
              <a:effectLst/>
            </c:spPr>
            <c:txPr>
              <a:bodyPr/>
              <a:lstStyle/>
              <a:p>
                <a:pPr>
                  <a:defRPr sz="750" b="0">
                    <a:solidFill>
                      <a:srgbClr val="2B6CB0"/>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Method'!$Q$207</c:f>
              <c:numCache>
                <c:formatCode>0.0000</c:formatCode>
                <c:ptCount val="1"/>
                <c:pt idx="0">
                  <c:v>0</c:v>
                </c:pt>
              </c:numCache>
            </c:numRef>
          </c:xVal>
          <c:yVal>
            <c:numRef>
              <c:f>'CAD Pedestal Elevs Method'!$R$207</c:f>
              <c:numCache>
                <c:formatCode>0.0000</c:formatCode>
                <c:ptCount val="1"/>
                <c:pt idx="0">
                  <c:v>0</c:v>
                </c:pt>
              </c:numCache>
            </c:numRef>
          </c:yVal>
          <c:smooth val="0"/>
          <c:extLst>
            <c:ext xmlns:c16="http://schemas.microsoft.com/office/drawing/2014/chart" uri="{C3380CC4-5D6E-409C-BE32-E72D297353CC}">
              <c16:uniqueId val="{0000000C-6CAA-491D-B39A-C7CC198C994D}"/>
            </c:ext>
          </c:extLst>
        </c:ser>
        <c:ser>
          <c:idx val="13"/>
          <c:order val="13"/>
          <c:tx>
            <c:strRef>
              <c:f>'CAD Pedestal Elevs Method'!$P$209</c:f>
              <c:strCache>
                <c:ptCount val="1"/>
                <c:pt idx="0">
                  <c:v>cap underside
40.2497</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Method'!$Q$209</c:f>
              <c:numCache>
                <c:formatCode>0.0000</c:formatCode>
                <c:ptCount val="1"/>
                <c:pt idx="0">
                  <c:v>0</c:v>
                </c:pt>
              </c:numCache>
            </c:numRef>
          </c:xVal>
          <c:yVal>
            <c:numRef>
              <c:f>'CAD Pedestal Elevs Method'!$R$209</c:f>
              <c:numCache>
                <c:formatCode>0.0000</c:formatCode>
                <c:ptCount val="1"/>
                <c:pt idx="0">
                  <c:v>-3</c:v>
                </c:pt>
              </c:numCache>
            </c:numRef>
          </c:yVal>
          <c:smooth val="0"/>
          <c:extLst>
            <c:ext xmlns:c16="http://schemas.microsoft.com/office/drawing/2014/chart" uri="{C3380CC4-5D6E-409C-BE32-E72D297353CC}">
              <c16:uniqueId val="{0000000D-6CAA-491D-B39A-C7CC198C994D}"/>
            </c:ext>
          </c:extLst>
        </c:ser>
        <c:ser>
          <c:idx val="14"/>
          <c:order val="14"/>
          <c:tx>
            <c:strRef>
              <c:f>'CAD Pedestal Elevs Method'!$P$212</c:f>
              <c:strCache>
                <c:ptCount val="1"/>
                <c:pt idx="0">
                  <c:v>Cap length</c:v>
                </c:pt>
              </c:strCache>
            </c:strRef>
          </c:tx>
          <c:spPr>
            <a:ln w="9525">
              <a:solidFill>
                <a:srgbClr val="1F2A36"/>
              </a:solidFill>
              <a:prstDash val="solid"/>
              <a:headEnd type="triangle" w="sm" len="sm"/>
              <a:tailEnd type="triangle" w="sm" len="sm"/>
            </a:ln>
          </c:spPr>
          <c:marker>
            <c:symbol val="none"/>
          </c:marker>
          <c:xVal>
            <c:numRef>
              <c:f>'CAD Pedestal Elevs Method'!$Q$212:$Q$213</c:f>
              <c:numCache>
                <c:formatCode>0.0000</c:formatCode>
                <c:ptCount val="2"/>
                <c:pt idx="0">
                  <c:v>-9.7916666666666661</c:v>
                </c:pt>
                <c:pt idx="1">
                  <c:v>9.7916666666666661</c:v>
                </c:pt>
              </c:numCache>
            </c:numRef>
          </c:xVal>
          <c:yVal>
            <c:numRef>
              <c:f>'CAD Pedestal Elevs Method'!$R$212:$R$213</c:f>
              <c:numCache>
                <c:formatCode>0.0000</c:formatCode>
                <c:ptCount val="2"/>
                <c:pt idx="0">
                  <c:v>-5.7</c:v>
                </c:pt>
                <c:pt idx="1">
                  <c:v>-5.7</c:v>
                </c:pt>
              </c:numCache>
            </c:numRef>
          </c:yVal>
          <c:smooth val="0"/>
          <c:extLst>
            <c:ext xmlns:c16="http://schemas.microsoft.com/office/drawing/2014/chart" uri="{C3380CC4-5D6E-409C-BE32-E72D297353CC}">
              <c16:uniqueId val="{0000000E-6CAA-491D-B39A-C7CC198C994D}"/>
            </c:ext>
          </c:extLst>
        </c:ser>
        <c:ser>
          <c:idx val="15"/>
          <c:order val="15"/>
          <c:tx>
            <c:strRef>
              <c:f>'CAD Pedestal Elevs Method'!$P$215</c:f>
              <c:strCache>
                <c:ptCount val="1"/>
                <c:pt idx="0">
                  <c:v>cap length 235.0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Method'!$Q$215</c:f>
              <c:numCache>
                <c:formatCode>0.0000</c:formatCode>
                <c:ptCount val="1"/>
                <c:pt idx="0">
                  <c:v>0</c:v>
                </c:pt>
              </c:numCache>
            </c:numRef>
          </c:xVal>
          <c:yVal>
            <c:numRef>
              <c:f>'CAD Pedestal Elevs Method'!$R$215</c:f>
              <c:numCache>
                <c:formatCode>0.0000</c:formatCode>
                <c:ptCount val="1"/>
                <c:pt idx="0">
                  <c:v>-5.7</c:v>
                </c:pt>
              </c:numCache>
            </c:numRef>
          </c:yVal>
          <c:smooth val="0"/>
          <c:extLst>
            <c:ext xmlns:c16="http://schemas.microsoft.com/office/drawing/2014/chart" uri="{C3380CC4-5D6E-409C-BE32-E72D297353CC}">
              <c16:uniqueId val="{0000000F-6CAA-491D-B39A-C7CC198C994D}"/>
            </c:ext>
          </c:extLst>
        </c:ser>
        <c:ser>
          <c:idx val="16"/>
          <c:order val="16"/>
          <c:tx>
            <c:strRef>
              <c:f>'CAD Pedestal Elevs Method'!$P$218</c:f>
              <c:strCache>
                <c:ptCount val="1"/>
                <c:pt idx="0">
                  <c:v>Out-to-out</c:v>
                </c:pt>
              </c:strCache>
            </c:strRef>
          </c:tx>
          <c:spPr>
            <a:ln w="9525">
              <a:solidFill>
                <a:srgbClr val="1F2A36"/>
              </a:solidFill>
              <a:prstDash val="solid"/>
              <a:headEnd type="triangle" w="sm" len="sm"/>
              <a:tailEnd type="triangle" w="sm" len="sm"/>
            </a:ln>
          </c:spPr>
          <c:marker>
            <c:symbol val="none"/>
          </c:marker>
          <c:xVal>
            <c:numRef>
              <c:f>'CAD Pedestal Elevs Method'!$Q$218:$Q$219</c:f>
              <c:numCache>
                <c:formatCode>0.0000</c:formatCode>
                <c:ptCount val="2"/>
                <c:pt idx="0">
                  <c:v>-10.458333333333332</c:v>
                </c:pt>
                <c:pt idx="1">
                  <c:v>10.458333333333332</c:v>
                </c:pt>
              </c:numCache>
            </c:numRef>
          </c:xVal>
          <c:yVal>
            <c:numRef>
              <c:f>'CAD Pedestal Elevs Method'!$R$218:$R$219</c:f>
              <c:numCache>
                <c:formatCode>0.0000</c:formatCode>
                <c:ptCount val="2"/>
                <c:pt idx="0">
                  <c:v>-6.2</c:v>
                </c:pt>
                <c:pt idx="1">
                  <c:v>-6.2</c:v>
                </c:pt>
              </c:numCache>
            </c:numRef>
          </c:yVal>
          <c:smooth val="0"/>
          <c:extLst>
            <c:ext xmlns:c16="http://schemas.microsoft.com/office/drawing/2014/chart" uri="{C3380CC4-5D6E-409C-BE32-E72D297353CC}">
              <c16:uniqueId val="{00000010-6CAA-491D-B39A-C7CC198C994D}"/>
            </c:ext>
          </c:extLst>
        </c:ser>
        <c:ser>
          <c:idx val="17"/>
          <c:order val="17"/>
          <c:tx>
            <c:strRef>
              <c:f>'CAD Pedestal Elevs Method'!$P$221</c:f>
              <c:strCache>
                <c:ptCount val="1"/>
                <c:pt idx="0">
                  <c:v>out-to-out with cheeks 251.0 in</c:v>
                </c:pt>
              </c:strCache>
            </c:strRef>
          </c:tx>
          <c:spPr>
            <a:ln>
              <a:noFill/>
              <a:prstDash val="solid"/>
            </a:ln>
          </c:spPr>
          <c:marker>
            <c:symbol val="none"/>
          </c:marker>
          <c:dLbls>
            <c:spPr>
              <a:noFill/>
              <a:ln>
                <a:noFill/>
              </a:ln>
              <a:effectLst/>
            </c:spPr>
            <c:txPr>
              <a:bodyPr/>
              <a:lstStyle/>
              <a:p>
                <a:pPr>
                  <a:defRPr sz="700" b="0">
                    <a:solidFill>
                      <a:srgbClr val="1F2A36"/>
                    </a:solidFill>
                  </a:defRPr>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'CAD Pedestal Elevs Method'!$Q$221</c:f>
              <c:numCache>
                <c:formatCode>0.0000</c:formatCode>
                <c:ptCount val="1"/>
                <c:pt idx="0">
                  <c:v>0</c:v>
                </c:pt>
              </c:numCache>
            </c:numRef>
          </c:xVal>
          <c:yVal>
            <c:numRef>
              <c:f>'CAD Pedestal Elevs Method'!$R$221</c:f>
              <c:numCache>
                <c:formatCode>0.0000</c:formatCode>
                <c:ptCount val="1"/>
                <c:pt idx="0">
                  <c:v>-6.2</c:v>
                </c:pt>
              </c:numCache>
            </c:numRef>
          </c:yVal>
          <c:smooth val="0"/>
          <c:extLst>
            <c:ext xmlns:c16="http://schemas.microsoft.com/office/drawing/2014/chart" uri="{C3380CC4-5D6E-409C-BE32-E72D297353CC}">
              <c16:uniqueId val="{00000011-6CAA-491D-B39A-C7CC198C994D}"/>
            </c:ext>
          </c:extLst>
        </c:ser>
        <c:ser>
          <c:idx val="18"/>
          <c:order val="18"/>
          <c:tx>
            <c:strRef>
              <c:f>'CAD Pedestal Elevs Method'!$P$224</c:f>
              <c:strCache>
                <c:ptCount val="1"/>
                <c:pt idx="0">
                  <c:v>frame (invisible, sets the chart window)</c:v>
                </c:pt>
              </c:strCache>
            </c:strRef>
          </c:tx>
          <c:spPr>
            <a:ln>
              <a:noFill/>
              <a:prstDash val="solid"/>
            </a:ln>
          </c:spPr>
          <c:marker>
            <c:symbol val="none"/>
          </c:marker>
          <c:xVal>
            <c:numRef>
              <c:f>'CAD Pedestal Elevs Method'!$Q$224:$Q$225</c:f>
              <c:numCache>
                <c:formatCode>0.0000</c:formatCode>
                <c:ptCount val="2"/>
                <c:pt idx="0">
                  <c:v>-11.091666666666667</c:v>
                </c:pt>
                <c:pt idx="1">
                  <c:v>11.091666666666667</c:v>
                </c:pt>
              </c:numCache>
            </c:numRef>
          </c:xVal>
          <c:yVal>
            <c:numRef>
              <c:f>'CAD Pedestal Elevs Method'!$R$224:$R$225</c:f>
              <c:numCache>
                <c:formatCode>0.0000</c:formatCode>
                <c:ptCount val="2"/>
                <c:pt idx="0">
                  <c:v>-7</c:v>
                </c:pt>
                <c:pt idx="1">
                  <c:v>6.0273505516869434</c:v>
                </c:pt>
              </c:numCache>
            </c:numRef>
          </c:yVal>
          <c:smooth val="0"/>
          <c:extLst>
            <c:ext xmlns:c16="http://schemas.microsoft.com/office/drawing/2014/chart" uri="{C3380CC4-5D6E-409C-BE32-E72D297353CC}">
              <c16:uniqueId val="{00000012-6CAA-491D-B39A-C7CC198C994D}"/>
            </c:ext>
          </c:extLst>
        </c:ser>
        <c:dLbls>
          <c:showLegendKey val="0"/>
          <c:showVal val="0"/>
          <c:showCatName val="0"/>
          <c:showSerName val="0"/>
          <c:showPercent val="0"/>
          <c:showBubbleSize val="0"/>
        </c:dLbls>
        <c:axId val="10"/>
        <c:axId val="20"/>
      </c:scatterChart>
      <c:valAx>
        <c:axId val="10"/>
        <c:scaling>
          <c:orientation val="minMax"/>
        </c:scaling>
        <c:delete val="0"/>
        <c:axPos val="b"/>
        <c:title>
          <c:tx>
            <c:rich>
              <a:bodyPr/>
              <a:lstStyle/>
              <a:p>
                <a:pPr>
                  <a:defRPr/>
                </a:pPr>
                <a:r>
                  <a:t>Offset from PGL (ft), looking up-station</a:t>
                </a:r>
              </a:p>
            </c:rich>
          </c:tx>
          <c:overlay val="0"/>
        </c:title>
        <c:numFmt formatCode="0" sourceLinked="0"/>
        <c:majorTickMark val="out"/>
        <c:minorTickMark val="none"/>
        <c:tickLblPos val="nextTo"/>
        <c:txPr>
          <a:bodyPr/>
          <a:lstStyle/>
          <a:p>
            <a:pPr>
              <a:defRPr sz="800" b="0">
                <a:solidFill>
                  <a:srgbClr val="5A6570"/>
                </a:solidFill>
              </a:defRPr>
            </a:pPr>
            <a:endParaRPr lang="en-US"/>
          </a:p>
        </c:txPr>
        <c:crossAx val="20"/>
        <c:crosses val="min"/>
        <c:crossBetween val="midCat"/>
      </c:valAx>
      <c:valAx>
        <c:axId val="20"/>
        <c:scaling>
          <c:orientation val="minMax"/>
        </c:scaling>
        <c:delete val="1"/>
        <c:axPos val="l"/>
        <c:numFmt formatCode="General" sourceLinked="0"/>
        <c:majorTickMark val="out"/>
        <c:minorTickMark val="none"/>
        <c:tickLblPos val="nextTo"/>
        <c:crossAx val="10"/>
        <c:crosses val="min"/>
        <c:crossBetween val="midCat"/>
      </c:valAx>
    </c:plotArea>
    <c:plotVisOnly val="0"/>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 Id="rId9" Type="http://schemas.openxmlformats.org/officeDocument/2006/relationships/image" Target="../media/image24.png"/></Relationships>
</file>

<file path=xl/drawings/_rels/drawing5.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28.png"/><Relationship Id="rId7" Type="http://schemas.openxmlformats.org/officeDocument/2006/relationships/image" Target="../media/image32.png"/><Relationship Id="rId2" Type="http://schemas.openxmlformats.org/officeDocument/2006/relationships/image" Target="../media/image27.png"/><Relationship Id="rId1" Type="http://schemas.openxmlformats.org/officeDocument/2006/relationships/chart" Target="../charts/chart6.xml"/><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29.png"/></Relationships>
</file>

<file path=xl/drawings/_rels/drawing7.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36.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_rels/drawing8.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chart" Target="../charts/chart9.xml"/><Relationship Id="rId5" Type="http://schemas.openxmlformats.org/officeDocument/2006/relationships/image" Target="../media/image44.png"/><Relationship Id="rId4" Type="http://schemas.openxmlformats.org/officeDocument/2006/relationships/image" Target="../media/image43.png"/></Relationships>
</file>

<file path=xl/drawings/_rels/drawing9.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31.png"/><Relationship Id="rId4" Type="http://schemas.openxmlformats.org/officeDocument/2006/relationships/image" Target="../media/image4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6810375" cy="22574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29</xdr:row>
      <xdr:rowOff>0</xdr:rowOff>
    </xdr:from>
    <xdr:ext cx="3829050" cy="3333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20</xdr:row>
      <xdr:rowOff>0</xdr:rowOff>
    </xdr:from>
    <xdr:ext cx="864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45</xdr:row>
      <xdr:rowOff>0</xdr:rowOff>
    </xdr:from>
    <xdr:ext cx="8640000" cy="378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xdr:row>
      <xdr:rowOff>0</xdr:rowOff>
    </xdr:from>
    <xdr:ext cx="2657475" cy="390525"/>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9</xdr:row>
      <xdr:rowOff>0</xdr:rowOff>
    </xdr:from>
    <xdr:ext cx="2152650" cy="36195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12</xdr:row>
      <xdr:rowOff>0</xdr:rowOff>
    </xdr:from>
    <xdr:ext cx="6191250" cy="32385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17</xdr:row>
      <xdr:rowOff>0</xdr:rowOff>
    </xdr:from>
    <xdr:ext cx="6000750" cy="390525"/>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42</xdr:row>
      <xdr:rowOff>0</xdr:rowOff>
    </xdr:from>
    <xdr:ext cx="6810375" cy="323850"/>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69</xdr:row>
      <xdr:rowOff>0</xdr:rowOff>
    </xdr:from>
    <xdr:ext cx="3162300" cy="49530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73</xdr:row>
      <xdr:rowOff>0</xdr:rowOff>
    </xdr:from>
    <xdr:ext cx="6581775" cy="447675"/>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6</xdr:row>
      <xdr:rowOff>0</xdr:rowOff>
    </xdr:from>
    <xdr:ext cx="7077075" cy="37147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10</xdr:row>
      <xdr:rowOff>0</xdr:rowOff>
    </xdr:from>
    <xdr:ext cx="7029450" cy="2466975"/>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34</xdr:row>
      <xdr:rowOff>0</xdr:rowOff>
    </xdr:from>
    <xdr:ext cx="5991225" cy="457200"/>
    <xdr:pic>
      <xdr:nvPicPr>
        <xdr:cNvPr id="4" name="Image 3" descr="Picture">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40</xdr:row>
      <xdr:rowOff>0</xdr:rowOff>
    </xdr:from>
    <xdr:ext cx="5724525" cy="323850"/>
    <xdr:pic>
      <xdr:nvPicPr>
        <xdr:cNvPr id="5" name="Image 4" descr="Picture">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43</xdr:row>
      <xdr:rowOff>0</xdr:rowOff>
    </xdr:from>
    <xdr:ext cx="8115300" cy="323850"/>
    <xdr:pic>
      <xdr:nvPicPr>
        <xdr:cNvPr id="6" name="Image 5"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47</xdr:row>
      <xdr:rowOff>0</xdr:rowOff>
    </xdr:from>
    <xdr:ext cx="5010150" cy="428625"/>
    <xdr:pic>
      <xdr:nvPicPr>
        <xdr:cNvPr id="7" name="Image 6" descr="Picture">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50</xdr:row>
      <xdr:rowOff>0</xdr:rowOff>
    </xdr:from>
    <xdr:ext cx="3228975" cy="361950"/>
    <xdr:pic>
      <xdr:nvPicPr>
        <xdr:cNvPr id="8" name="Image 7" descr="Picture">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54</xdr:row>
      <xdr:rowOff>0</xdr:rowOff>
    </xdr:from>
    <xdr:ext cx="6457950" cy="2257425"/>
    <xdr:pic>
      <xdr:nvPicPr>
        <xdr:cNvPr id="9" name="Image 8" descr="Picture">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29</xdr:row>
      <xdr:rowOff>0</xdr:rowOff>
    </xdr:from>
    <xdr:ext cx="8640000" cy="306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47</xdr:row>
      <xdr:rowOff>0</xdr:rowOff>
    </xdr:from>
    <xdr:ext cx="8640000" cy="3060000"/>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xdr:row>
      <xdr:rowOff>0</xdr:rowOff>
    </xdr:from>
    <xdr:ext cx="6238875" cy="371475"/>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9</xdr:row>
      <xdr:rowOff>0</xdr:rowOff>
    </xdr:from>
    <xdr:ext cx="4438650" cy="333375"/>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14</xdr:row>
      <xdr:rowOff>0</xdr:rowOff>
    </xdr:from>
    <xdr:ext cx="3076575" cy="333375"/>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18</xdr:row>
      <xdr:rowOff>0</xdr:rowOff>
    </xdr:from>
    <xdr:ext cx="5448300" cy="38100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21</xdr:row>
      <xdr:rowOff>0</xdr:rowOff>
    </xdr:from>
    <xdr:ext cx="5143500" cy="428625"/>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25</xdr:row>
      <xdr:rowOff>0</xdr:rowOff>
    </xdr:from>
    <xdr:ext cx="3990975" cy="438150"/>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68</xdr:row>
      <xdr:rowOff>0</xdr:rowOff>
    </xdr:from>
    <xdr:ext cx="8553450" cy="390525"/>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15</xdr:row>
      <xdr:rowOff>0</xdr:rowOff>
    </xdr:from>
    <xdr:ext cx="864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6</xdr:row>
      <xdr:rowOff>0</xdr:rowOff>
    </xdr:from>
    <xdr:ext cx="3924300" cy="381000"/>
    <xdr:pic>
      <xdr:nvPicPr>
        <xdr:cNvPr id="3" name="Image 2" descr="Picture">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11</xdr:row>
      <xdr:rowOff>0</xdr:rowOff>
    </xdr:from>
    <xdr:ext cx="2219325" cy="323850"/>
    <xdr:pic>
      <xdr:nvPicPr>
        <xdr:cNvPr id="4" name="Image 3" descr="Picture">
          <a:extLst>
            <a:ext uri="{FF2B5EF4-FFF2-40B4-BE49-F238E27FC236}">
              <a16:creationId xmlns:a16="http://schemas.microsoft.com/office/drawing/2014/main" id="{00000000-0008-0000-0A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48</xdr:row>
      <xdr:rowOff>0</xdr:rowOff>
    </xdr:from>
    <xdr:ext cx="8640000" cy="2880000"/>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6</xdr:row>
      <xdr:rowOff>0</xdr:rowOff>
    </xdr:from>
    <xdr:ext cx="5191125" cy="438150"/>
    <xdr:pic>
      <xdr:nvPicPr>
        <xdr:cNvPr id="3" name="Image 2" descr="Pictur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9</xdr:row>
      <xdr:rowOff>0</xdr:rowOff>
    </xdr:from>
    <xdr:ext cx="3943350" cy="333375"/>
    <xdr:pic>
      <xdr:nvPicPr>
        <xdr:cNvPr id="4" name="Image 3" descr="Picture">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12</xdr:row>
      <xdr:rowOff>0</xdr:rowOff>
    </xdr:from>
    <xdr:ext cx="6324600" cy="2400300"/>
    <xdr:pic>
      <xdr:nvPicPr>
        <xdr:cNvPr id="5" name="Image 4" descr="Picture">
          <a:extLst>
            <a:ext uri="{FF2B5EF4-FFF2-40B4-BE49-F238E27FC236}">
              <a16:creationId xmlns:a16="http://schemas.microsoft.com/office/drawing/2014/main" id="{00000000-0008-0000-0C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29</xdr:row>
      <xdr:rowOff>0</xdr:rowOff>
    </xdr:from>
    <xdr:ext cx="5829300" cy="333375"/>
    <xdr:pic>
      <xdr:nvPicPr>
        <xdr:cNvPr id="6" name="Image 5" descr="Picture">
          <a:extLst>
            <a:ext uri="{FF2B5EF4-FFF2-40B4-BE49-F238E27FC236}">
              <a16:creationId xmlns:a16="http://schemas.microsoft.com/office/drawing/2014/main" id="{00000000-0008-0000-0C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32</xdr:row>
      <xdr:rowOff>0</xdr:rowOff>
    </xdr:from>
    <xdr:ext cx="6696075" cy="2600325"/>
    <xdr:pic>
      <xdr:nvPicPr>
        <xdr:cNvPr id="7" name="Image 6" descr="Picture">
          <a:extLst>
            <a:ext uri="{FF2B5EF4-FFF2-40B4-BE49-F238E27FC236}">
              <a16:creationId xmlns:a16="http://schemas.microsoft.com/office/drawing/2014/main" id="{00000000-0008-0000-0C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67</xdr:row>
      <xdr:rowOff>0</xdr:rowOff>
    </xdr:from>
    <xdr:ext cx="9601200" cy="323850"/>
    <xdr:pic>
      <xdr:nvPicPr>
        <xdr:cNvPr id="8" name="Image 7" descr="Picture">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22</xdr:row>
      <xdr:rowOff>0</xdr:rowOff>
    </xdr:from>
    <xdr:ext cx="8640000" cy="360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43</xdr:row>
      <xdr:rowOff>0</xdr:rowOff>
    </xdr:from>
    <xdr:ext cx="8640000" cy="360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5</xdr:row>
      <xdr:rowOff>0</xdr:rowOff>
    </xdr:from>
    <xdr:ext cx="5257800" cy="352425"/>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8</xdr:row>
      <xdr:rowOff>0</xdr:rowOff>
    </xdr:from>
    <xdr:ext cx="6200775" cy="333375"/>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14</xdr:row>
      <xdr:rowOff>0</xdr:rowOff>
    </xdr:from>
    <xdr:ext cx="6429375" cy="495300"/>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19</xdr:row>
      <xdr:rowOff>0</xdr:rowOff>
    </xdr:from>
    <xdr:ext cx="5353050" cy="361950"/>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67</xdr:row>
      <xdr:rowOff>0</xdr:rowOff>
    </xdr:from>
    <xdr:ext cx="7029450" cy="333375"/>
    <xdr:pic>
      <xdr:nvPicPr>
        <xdr:cNvPr id="8" name="Image 7" descr="Picture">
          <a:extLst>
            <a:ext uri="{FF2B5EF4-FFF2-40B4-BE49-F238E27FC236}">
              <a16:creationId xmlns:a16="http://schemas.microsoft.com/office/drawing/2014/main" id="{00000000-0008-0000-0E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70</xdr:row>
      <xdr:rowOff>0</xdr:rowOff>
    </xdr:from>
    <xdr:ext cx="8143875" cy="476250"/>
    <xdr:pic>
      <xdr:nvPicPr>
        <xdr:cNvPr id="9" name="Image 8" descr="Picture">
          <a:extLst>
            <a:ext uri="{FF2B5EF4-FFF2-40B4-BE49-F238E27FC236}">
              <a16:creationId xmlns:a16="http://schemas.microsoft.com/office/drawing/2014/main" id="{00000000-0008-0000-0E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74</xdr:row>
      <xdr:rowOff>0</xdr:rowOff>
    </xdr:from>
    <xdr:ext cx="6181725" cy="333375"/>
    <xdr:pic>
      <xdr:nvPicPr>
        <xdr:cNvPr id="10" name="Image 9" descr="Picture">
          <a:extLst>
            <a:ext uri="{FF2B5EF4-FFF2-40B4-BE49-F238E27FC236}">
              <a16:creationId xmlns:a16="http://schemas.microsoft.com/office/drawing/2014/main" id="{00000000-0008-0000-0E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77</xdr:row>
      <xdr:rowOff>0</xdr:rowOff>
    </xdr:from>
    <xdr:ext cx="4610100" cy="333375"/>
    <xdr:pic>
      <xdr:nvPicPr>
        <xdr:cNvPr id="11" name="Image 10" descr="Picture">
          <a:extLst>
            <a:ext uri="{FF2B5EF4-FFF2-40B4-BE49-F238E27FC236}">
              <a16:creationId xmlns:a16="http://schemas.microsoft.com/office/drawing/2014/main" id="{00000000-0008-0000-0E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19</xdr:row>
      <xdr:rowOff>0</xdr:rowOff>
    </xdr:from>
    <xdr:ext cx="8640000" cy="2160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13</xdr:row>
      <xdr:rowOff>0</xdr:rowOff>
    </xdr:from>
    <xdr:ext cx="7229475" cy="438150"/>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16</xdr:row>
      <xdr:rowOff>0</xdr:rowOff>
    </xdr:from>
    <xdr:ext cx="5943600" cy="361950"/>
    <xdr:pic>
      <xdr:nvPicPr>
        <xdr:cNvPr id="4" name="Image 3" descr="Picture">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34</xdr:row>
      <xdr:rowOff>0</xdr:rowOff>
    </xdr:from>
    <xdr:ext cx="6315075" cy="390525"/>
    <xdr:pic>
      <xdr:nvPicPr>
        <xdr:cNvPr id="5" name="Image 4" descr="Picture">
          <a:extLst>
            <a:ext uri="{FF2B5EF4-FFF2-40B4-BE49-F238E27FC236}">
              <a16:creationId xmlns:a16="http://schemas.microsoft.com/office/drawing/2014/main" id="{00000000-0008-0000-1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37</xdr:row>
      <xdr:rowOff>0</xdr:rowOff>
    </xdr:from>
    <xdr:ext cx="6648450" cy="428625"/>
    <xdr:pic>
      <xdr:nvPicPr>
        <xdr:cNvPr id="6" name="Image 5" descr="Picture">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11</xdr:row>
      <xdr:rowOff>0</xdr:rowOff>
    </xdr:from>
    <xdr:ext cx="8640000" cy="3240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xdr:row>
      <xdr:rowOff>0</xdr:rowOff>
    </xdr:from>
    <xdr:ext cx="5391150" cy="352425"/>
    <xdr:pic>
      <xdr:nvPicPr>
        <xdr:cNvPr id="3" name="Image 2" descr="Picture">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8</xdr:row>
      <xdr:rowOff>0</xdr:rowOff>
    </xdr:from>
    <xdr:ext cx="8267700" cy="381000"/>
    <xdr:pic>
      <xdr:nvPicPr>
        <xdr:cNvPr id="4" name="Image 3" descr="Picture">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7</xdr:row>
      <xdr:rowOff>0</xdr:rowOff>
    </xdr:from>
    <xdr:ext cx="8640000" cy="3600000"/>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xdr:row>
      <xdr:rowOff>0</xdr:rowOff>
    </xdr:from>
    <xdr:ext cx="2219325" cy="323850"/>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14</xdr:row>
      <xdr:rowOff>0</xdr:rowOff>
    </xdr:from>
    <xdr:ext cx="8640000" cy="3060000"/>
    <xdr:graphicFrame macro="">
      <xdr:nvGraphicFramePr>
        <xdr:cNvPr id="2" name="Chart 1">
          <a:extLst>
            <a:ext uri="{FF2B5EF4-FFF2-40B4-BE49-F238E27FC236}">
              <a16:creationId xmlns:a16="http://schemas.microsoft.com/office/drawing/2014/main" id="{00000000-0008-0000-1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10</xdr:row>
      <xdr:rowOff>0</xdr:rowOff>
    </xdr:from>
    <xdr:ext cx="2276475" cy="323850"/>
    <xdr:pic>
      <xdr:nvPicPr>
        <xdr:cNvPr id="3" name="Image 2" descr="Picture">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xdr:row>
      <xdr:rowOff>0</xdr:rowOff>
    </xdr:from>
    <xdr:ext cx="6457950" cy="2257425"/>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10</xdr:row>
      <xdr:rowOff>0</xdr:rowOff>
    </xdr:from>
    <xdr:ext cx="6324600" cy="24003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23</xdr:row>
      <xdr:rowOff>0</xdr:rowOff>
    </xdr:from>
    <xdr:ext cx="8640000" cy="2880000"/>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41</xdr:row>
      <xdr:rowOff>0</xdr:rowOff>
    </xdr:from>
    <xdr:ext cx="8640000" cy="3600000"/>
    <xdr:graphicFrame macro="">
      <xdr:nvGraphicFramePr>
        <xdr:cNvPr id="3" name="Chart 2">
          <a:extLst>
            <a:ext uri="{FF2B5EF4-FFF2-40B4-BE49-F238E27FC236}">
              <a16:creationId xmlns:a16="http://schemas.microsoft.com/office/drawing/2014/main" id="{00000000-0008-0000-1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63</xdr:row>
      <xdr:rowOff>0</xdr:rowOff>
    </xdr:from>
    <xdr:ext cx="8640000" cy="3600000"/>
    <xdr:graphicFrame macro="">
      <xdr:nvGraphicFramePr>
        <xdr:cNvPr id="4" name="Chart 3">
          <a:extLst>
            <a:ext uri="{FF2B5EF4-FFF2-40B4-BE49-F238E27FC236}">
              <a16:creationId xmlns:a16="http://schemas.microsoft.com/office/drawing/2014/main" id="{00000000-0008-0000-1C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4</xdr:row>
      <xdr:rowOff>0</xdr:rowOff>
    </xdr:from>
    <xdr:ext cx="2076450" cy="333375"/>
    <xdr:pic>
      <xdr:nvPicPr>
        <xdr:cNvPr id="5" name="Image 4" descr="Picture">
          <a:extLst>
            <a:ext uri="{FF2B5EF4-FFF2-40B4-BE49-F238E27FC236}">
              <a16:creationId xmlns:a16="http://schemas.microsoft.com/office/drawing/2014/main" id="{00000000-0008-0000-1C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7</xdr:row>
      <xdr:rowOff>0</xdr:rowOff>
    </xdr:from>
    <xdr:ext cx="6696075" cy="2600325"/>
    <xdr:pic>
      <xdr:nvPicPr>
        <xdr:cNvPr id="6" name="Image 5" descr="Picture">
          <a:extLst>
            <a:ext uri="{FF2B5EF4-FFF2-40B4-BE49-F238E27FC236}">
              <a16:creationId xmlns:a16="http://schemas.microsoft.com/office/drawing/2014/main" id="{00000000-0008-0000-1C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4</xdr:row>
      <xdr:rowOff>0</xdr:rowOff>
    </xdr:from>
    <xdr:ext cx="5400675" cy="323850"/>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7</xdr:row>
      <xdr:rowOff>0</xdr:rowOff>
    </xdr:from>
    <xdr:ext cx="6810375" cy="2257425"/>
    <xdr:pic>
      <xdr:nvPicPr>
        <xdr:cNvPr id="3" name="Image 2" descr="Picture">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B6CB0"/>
  </sheetPr>
  <dimension ref="B2:C70"/>
  <sheetViews>
    <sheetView showGridLines="0" tabSelected="1" workbookViewId="0"/>
  </sheetViews>
  <sheetFormatPr defaultRowHeight="14.25" x14ac:dyDescent="0.45"/>
  <cols>
    <col min="1" max="1" width="3" customWidth="1"/>
    <col min="2" max="2" width="34" customWidth="1"/>
    <col min="3" max="3" width="90" customWidth="1"/>
    <col min="4" max="4" width="20" customWidth="1"/>
  </cols>
  <sheetData>
    <row r="2" spans="2:3" ht="22.5" x14ac:dyDescent="0.6">
      <c r="B2" s="1" t="s">
        <v>0</v>
      </c>
    </row>
    <row r="3" spans="2:3" x14ac:dyDescent="0.45">
      <c r="B3" s="2" t="str">
        <f>TB_Project&amp;" | "&amp;TB_Structure</f>
        <v>D2 I-95 Pedestrian Bridge | B4 pedestrian bridge - 2 x FIB-36, two simple spans</v>
      </c>
    </row>
    <row r="5" spans="2:3" ht="30" customHeight="1" x14ac:dyDescent="0.45">
      <c r="B5" s="3" t="s">
        <v>1</v>
      </c>
      <c r="C5" s="4" t="s">
        <v>2</v>
      </c>
    </row>
    <row r="6" spans="2:3" ht="30" customHeight="1" x14ac:dyDescent="0.45">
      <c r="B6" s="3" t="s">
        <v>3</v>
      </c>
      <c r="C6" s="4" t="s">
        <v>4</v>
      </c>
    </row>
    <row r="7" spans="2:3" ht="30" customHeight="1" x14ac:dyDescent="0.45">
      <c r="B7" s="3" t="s">
        <v>5</v>
      </c>
      <c r="C7" s="4" t="s">
        <v>6</v>
      </c>
    </row>
    <row r="8" spans="2:3" ht="16.05" customHeight="1" x14ac:dyDescent="0.45">
      <c r="B8" s="3" t="s">
        <v>7</v>
      </c>
      <c r="C8" s="5" t="str">
        <f>QC_Overall&amp;"  ("&amp;QC_Counts&amp;")"</f>
        <v>PASS  (181 pass / 0 fail / 1 check)</v>
      </c>
    </row>
    <row r="9" spans="2:3" ht="30" customHeight="1" x14ac:dyDescent="0.45">
      <c r="B9" s="3" t="s">
        <v>8</v>
      </c>
      <c r="C9" s="5" t="str">
        <f>IF(Inputs_Edited=0,"Inputs match the notebook build: tables and Method-tab charts show the notebook geometry.",Inputs_Edited&amp;" input(s) edited since the build. Tables and charts follow the edits, which no longer match the notebook. Update the notebook CONFIG and rebuild.")</f>
        <v>Inputs match the notebook build: tables and Method-tab charts show the notebook geometry.</v>
      </c>
    </row>
    <row r="10" spans="2:3" ht="30" customHeight="1" x14ac:dyDescent="0.45">
      <c r="B10" s="3" t="s">
        <v>9</v>
      </c>
      <c r="C10" s="4" t="s">
        <v>10</v>
      </c>
    </row>
    <row r="11" spans="2:3" ht="16.05" customHeight="1" x14ac:dyDescent="0.45">
      <c r="B11" s="3" t="s">
        <v>11</v>
      </c>
      <c r="C11" s="4" t="s">
        <v>2702</v>
      </c>
    </row>
    <row r="12" spans="2:3" ht="16.05" customHeight="1" x14ac:dyDescent="0.45">
      <c r="B12" s="3" t="s">
        <v>12</v>
      </c>
      <c r="C12" s="4" t="s">
        <v>2703</v>
      </c>
    </row>
    <row r="13" spans="2:3" ht="16.05" customHeight="1" x14ac:dyDescent="0.45">
      <c r="B13" s="3" t="s">
        <v>13</v>
      </c>
      <c r="C13" s="4" t="s">
        <v>2704</v>
      </c>
    </row>
    <row r="14" spans="2:3" ht="16.05" customHeight="1" x14ac:dyDescent="0.45">
      <c r="B14" s="3" t="s">
        <v>14</v>
      </c>
      <c r="C14" s="4" t="s">
        <v>2705</v>
      </c>
    </row>
    <row r="16" spans="2:3" x14ac:dyDescent="0.45">
      <c r="B16" s="6" t="s">
        <v>15</v>
      </c>
    </row>
    <row r="17" spans="2:3" x14ac:dyDescent="0.45">
      <c r="B17" s="7" t="s">
        <v>16</v>
      </c>
      <c r="C17" s="8" t="s">
        <v>2706</v>
      </c>
    </row>
    <row r="18" spans="2:3" x14ac:dyDescent="0.45">
      <c r="B18" s="7" t="s">
        <v>17</v>
      </c>
      <c r="C18" s="8" t="s">
        <v>18</v>
      </c>
    </row>
    <row r="19" spans="2:3" x14ac:dyDescent="0.45">
      <c r="B19" s="7" t="s">
        <v>19</v>
      </c>
      <c r="C19" s="8" t="s">
        <v>20</v>
      </c>
    </row>
    <row r="20" spans="2:3" x14ac:dyDescent="0.45">
      <c r="B20" s="7" t="s">
        <v>21</v>
      </c>
      <c r="C20" s="8" t="s">
        <v>22</v>
      </c>
    </row>
    <row r="22" spans="2:3" x14ac:dyDescent="0.45">
      <c r="B22" s="6" t="s">
        <v>23</v>
      </c>
    </row>
    <row r="23" spans="2:3" x14ac:dyDescent="0.45">
      <c r="B23" s="9" t="s">
        <v>24</v>
      </c>
      <c r="C23" s="4" t="s">
        <v>25</v>
      </c>
    </row>
    <row r="24" spans="2:3" x14ac:dyDescent="0.45">
      <c r="B24" s="9" t="s">
        <v>26</v>
      </c>
      <c r="C24" s="4" t="s">
        <v>27</v>
      </c>
    </row>
    <row r="25" spans="2:3" x14ac:dyDescent="0.45">
      <c r="B25" s="9" t="s">
        <v>28</v>
      </c>
      <c r="C25" s="4" t="s">
        <v>29</v>
      </c>
    </row>
    <row r="26" spans="2:3" x14ac:dyDescent="0.45">
      <c r="B26" s="9" t="s">
        <v>30</v>
      </c>
      <c r="C26" s="4" t="s">
        <v>31</v>
      </c>
    </row>
    <row r="27" spans="2:3" x14ac:dyDescent="0.45">
      <c r="B27" s="9" t="s">
        <v>32</v>
      </c>
      <c r="C27" s="4" t="s">
        <v>33</v>
      </c>
    </row>
    <row r="28" spans="2:3" x14ac:dyDescent="0.45">
      <c r="B28" s="9" t="s">
        <v>34</v>
      </c>
      <c r="C28" s="4" t="s">
        <v>35</v>
      </c>
    </row>
    <row r="29" spans="2:3" x14ac:dyDescent="0.45">
      <c r="B29" s="9" t="s">
        <v>36</v>
      </c>
      <c r="C29" s="4" t="s">
        <v>37</v>
      </c>
    </row>
    <row r="30" spans="2:3" x14ac:dyDescent="0.45">
      <c r="B30" s="9" t="s">
        <v>38</v>
      </c>
      <c r="C30" s="4" t="s">
        <v>39</v>
      </c>
    </row>
    <row r="31" spans="2:3" x14ac:dyDescent="0.45">
      <c r="B31" s="9" t="s">
        <v>40</v>
      </c>
      <c r="C31" s="4" t="s">
        <v>41</v>
      </c>
    </row>
    <row r="32" spans="2:3" x14ac:dyDescent="0.45">
      <c r="B32" s="9" t="s">
        <v>42</v>
      </c>
      <c r="C32" s="4" t="s">
        <v>43</v>
      </c>
    </row>
    <row r="33" spans="2:3" x14ac:dyDescent="0.45">
      <c r="B33" s="9" t="s">
        <v>44</v>
      </c>
      <c r="C33" s="4" t="s">
        <v>45</v>
      </c>
    </row>
    <row r="34" spans="2:3" x14ac:dyDescent="0.45">
      <c r="B34" s="9" t="s">
        <v>46</v>
      </c>
      <c r="C34" s="4" t="s">
        <v>47</v>
      </c>
    </row>
    <row r="35" spans="2:3" x14ac:dyDescent="0.45">
      <c r="B35" s="9" t="s">
        <v>48</v>
      </c>
      <c r="C35" s="4" t="s">
        <v>49</v>
      </c>
    </row>
    <row r="36" spans="2:3" x14ac:dyDescent="0.45">
      <c r="B36" s="9" t="s">
        <v>50</v>
      </c>
      <c r="C36" s="4" t="s">
        <v>51</v>
      </c>
    </row>
    <row r="37" spans="2:3" x14ac:dyDescent="0.45">
      <c r="B37" s="9" t="s">
        <v>52</v>
      </c>
      <c r="C37" s="4" t="s">
        <v>53</v>
      </c>
    </row>
    <row r="38" spans="2:3" x14ac:dyDescent="0.45">
      <c r="B38" s="9" t="s">
        <v>54</v>
      </c>
      <c r="C38" s="4" t="s">
        <v>55</v>
      </c>
    </row>
    <row r="39" spans="2:3" x14ac:dyDescent="0.45">
      <c r="B39" s="9" t="s">
        <v>56</v>
      </c>
      <c r="C39" s="4" t="s">
        <v>57</v>
      </c>
    </row>
    <row r="40" spans="2:3" x14ac:dyDescent="0.45">
      <c r="B40" s="9" t="s">
        <v>58</v>
      </c>
      <c r="C40" s="4" t="s">
        <v>59</v>
      </c>
    </row>
    <row r="41" spans="2:3" x14ac:dyDescent="0.45">
      <c r="B41" s="9" t="s">
        <v>60</v>
      </c>
      <c r="C41" s="4" t="s">
        <v>61</v>
      </c>
    </row>
    <row r="42" spans="2:3" x14ac:dyDescent="0.45">
      <c r="B42" s="9" t="s">
        <v>62</v>
      </c>
      <c r="C42" s="4" t="s">
        <v>63</v>
      </c>
    </row>
    <row r="43" spans="2:3" x14ac:dyDescent="0.45">
      <c r="B43" s="9" t="s">
        <v>64</v>
      </c>
      <c r="C43" s="4" t="s">
        <v>65</v>
      </c>
    </row>
    <row r="44" spans="2:3" x14ac:dyDescent="0.45">
      <c r="B44" s="9" t="s">
        <v>66</v>
      </c>
      <c r="C44" s="4" t="s">
        <v>67</v>
      </c>
    </row>
    <row r="45" spans="2:3" x14ac:dyDescent="0.45">
      <c r="B45" s="9" t="s">
        <v>68</v>
      </c>
      <c r="C45" s="4" t="s">
        <v>69</v>
      </c>
    </row>
    <row r="46" spans="2:3" x14ac:dyDescent="0.45">
      <c r="B46" s="9" t="s">
        <v>70</v>
      </c>
      <c r="C46" s="4" t="s">
        <v>71</v>
      </c>
    </row>
    <row r="47" spans="2:3" x14ac:dyDescent="0.45">
      <c r="B47" s="9" t="s">
        <v>72</v>
      </c>
      <c r="C47" s="4" t="s">
        <v>73</v>
      </c>
    </row>
    <row r="48" spans="2:3" x14ac:dyDescent="0.45">
      <c r="B48" s="9" t="s">
        <v>74</v>
      </c>
      <c r="C48" s="4" t="s">
        <v>75</v>
      </c>
    </row>
    <row r="49" spans="2:3" x14ac:dyDescent="0.45">
      <c r="B49" s="9" t="s">
        <v>76</v>
      </c>
      <c r="C49" s="4" t="s">
        <v>77</v>
      </c>
    </row>
    <row r="50" spans="2:3" x14ac:dyDescent="0.45">
      <c r="B50" s="9" t="s">
        <v>78</v>
      </c>
      <c r="C50" s="4" t="s">
        <v>79</v>
      </c>
    </row>
    <row r="51" spans="2:3" x14ac:dyDescent="0.45">
      <c r="B51" s="9" t="s">
        <v>80</v>
      </c>
      <c r="C51" s="4" t="s">
        <v>81</v>
      </c>
    </row>
    <row r="52" spans="2:3" x14ac:dyDescent="0.45">
      <c r="B52" s="9" t="s">
        <v>82</v>
      </c>
      <c r="C52" s="4" t="s">
        <v>83</v>
      </c>
    </row>
    <row r="54" spans="2:3" x14ac:dyDescent="0.45">
      <c r="B54" s="6" t="s">
        <v>84</v>
      </c>
    </row>
    <row r="55" spans="2:3" x14ac:dyDescent="0.45">
      <c r="B55" s="10" t="s">
        <v>85</v>
      </c>
    </row>
    <row r="56" spans="2:3" x14ac:dyDescent="0.45">
      <c r="B56" s="11" t="s">
        <v>86</v>
      </c>
    </row>
    <row r="57" spans="2:3" x14ac:dyDescent="0.45">
      <c r="B57" s="2" t="s">
        <v>87</v>
      </c>
    </row>
    <row r="58" spans="2:3" x14ac:dyDescent="0.45">
      <c r="B58" s="12" t="s">
        <v>88</v>
      </c>
    </row>
    <row r="59" spans="2:3" x14ac:dyDescent="0.45">
      <c r="B59" s="13" t="s">
        <v>89</v>
      </c>
    </row>
    <row r="60" spans="2:3" x14ac:dyDescent="0.45">
      <c r="B60" s="14" t="s">
        <v>90</v>
      </c>
    </row>
    <row r="62" spans="2:3" x14ac:dyDescent="0.45">
      <c r="B62" s="6" t="s">
        <v>91</v>
      </c>
    </row>
    <row r="63" spans="2:3" ht="42" customHeight="1" x14ac:dyDescent="0.45">
      <c r="C63" s="4" t="s">
        <v>2707</v>
      </c>
    </row>
    <row r="64" spans="2:3" ht="16.05" customHeight="1" x14ac:dyDescent="0.45">
      <c r="C64" s="4" t="s">
        <v>92</v>
      </c>
    </row>
    <row r="65" spans="3:3" ht="30" customHeight="1" x14ac:dyDescent="0.45">
      <c r="C65" s="4" t="s">
        <v>93</v>
      </c>
    </row>
    <row r="66" spans="3:3" ht="16.05" customHeight="1" x14ac:dyDescent="0.45">
      <c r="C66" s="4" t="s">
        <v>94</v>
      </c>
    </row>
    <row r="67" spans="3:3" ht="16.05" customHeight="1" x14ac:dyDescent="0.45">
      <c r="C67" s="4" t="s">
        <v>95</v>
      </c>
    </row>
    <row r="68" spans="3:3" ht="30" customHeight="1" x14ac:dyDescent="0.45">
      <c r="C68" s="4" t="s">
        <v>96</v>
      </c>
    </row>
    <row r="69" spans="3:3" ht="30" customHeight="1" x14ac:dyDescent="0.45">
      <c r="C69" s="4" t="s">
        <v>97</v>
      </c>
    </row>
    <row r="70" spans="3:3" ht="30" customHeight="1" x14ac:dyDescent="0.45">
      <c r="C70" s="4" t="s">
        <v>98</v>
      </c>
    </row>
  </sheetData>
  <conditionalFormatting sqref="C8">
    <cfRule type="expression" dxfId="81" priority="1">
      <formula>LEFT(C8,4)="PASS"</formula>
    </cfRule>
    <cfRule type="expression" dxfId="80" priority="2">
      <formula>LEFT(C8,4)="FAIL"</formula>
    </cfRule>
  </conditionalFormatting>
  <conditionalFormatting sqref="C9">
    <cfRule type="expression" dxfId="79" priority="3">
      <formula>Inputs_Edited=0</formula>
    </cfRule>
    <cfRule type="expression" dxfId="78" priority="4">
      <formula>Inputs_Edited&gt;0</formula>
    </cfRule>
  </conditionalFormatting>
  <hyperlinks>
    <hyperlink ref="B23" location="'Inputs'!A1" display="Inputs" xr:uid="{00000000-0004-0000-0000-000000000000}"/>
    <hyperlink ref="B24" location="'Inputs Method'!A1" display="Inputs Method" xr:uid="{00000000-0004-0000-0000-000001000000}"/>
    <hyperlink ref="B25" location="'Profile &amp; Deck'!A1" display="Profile &amp; Deck" xr:uid="{00000000-0004-0000-0000-000002000000}"/>
    <hyperlink ref="B26" location="'Profile &amp; Deck Method'!A1" display="Profile &amp; Deck Method" xr:uid="{00000000-0004-0000-0000-000003000000}"/>
    <hyperlink ref="B27" location="'Beam Geometry'!A1" display="Beam Geometry" xr:uid="{00000000-0004-0000-0000-000004000000}"/>
    <hyperlink ref="B28" location="'Beam Geometry Method'!A1" display="Beam Geometry Method" xr:uid="{00000000-0004-0000-0000-000005000000}"/>
    <hyperlink ref="B29" location="'Camber &amp; Haunch'!A1" display="Camber &amp; Haunch" xr:uid="{00000000-0004-0000-0000-000006000000}"/>
    <hyperlink ref="B30" location="'Camber &amp; Haunch Method'!A1" display="Camber &amp; Haunch Method" xr:uid="{00000000-0004-0000-0000-000007000000}"/>
    <hyperlink ref="B31" location="'FGE'!A1" display="FGE" xr:uid="{00000000-0004-0000-0000-000008000000}"/>
    <hyperlink ref="B32" location="'FGE Method'!A1" display="FGE Method" xr:uid="{00000000-0004-0000-0000-000009000000}"/>
    <hyperlink ref="B33" location="'Bearing Seats'!A1" display="Bearing Seats" xr:uid="{00000000-0004-0000-0000-00000A000000}"/>
    <hyperlink ref="B34" location="'Bearing Seats Method'!A1" display="Bearing Seats Method" xr:uid="{00000000-0004-0000-0000-00000B000000}"/>
    <hyperlink ref="B35" location="'Substructure'!A1" display="Substructure" xr:uid="{00000000-0004-0000-0000-00000C000000}"/>
    <hyperlink ref="B36" location="'Substructure Method'!A1" display="Substructure Method" xr:uid="{00000000-0004-0000-0000-00000D000000}"/>
    <hyperlink ref="B37" location="'Beam Data'!A1" display="Beam Data" xr:uid="{00000000-0004-0000-0000-00000E000000}"/>
    <hyperlink ref="B38" location="'Beam Data Method'!A1" display="Beam Data Method" xr:uid="{00000000-0004-0000-0000-00000F000000}"/>
    <hyperlink ref="B39" location="'Clearance'!A1" display="Clearance" xr:uid="{00000000-0004-0000-0000-000010000000}"/>
    <hyperlink ref="B40" location="'Clearance Method'!A1" display="Clearance Method" xr:uid="{00000000-0004-0000-0000-000011000000}"/>
    <hyperlink ref="B41" location="'CAD FGE'!A1" display="CAD FGE" xr:uid="{00000000-0004-0000-0000-000012000000}"/>
    <hyperlink ref="B42" location="'CAD FGE Method'!A1" display="CAD FGE Method" xr:uid="{00000000-0004-0000-0000-000013000000}"/>
    <hyperlink ref="B43" location="'CAD Build-Up'!A1" display="CAD Build-Up" xr:uid="{00000000-0004-0000-0000-000014000000}"/>
    <hyperlink ref="B44" location="'CAD Build-Up Method'!A1" display="CAD Build-Up Method" xr:uid="{00000000-0004-0000-0000-000015000000}"/>
    <hyperlink ref="B45" location="'CAD Beam Variables'!A1" display="CAD Beam Variables" xr:uid="{00000000-0004-0000-0000-000016000000}"/>
    <hyperlink ref="B46" location="'CAD Beam Variables Method'!A1" display="CAD Beam Variables Method" xr:uid="{00000000-0004-0000-0000-000017000000}"/>
    <hyperlink ref="B47" location="'CAD Bearing Plates'!A1" display="CAD Bearing Plates" xr:uid="{00000000-0004-0000-0000-000018000000}"/>
    <hyperlink ref="B48" location="'CAD Bearing Plates Method'!A1" display="CAD Bearing Plates Method" xr:uid="{00000000-0004-0000-0000-000019000000}"/>
    <hyperlink ref="B49" location="'CAD Pedestal Elevs'!A1" display="CAD Pedestal Elevs" xr:uid="{00000000-0004-0000-0000-00001A000000}"/>
    <hyperlink ref="B50" location="'CAD Pedestal Elevs Method'!A1" display="CAD Pedestal Elevs Method" xr:uid="{00000000-0004-0000-0000-00001B000000}"/>
    <hyperlink ref="B51" location="'QC'!A1" display="QC" xr:uid="{00000000-0004-0000-0000-00001C000000}"/>
    <hyperlink ref="B52" location="'QC Method'!A1" display="QC Method" xr:uid="{00000000-0004-0000-0000-00001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B6CB0"/>
  </sheetPr>
  <dimension ref="A1:G239"/>
  <sheetViews>
    <sheetView showGridLines="0" workbookViewId="0">
      <pane ySplit="3" topLeftCell="A4" activePane="bottomLeft" state="frozen"/>
      <selection pane="bottomLeft"/>
    </sheetView>
  </sheetViews>
  <sheetFormatPr defaultRowHeight="14.25" x14ac:dyDescent="0.45"/>
  <cols>
    <col min="1" max="1" width="3" customWidth="1"/>
    <col min="2" max="2" width="46" customWidth="1"/>
    <col min="3" max="3" width="22" customWidth="1"/>
    <col min="4" max="5" width="16" customWidth="1"/>
    <col min="6" max="6" width="18" customWidth="1"/>
    <col min="7" max="7" width="78" customWidth="1"/>
  </cols>
  <sheetData>
    <row r="1" spans="1:7" ht="17.649999999999999" x14ac:dyDescent="0.5">
      <c r="A1" s="15" t="s">
        <v>24</v>
      </c>
    </row>
    <row r="2" spans="1:7" ht="28.05" customHeight="1" x14ac:dyDescent="0.45">
      <c r="A2" s="82" t="s">
        <v>99</v>
      </c>
      <c r="B2" s="83"/>
      <c r="C2" s="83"/>
      <c r="D2" s="83"/>
      <c r="E2" s="83"/>
      <c r="F2" s="83"/>
      <c r="G2" s="83"/>
    </row>
    <row r="4" spans="1:7" x14ac:dyDescent="0.45">
      <c r="A4" s="17" t="s">
        <v>100</v>
      </c>
      <c r="B4" s="18"/>
      <c r="C4" s="18"/>
      <c r="D4" s="18"/>
      <c r="E4" s="18"/>
      <c r="F4" s="18"/>
      <c r="G4" s="18"/>
    </row>
    <row r="5" spans="1:7" ht="18" customHeight="1" x14ac:dyDescent="0.45">
      <c r="B5" s="19" t="s">
        <v>101</v>
      </c>
      <c r="C5" s="19" t="s">
        <v>102</v>
      </c>
      <c r="D5" s="19" t="s">
        <v>103</v>
      </c>
      <c r="E5" s="19" t="s">
        <v>104</v>
      </c>
      <c r="F5" s="19" t="s">
        <v>105</v>
      </c>
      <c r="G5" s="19" t="s">
        <v>106</v>
      </c>
    </row>
    <row r="6" spans="1:7" ht="26" customHeight="1" x14ac:dyDescent="0.45">
      <c r="B6" s="4" t="s">
        <v>107</v>
      </c>
      <c r="C6" s="11"/>
      <c r="D6" s="20" t="s">
        <v>108</v>
      </c>
      <c r="E6" s="11"/>
      <c r="F6" s="8" t="s">
        <v>109</v>
      </c>
      <c r="G6" s="16" t="s">
        <v>110</v>
      </c>
    </row>
    <row r="7" spans="1:7" ht="26" customHeight="1" x14ac:dyDescent="0.45">
      <c r="B7" s="4" t="s">
        <v>111</v>
      </c>
      <c r="C7" s="11"/>
      <c r="D7" s="20" t="s">
        <v>112</v>
      </c>
      <c r="E7" s="11"/>
      <c r="F7" s="8" t="s">
        <v>113</v>
      </c>
      <c r="G7" s="16" t="s">
        <v>114</v>
      </c>
    </row>
    <row r="8" spans="1:7" x14ac:dyDescent="0.45">
      <c r="B8" s="4" t="s">
        <v>115</v>
      </c>
      <c r="C8" s="11"/>
      <c r="D8" s="21"/>
      <c r="E8" s="11"/>
      <c r="F8" s="8" t="s">
        <v>116</v>
      </c>
      <c r="G8" s="16" t="s">
        <v>117</v>
      </c>
    </row>
    <row r="9" spans="1:7" x14ac:dyDescent="0.45">
      <c r="B9" s="4" t="s">
        <v>118</v>
      </c>
      <c r="C9" s="11"/>
      <c r="D9" s="21"/>
      <c r="E9" s="11"/>
      <c r="F9" s="8" t="s">
        <v>119</v>
      </c>
      <c r="G9" s="16" t="s">
        <v>120</v>
      </c>
    </row>
    <row r="10" spans="1:7" x14ac:dyDescent="0.45">
      <c r="B10" s="4" t="s">
        <v>121</v>
      </c>
      <c r="C10" s="11"/>
      <c r="D10" s="21"/>
      <c r="E10" s="11"/>
      <c r="F10" s="8" t="s">
        <v>122</v>
      </c>
      <c r="G10" s="16" t="s">
        <v>120</v>
      </c>
    </row>
    <row r="11" spans="1:7" x14ac:dyDescent="0.45">
      <c r="B11" s="4" t="s">
        <v>123</v>
      </c>
      <c r="C11" s="11"/>
      <c r="D11" s="21"/>
      <c r="E11" s="11"/>
      <c r="F11" s="8" t="s">
        <v>124</v>
      </c>
      <c r="G11" s="16" t="s">
        <v>120</v>
      </c>
    </row>
    <row r="12" spans="1:7" x14ac:dyDescent="0.45">
      <c r="B12" s="4" t="s">
        <v>125</v>
      </c>
      <c r="C12" s="11"/>
      <c r="D12" s="21"/>
      <c r="E12" s="11"/>
      <c r="F12" s="8" t="s">
        <v>126</v>
      </c>
      <c r="G12" s="16" t="s">
        <v>120</v>
      </c>
    </row>
    <row r="14" spans="1:7" x14ac:dyDescent="0.45">
      <c r="A14" s="17" t="s">
        <v>127</v>
      </c>
      <c r="B14" s="18"/>
      <c r="C14" s="18"/>
      <c r="D14" s="18"/>
      <c r="E14" s="18"/>
      <c r="F14" s="18"/>
      <c r="G14" s="18"/>
    </row>
    <row r="15" spans="1:7" ht="18" customHeight="1" x14ac:dyDescent="0.45">
      <c r="B15" s="19" t="s">
        <v>101</v>
      </c>
      <c r="C15" s="19" t="s">
        <v>102</v>
      </c>
      <c r="D15" s="19" t="s">
        <v>103</v>
      </c>
      <c r="E15" s="19" t="s">
        <v>104</v>
      </c>
      <c r="F15" s="19" t="s">
        <v>105</v>
      </c>
      <c r="G15" s="19" t="s">
        <v>106</v>
      </c>
    </row>
    <row r="16" spans="1:7" x14ac:dyDescent="0.45">
      <c r="B16" s="4" t="s">
        <v>128</v>
      </c>
      <c r="C16" s="11" t="s">
        <v>129</v>
      </c>
      <c r="D16" s="20" t="s">
        <v>130</v>
      </c>
      <c r="E16" s="11"/>
      <c r="F16" s="8" t="s">
        <v>131</v>
      </c>
      <c r="G16" s="16" t="s">
        <v>132</v>
      </c>
    </row>
    <row r="17" spans="1:7" x14ac:dyDescent="0.45">
      <c r="B17" s="4" t="s">
        <v>133</v>
      </c>
      <c r="C17" s="11" t="s">
        <v>134</v>
      </c>
      <c r="D17" s="22">
        <v>1593.22</v>
      </c>
      <c r="E17" s="11" t="s">
        <v>135</v>
      </c>
      <c r="F17" s="8" t="s">
        <v>136</v>
      </c>
      <c r="G17" s="16" t="s">
        <v>137</v>
      </c>
    </row>
    <row r="18" spans="1:7" x14ac:dyDescent="0.45">
      <c r="B18" s="4" t="s">
        <v>138</v>
      </c>
      <c r="C18" s="11" t="s">
        <v>139</v>
      </c>
      <c r="D18" s="22">
        <v>1805.47</v>
      </c>
      <c r="E18" s="11" t="s">
        <v>135</v>
      </c>
      <c r="F18" s="8" t="s">
        <v>140</v>
      </c>
      <c r="G18" s="16" t="s">
        <v>141</v>
      </c>
    </row>
    <row r="19" spans="1:7" x14ac:dyDescent="0.45">
      <c r="B19" s="4" t="s">
        <v>142</v>
      </c>
      <c r="C19" s="11" t="s">
        <v>143</v>
      </c>
      <c r="D19" s="22">
        <v>47.661000000000001</v>
      </c>
      <c r="E19" s="11" t="s">
        <v>135</v>
      </c>
      <c r="F19" s="8" t="s">
        <v>144</v>
      </c>
      <c r="G19" s="16" t="s">
        <v>145</v>
      </c>
    </row>
    <row r="20" spans="1:7" x14ac:dyDescent="0.45">
      <c r="B20" s="4" t="s">
        <v>146</v>
      </c>
      <c r="C20" s="11" t="s">
        <v>147</v>
      </c>
      <c r="D20" s="22">
        <v>47.673000000000002</v>
      </c>
      <c r="E20" s="11" t="s">
        <v>135</v>
      </c>
      <c r="F20" s="8" t="s">
        <v>148</v>
      </c>
      <c r="G20" s="16" t="s">
        <v>149</v>
      </c>
    </row>
    <row r="21" spans="1:7" x14ac:dyDescent="0.45">
      <c r="B21" s="4" t="s">
        <v>150</v>
      </c>
      <c r="C21" s="11" t="s">
        <v>151</v>
      </c>
      <c r="D21" s="22">
        <v>1700.57</v>
      </c>
      <c r="E21" s="11" t="s">
        <v>135</v>
      </c>
      <c r="F21" s="8" t="s">
        <v>152</v>
      </c>
      <c r="G21" s="16" t="s">
        <v>153</v>
      </c>
    </row>
    <row r="22" spans="1:7" x14ac:dyDescent="0.45">
      <c r="B22" s="4" t="s">
        <v>154</v>
      </c>
      <c r="C22" s="11" t="s">
        <v>155</v>
      </c>
      <c r="D22" s="23">
        <v>5.0000000000000001E-3</v>
      </c>
      <c r="E22" s="11" t="s">
        <v>156</v>
      </c>
      <c r="F22" s="8" t="s">
        <v>157</v>
      </c>
      <c r="G22" s="16" t="s">
        <v>158</v>
      </c>
    </row>
    <row r="23" spans="1:7" x14ac:dyDescent="0.45">
      <c r="B23" s="4" t="s">
        <v>159</v>
      </c>
      <c r="C23" s="11" t="s">
        <v>160</v>
      </c>
      <c r="D23" s="23">
        <v>-0.01</v>
      </c>
      <c r="E23" s="11" t="s">
        <v>156</v>
      </c>
      <c r="F23" s="8" t="s">
        <v>161</v>
      </c>
      <c r="G23" s="16" t="s">
        <v>162</v>
      </c>
    </row>
    <row r="25" spans="1:7" x14ac:dyDescent="0.45">
      <c r="A25" s="17" t="s">
        <v>163</v>
      </c>
      <c r="B25" s="18"/>
      <c r="C25" s="18"/>
      <c r="D25" s="18"/>
      <c r="E25" s="18"/>
      <c r="F25" s="18"/>
      <c r="G25" s="18"/>
    </row>
    <row r="26" spans="1:7" ht="18" customHeight="1" x14ac:dyDescent="0.45">
      <c r="B26" s="19" t="s">
        <v>101</v>
      </c>
      <c r="C26" s="19" t="s">
        <v>102</v>
      </c>
      <c r="D26" s="19" t="s">
        <v>103</v>
      </c>
      <c r="E26" s="19" t="s">
        <v>104</v>
      </c>
      <c r="F26" s="19" t="s">
        <v>105</v>
      </c>
      <c r="G26" s="19" t="s">
        <v>106</v>
      </c>
    </row>
    <row r="27" spans="1:7" x14ac:dyDescent="0.45">
      <c r="B27" s="4" t="s">
        <v>164</v>
      </c>
      <c r="C27" s="11" t="s">
        <v>129</v>
      </c>
      <c r="D27" s="20" t="s">
        <v>165</v>
      </c>
      <c r="E27" s="11"/>
      <c r="F27" s="8" t="s">
        <v>166</v>
      </c>
      <c r="G27" s="16" t="s">
        <v>167</v>
      </c>
    </row>
    <row r="28" spans="1:7" x14ac:dyDescent="0.45">
      <c r="B28" s="4" t="s">
        <v>168</v>
      </c>
      <c r="C28" s="11" t="s">
        <v>169</v>
      </c>
      <c r="D28" s="22">
        <v>13.58333333333333</v>
      </c>
      <c r="E28" s="11" t="s">
        <v>135</v>
      </c>
      <c r="F28" s="8" t="s">
        <v>170</v>
      </c>
      <c r="G28" s="16" t="s">
        <v>171</v>
      </c>
    </row>
    <row r="29" spans="1:7" x14ac:dyDescent="0.45">
      <c r="B29" s="4" t="s">
        <v>172</v>
      </c>
      <c r="C29" s="11" t="s">
        <v>173</v>
      </c>
      <c r="D29" s="22">
        <v>0</v>
      </c>
      <c r="E29" s="11" t="s">
        <v>135</v>
      </c>
      <c r="F29" s="8" t="s">
        <v>174</v>
      </c>
      <c r="G29" s="16" t="s">
        <v>175</v>
      </c>
    </row>
    <row r="30" spans="1:7" x14ac:dyDescent="0.45">
      <c r="B30" s="4" t="s">
        <v>176</v>
      </c>
      <c r="C30" s="11" t="s">
        <v>177</v>
      </c>
      <c r="D30" s="22">
        <v>0.5</v>
      </c>
      <c r="E30" s="11" t="s">
        <v>135</v>
      </c>
      <c r="F30" s="8" t="s">
        <v>178</v>
      </c>
      <c r="G30" s="16" t="s">
        <v>179</v>
      </c>
    </row>
    <row r="31" spans="1:7" x14ac:dyDescent="0.45">
      <c r="B31" s="4" t="s">
        <v>180</v>
      </c>
      <c r="C31" s="11" t="s">
        <v>181</v>
      </c>
      <c r="D31" s="23">
        <v>-0.02</v>
      </c>
      <c r="E31" s="11" t="s">
        <v>156</v>
      </c>
      <c r="F31" s="8" t="s">
        <v>182</v>
      </c>
      <c r="G31" s="16" t="s">
        <v>183</v>
      </c>
    </row>
    <row r="32" spans="1:7" x14ac:dyDescent="0.45">
      <c r="B32" s="4" t="s">
        <v>184</v>
      </c>
      <c r="C32" s="11" t="s">
        <v>185</v>
      </c>
      <c r="D32" s="23">
        <v>-0.02</v>
      </c>
      <c r="E32" s="11" t="s">
        <v>156</v>
      </c>
      <c r="F32" s="8" t="s">
        <v>186</v>
      </c>
      <c r="G32" s="16" t="s">
        <v>187</v>
      </c>
    </row>
    <row r="34" spans="1:7" x14ac:dyDescent="0.45">
      <c r="A34" s="17" t="s">
        <v>188</v>
      </c>
      <c r="B34" s="18"/>
      <c r="C34" s="18"/>
      <c r="D34" s="18"/>
      <c r="E34" s="18"/>
      <c r="F34" s="18"/>
      <c r="G34" s="18"/>
    </row>
    <row r="35" spans="1:7" ht="18" customHeight="1" x14ac:dyDescent="0.45">
      <c r="B35" s="19" t="s">
        <v>101</v>
      </c>
      <c r="C35" s="19" t="s">
        <v>102</v>
      </c>
      <c r="D35" s="19" t="s">
        <v>103</v>
      </c>
      <c r="E35" s="19" t="s">
        <v>104</v>
      </c>
      <c r="F35" s="19" t="s">
        <v>105</v>
      </c>
      <c r="G35" s="19" t="s">
        <v>106</v>
      </c>
    </row>
    <row r="36" spans="1:7" x14ac:dyDescent="0.45">
      <c r="B36" s="4" t="s">
        <v>189</v>
      </c>
      <c r="C36" s="11"/>
      <c r="D36" s="20" t="s">
        <v>190</v>
      </c>
      <c r="E36" s="11"/>
      <c r="F36" s="8" t="s">
        <v>191</v>
      </c>
      <c r="G36" s="16" t="s">
        <v>192</v>
      </c>
    </row>
    <row r="37" spans="1:7" x14ac:dyDescent="0.45">
      <c r="B37" s="4" t="s">
        <v>193</v>
      </c>
      <c r="C37" s="11" t="s">
        <v>194</v>
      </c>
      <c r="D37" s="21">
        <v>2</v>
      </c>
      <c r="E37" s="11"/>
      <c r="F37" s="8" t="s">
        <v>195</v>
      </c>
      <c r="G37" s="16" t="s">
        <v>196</v>
      </c>
    </row>
    <row r="38" spans="1:7" x14ac:dyDescent="0.45">
      <c r="B38" s="4" t="s">
        <v>197</v>
      </c>
      <c r="C38" s="11" t="s">
        <v>198</v>
      </c>
      <c r="D38" s="22">
        <v>8.5833333333333339</v>
      </c>
      <c r="E38" s="11" t="s">
        <v>135</v>
      </c>
      <c r="F38" s="8" t="s">
        <v>199</v>
      </c>
      <c r="G38" s="16" t="s">
        <v>200</v>
      </c>
    </row>
    <row r="39" spans="1:7" x14ac:dyDescent="0.45">
      <c r="B39" s="4" t="s">
        <v>201</v>
      </c>
      <c r="C39" s="11" t="s">
        <v>202</v>
      </c>
      <c r="D39" s="22"/>
      <c r="E39" s="11" t="s">
        <v>135</v>
      </c>
      <c r="F39" s="8" t="s">
        <v>203</v>
      </c>
      <c r="G39" s="16" t="s">
        <v>204</v>
      </c>
    </row>
    <row r="40" spans="1:7" x14ac:dyDescent="0.45">
      <c r="B40" s="4" t="s">
        <v>205</v>
      </c>
      <c r="C40" s="11" t="s">
        <v>206</v>
      </c>
      <c r="D40" s="22">
        <v>3</v>
      </c>
      <c r="E40" s="11" t="s">
        <v>135</v>
      </c>
      <c r="F40" s="8" t="s">
        <v>207</v>
      </c>
      <c r="G40" s="16" t="s">
        <v>208</v>
      </c>
    </row>
    <row r="41" spans="1:7" x14ac:dyDescent="0.45">
      <c r="B41" s="4" t="s">
        <v>209</v>
      </c>
      <c r="C41" s="11" t="s">
        <v>210</v>
      </c>
      <c r="D41" s="21">
        <v>48</v>
      </c>
      <c r="E41" s="11" t="s">
        <v>211</v>
      </c>
      <c r="F41" s="8" t="s">
        <v>212</v>
      </c>
      <c r="G41" s="16" t="s">
        <v>213</v>
      </c>
    </row>
    <row r="42" spans="1:7" x14ac:dyDescent="0.45">
      <c r="B42" s="4" t="s">
        <v>214</v>
      </c>
      <c r="C42" s="11" t="s">
        <v>215</v>
      </c>
      <c r="D42" s="21">
        <v>0.5</v>
      </c>
      <c r="E42" s="11" t="s">
        <v>211</v>
      </c>
      <c r="F42" s="8" t="s">
        <v>216</v>
      </c>
      <c r="G42" s="16" t="s">
        <v>217</v>
      </c>
    </row>
    <row r="43" spans="1:7" x14ac:dyDescent="0.45">
      <c r="B43" s="4" t="s">
        <v>218</v>
      </c>
      <c r="C43" s="11" t="s">
        <v>219</v>
      </c>
      <c r="D43" s="21">
        <v>0</v>
      </c>
      <c r="E43" s="11" t="s">
        <v>211</v>
      </c>
      <c r="F43" s="8" t="s">
        <v>220</v>
      </c>
      <c r="G43" s="16" t="s">
        <v>221</v>
      </c>
    </row>
    <row r="44" spans="1:7" x14ac:dyDescent="0.45">
      <c r="B44" s="4" t="s">
        <v>222</v>
      </c>
      <c r="C44" s="11" t="s">
        <v>223</v>
      </c>
      <c r="D44" s="21">
        <v>0</v>
      </c>
      <c r="E44" s="11" t="s">
        <v>211</v>
      </c>
      <c r="F44" s="8" t="s">
        <v>224</v>
      </c>
      <c r="G44" s="16" t="s">
        <v>221</v>
      </c>
    </row>
    <row r="45" spans="1:7" x14ac:dyDescent="0.45">
      <c r="B45" s="4" t="s">
        <v>225</v>
      </c>
      <c r="C45" s="11"/>
      <c r="D45" s="24">
        <f>Bm_S</f>
        <v>8.5833333333333339</v>
      </c>
      <c r="E45" s="11" t="s">
        <v>135</v>
      </c>
      <c r="F45" s="8" t="s">
        <v>226</v>
      </c>
      <c r="G45" s="16" t="s">
        <v>227</v>
      </c>
    </row>
    <row r="47" spans="1:7" x14ac:dyDescent="0.45">
      <c r="A47" s="17" t="s">
        <v>228</v>
      </c>
      <c r="B47" s="18"/>
      <c r="C47" s="18"/>
      <c r="D47" s="18"/>
      <c r="E47" s="18"/>
      <c r="F47" s="18"/>
      <c r="G47" s="18"/>
    </row>
    <row r="48" spans="1:7" ht="18" customHeight="1" x14ac:dyDescent="0.45">
      <c r="B48" s="19" t="s">
        <v>101</v>
      </c>
      <c r="C48" s="19" t="s">
        <v>102</v>
      </c>
      <c r="D48" s="19" t="s">
        <v>103</v>
      </c>
      <c r="E48" s="19" t="s">
        <v>104</v>
      </c>
      <c r="F48" s="19" t="s">
        <v>105</v>
      </c>
      <c r="G48" s="19" t="s">
        <v>106</v>
      </c>
    </row>
    <row r="49" spans="1:7" x14ac:dyDescent="0.45">
      <c r="B49" s="4" t="s">
        <v>229</v>
      </c>
      <c r="C49" s="11"/>
      <c r="D49" s="22">
        <v>1593.22</v>
      </c>
      <c r="E49" s="11" t="s">
        <v>135</v>
      </c>
      <c r="F49" s="8" t="s">
        <v>230</v>
      </c>
      <c r="G49" s="16" t="s">
        <v>231</v>
      </c>
    </row>
    <row r="50" spans="1:7" x14ac:dyDescent="0.45">
      <c r="B50" s="4" t="s">
        <v>232</v>
      </c>
      <c r="C50" s="11"/>
      <c r="D50" s="22">
        <v>1700.57</v>
      </c>
      <c r="E50" s="11" t="s">
        <v>135</v>
      </c>
      <c r="F50" s="8" t="s">
        <v>233</v>
      </c>
      <c r="G50" s="16" t="s">
        <v>234</v>
      </c>
    </row>
    <row r="51" spans="1:7" ht="23.25" x14ac:dyDescent="0.45">
      <c r="B51" s="4" t="s">
        <v>235</v>
      </c>
      <c r="C51" s="11" t="s">
        <v>236</v>
      </c>
      <c r="D51" s="23">
        <v>0.124592744006574</v>
      </c>
      <c r="E51" s="11" t="s">
        <v>211</v>
      </c>
      <c r="F51" s="8" t="s">
        <v>237</v>
      </c>
      <c r="G51" s="16" t="s">
        <v>238</v>
      </c>
    </row>
    <row r="52" spans="1:7" x14ac:dyDescent="0.45">
      <c r="B52" s="4" t="s">
        <v>239</v>
      </c>
      <c r="C52" s="11"/>
      <c r="D52" s="22">
        <v>1700.57</v>
      </c>
      <c r="E52" s="11" t="s">
        <v>135</v>
      </c>
      <c r="F52" s="8" t="s">
        <v>240</v>
      </c>
      <c r="G52" s="16" t="s">
        <v>241</v>
      </c>
    </row>
    <row r="53" spans="1:7" x14ac:dyDescent="0.45">
      <c r="B53" s="4" t="s">
        <v>242</v>
      </c>
      <c r="C53" s="11"/>
      <c r="D53" s="22">
        <v>1805.47</v>
      </c>
      <c r="E53" s="11" t="s">
        <v>135</v>
      </c>
      <c r="F53" s="8" t="s">
        <v>243</v>
      </c>
      <c r="G53" s="16" t="s">
        <v>244</v>
      </c>
    </row>
    <row r="54" spans="1:7" ht="23.25" x14ac:dyDescent="0.45">
      <c r="B54" s="4" t="s">
        <v>245</v>
      </c>
      <c r="C54" s="11" t="s">
        <v>236</v>
      </c>
      <c r="D54" s="23">
        <v>0.56717146305500721</v>
      </c>
      <c r="E54" s="11" t="s">
        <v>211</v>
      </c>
      <c r="F54" s="8" t="s">
        <v>246</v>
      </c>
      <c r="G54" s="16" t="s">
        <v>247</v>
      </c>
    </row>
    <row r="56" spans="1:7" x14ac:dyDescent="0.45">
      <c r="A56" s="17" t="s">
        <v>248</v>
      </c>
      <c r="B56" s="18"/>
      <c r="C56" s="18"/>
      <c r="D56" s="18"/>
      <c r="E56" s="18"/>
      <c r="F56" s="18"/>
      <c r="G56" s="18"/>
    </row>
    <row r="57" spans="1:7" ht="18" customHeight="1" x14ac:dyDescent="0.45">
      <c r="B57" s="19" t="s">
        <v>101</v>
      </c>
      <c r="C57" s="19" t="s">
        <v>102</v>
      </c>
      <c r="D57" s="19" t="s">
        <v>103</v>
      </c>
      <c r="E57" s="19" t="s">
        <v>104</v>
      </c>
      <c r="F57" s="19" t="s">
        <v>105</v>
      </c>
      <c r="G57" s="19" t="s">
        <v>106</v>
      </c>
    </row>
    <row r="58" spans="1:7" x14ac:dyDescent="0.45">
      <c r="B58" s="4" t="s">
        <v>249</v>
      </c>
      <c r="C58" s="11"/>
      <c r="D58" s="21">
        <v>3</v>
      </c>
      <c r="E58" s="11" t="s">
        <v>211</v>
      </c>
      <c r="F58" s="8" t="s">
        <v>250</v>
      </c>
      <c r="G58" s="16" t="s">
        <v>251</v>
      </c>
    </row>
    <row r="59" spans="1:7" x14ac:dyDescent="0.45">
      <c r="B59" s="4" t="s">
        <v>252</v>
      </c>
      <c r="C59" s="11"/>
      <c r="D59" s="21">
        <v>3</v>
      </c>
      <c r="E59" s="11" t="s">
        <v>211</v>
      </c>
      <c r="F59" s="8" t="s">
        <v>253</v>
      </c>
      <c r="G59" s="16" t="s">
        <v>254</v>
      </c>
    </row>
    <row r="60" spans="1:7" x14ac:dyDescent="0.45">
      <c r="B60" s="4" t="s">
        <v>255</v>
      </c>
      <c r="C60" s="11"/>
      <c r="D60" s="21">
        <v>9</v>
      </c>
      <c r="E60" s="11" t="s">
        <v>211</v>
      </c>
      <c r="F60" s="8" t="s">
        <v>256</v>
      </c>
      <c r="G60" s="16" t="s">
        <v>257</v>
      </c>
    </row>
    <row r="61" spans="1:7" x14ac:dyDescent="0.45">
      <c r="B61" s="4" t="s">
        <v>258</v>
      </c>
      <c r="C61" s="11"/>
      <c r="D61" s="21">
        <v>3</v>
      </c>
      <c r="E61" s="11" t="s">
        <v>211</v>
      </c>
      <c r="F61" s="8" t="s">
        <v>259</v>
      </c>
      <c r="G61" s="16" t="s">
        <v>260</v>
      </c>
    </row>
    <row r="62" spans="1:7" x14ac:dyDescent="0.45">
      <c r="B62" s="4" t="s">
        <v>261</v>
      </c>
      <c r="C62" s="11"/>
      <c r="D62" s="22">
        <v>89.999999999999986</v>
      </c>
      <c r="E62" s="11" t="s">
        <v>135</v>
      </c>
      <c r="F62" s="8" t="s">
        <v>262</v>
      </c>
      <c r="G62" s="16" t="s">
        <v>263</v>
      </c>
    </row>
    <row r="64" spans="1:7" x14ac:dyDescent="0.45">
      <c r="A64" s="17" t="s">
        <v>264</v>
      </c>
      <c r="B64" s="18"/>
      <c r="C64" s="18"/>
      <c r="D64" s="18"/>
      <c r="E64" s="18"/>
      <c r="F64" s="18"/>
      <c r="G64" s="18"/>
    </row>
    <row r="65" spans="2:7" ht="18" customHeight="1" x14ac:dyDescent="0.45">
      <c r="B65" s="19" t="s">
        <v>101</v>
      </c>
      <c r="C65" s="19" t="s">
        <v>102</v>
      </c>
      <c r="D65" s="19" t="s">
        <v>103</v>
      </c>
      <c r="E65" s="19" t="s">
        <v>104</v>
      </c>
      <c r="F65" s="19" t="s">
        <v>105</v>
      </c>
      <c r="G65" s="19" t="s">
        <v>106</v>
      </c>
    </row>
    <row r="66" spans="2:7" x14ac:dyDescent="0.45">
      <c r="B66" s="4" t="s">
        <v>265</v>
      </c>
      <c r="C66" s="11"/>
      <c r="D66" s="22">
        <v>1700.57</v>
      </c>
      <c r="E66" s="11" t="s">
        <v>135</v>
      </c>
      <c r="F66" s="8" t="s">
        <v>266</v>
      </c>
      <c r="G66" s="16" t="s">
        <v>267</v>
      </c>
    </row>
    <row r="67" spans="2:7" x14ac:dyDescent="0.45">
      <c r="B67" s="4" t="s">
        <v>268</v>
      </c>
      <c r="C67" s="11"/>
      <c r="D67" s="25">
        <v>2.5625</v>
      </c>
      <c r="E67" s="11" t="s">
        <v>211</v>
      </c>
      <c r="F67" s="8" t="s">
        <v>269</v>
      </c>
      <c r="G67" s="16" t="s">
        <v>270</v>
      </c>
    </row>
    <row r="68" spans="2:7" x14ac:dyDescent="0.45">
      <c r="B68" s="4" t="s">
        <v>271</v>
      </c>
      <c r="C68" s="11"/>
      <c r="D68" s="21">
        <v>10</v>
      </c>
      <c r="E68" s="11" t="s">
        <v>211</v>
      </c>
      <c r="F68" s="8" t="s">
        <v>272</v>
      </c>
      <c r="G68" s="16" t="s">
        <v>273</v>
      </c>
    </row>
    <row r="69" spans="2:7" x14ac:dyDescent="0.45">
      <c r="B69" s="4" t="s">
        <v>274</v>
      </c>
      <c r="C69" s="11"/>
      <c r="D69" s="21">
        <v>32</v>
      </c>
      <c r="E69" s="11" t="s">
        <v>211</v>
      </c>
      <c r="F69" s="8" t="s">
        <v>275</v>
      </c>
      <c r="G69" s="16" t="s">
        <v>276</v>
      </c>
    </row>
    <row r="70" spans="2:7" x14ac:dyDescent="0.45">
      <c r="B70" s="4" t="s">
        <v>277</v>
      </c>
      <c r="C70" s="11"/>
      <c r="D70" s="22">
        <v>3</v>
      </c>
      <c r="E70" s="11" t="s">
        <v>135</v>
      </c>
      <c r="F70" s="8" t="s">
        <v>278</v>
      </c>
      <c r="G70" s="16" t="s">
        <v>279</v>
      </c>
    </row>
    <row r="71" spans="2:7" x14ac:dyDescent="0.45">
      <c r="B71" s="4" t="s">
        <v>280</v>
      </c>
      <c r="C71" s="11"/>
      <c r="D71" s="22">
        <v>4</v>
      </c>
      <c r="E71" s="11" t="s">
        <v>135</v>
      </c>
      <c r="F71" s="8" t="s">
        <v>281</v>
      </c>
      <c r="G71" s="16" t="s">
        <v>282</v>
      </c>
    </row>
    <row r="72" spans="2:7" x14ac:dyDescent="0.45">
      <c r="B72" s="4" t="s">
        <v>283</v>
      </c>
      <c r="C72" s="11"/>
      <c r="D72" s="22"/>
      <c r="E72" s="11" t="s">
        <v>135</v>
      </c>
      <c r="F72" s="8" t="s">
        <v>284</v>
      </c>
      <c r="G72" s="16" t="s">
        <v>285</v>
      </c>
    </row>
    <row r="73" spans="2:7" x14ac:dyDescent="0.45">
      <c r="B73" s="4" t="s">
        <v>286</v>
      </c>
      <c r="C73" s="11"/>
      <c r="D73" s="21">
        <v>4</v>
      </c>
      <c r="E73" s="11"/>
      <c r="F73" s="8" t="s">
        <v>287</v>
      </c>
      <c r="G73" s="16" t="s">
        <v>288</v>
      </c>
    </row>
    <row r="74" spans="2:7" x14ac:dyDescent="0.45">
      <c r="B74" s="4" t="s">
        <v>289</v>
      </c>
      <c r="C74" s="11"/>
      <c r="D74" s="21">
        <v>20</v>
      </c>
      <c r="E74" s="11" t="s">
        <v>211</v>
      </c>
      <c r="F74" s="8" t="s">
        <v>290</v>
      </c>
      <c r="G74" s="16" t="s">
        <v>291</v>
      </c>
    </row>
    <row r="75" spans="2:7" x14ac:dyDescent="0.45">
      <c r="B75" s="4" t="s">
        <v>292</v>
      </c>
      <c r="C75" s="11"/>
      <c r="D75" s="21">
        <v>0.625</v>
      </c>
      <c r="E75" s="11" t="s">
        <v>211</v>
      </c>
      <c r="F75" s="8" t="s">
        <v>293</v>
      </c>
      <c r="G75" s="16" t="s">
        <v>294</v>
      </c>
    </row>
    <row r="76" spans="2:7" x14ac:dyDescent="0.45">
      <c r="B76" s="4" t="s">
        <v>295</v>
      </c>
      <c r="C76" s="11"/>
      <c r="D76" s="21">
        <v>3</v>
      </c>
      <c r="E76" s="11"/>
      <c r="F76" s="8" t="s">
        <v>296</v>
      </c>
      <c r="G76" s="16" t="s">
        <v>297</v>
      </c>
    </row>
    <row r="77" spans="2:7" x14ac:dyDescent="0.45">
      <c r="B77" s="4" t="s">
        <v>298</v>
      </c>
      <c r="C77" s="11"/>
      <c r="D77" s="21">
        <v>15</v>
      </c>
      <c r="E77" s="11" t="s">
        <v>211</v>
      </c>
      <c r="F77" s="8" t="s">
        <v>299</v>
      </c>
      <c r="G77" s="16" t="s">
        <v>300</v>
      </c>
    </row>
    <row r="78" spans="2:7" x14ac:dyDescent="0.45">
      <c r="B78" s="4" t="s">
        <v>301</v>
      </c>
      <c r="C78" s="11"/>
      <c r="D78" s="21">
        <v>12</v>
      </c>
      <c r="E78" s="11" t="s">
        <v>211</v>
      </c>
      <c r="F78" s="8" t="s">
        <v>302</v>
      </c>
      <c r="G78" s="16" t="s">
        <v>303</v>
      </c>
    </row>
    <row r="79" spans="2:7" x14ac:dyDescent="0.45">
      <c r="B79" s="4" t="s">
        <v>304</v>
      </c>
      <c r="C79" s="11"/>
      <c r="D79" s="21">
        <v>6</v>
      </c>
      <c r="E79" s="11" t="s">
        <v>211</v>
      </c>
      <c r="F79" s="8" t="s">
        <v>305</v>
      </c>
      <c r="G79" s="16" t="s">
        <v>306</v>
      </c>
    </row>
    <row r="80" spans="2:7" x14ac:dyDescent="0.45">
      <c r="B80" s="4" t="s">
        <v>307</v>
      </c>
      <c r="C80" s="11"/>
      <c r="D80" s="22"/>
      <c r="E80" s="11" t="s">
        <v>135</v>
      </c>
      <c r="F80" s="8" t="s">
        <v>308</v>
      </c>
      <c r="G80" s="16" t="s">
        <v>309</v>
      </c>
    </row>
    <row r="81" spans="1:7" x14ac:dyDescent="0.45">
      <c r="B81" s="4" t="s">
        <v>310</v>
      </c>
      <c r="C81" s="11"/>
      <c r="D81" s="22">
        <v>0</v>
      </c>
      <c r="E81" s="11" t="s">
        <v>135</v>
      </c>
      <c r="F81" s="8" t="s">
        <v>311</v>
      </c>
      <c r="G81" s="16" t="s">
        <v>312</v>
      </c>
    </row>
    <row r="82" spans="1:7" x14ac:dyDescent="0.45">
      <c r="B82" s="4" t="s">
        <v>313</v>
      </c>
      <c r="C82" s="11"/>
      <c r="D82" s="23">
        <v>0</v>
      </c>
      <c r="E82" s="11" t="s">
        <v>156</v>
      </c>
      <c r="F82" s="8" t="s">
        <v>314</v>
      </c>
      <c r="G82" s="16" t="s">
        <v>315</v>
      </c>
    </row>
    <row r="83" spans="1:7" x14ac:dyDescent="0.45">
      <c r="B83" s="4" t="s">
        <v>316</v>
      </c>
      <c r="C83" s="11"/>
      <c r="D83" s="21">
        <v>42</v>
      </c>
      <c r="E83" s="11" t="s">
        <v>211</v>
      </c>
      <c r="F83" s="8" t="s">
        <v>317</v>
      </c>
      <c r="G83" s="16" t="s">
        <v>318</v>
      </c>
    </row>
    <row r="84" spans="1:7" x14ac:dyDescent="0.45">
      <c r="B84" s="4" t="s">
        <v>319</v>
      </c>
      <c r="C84" s="11"/>
      <c r="D84" s="21">
        <v>48</v>
      </c>
      <c r="E84" s="11" t="s">
        <v>211</v>
      </c>
      <c r="F84" s="8" t="s">
        <v>320</v>
      </c>
      <c r="G84" s="16" t="s">
        <v>321</v>
      </c>
    </row>
    <row r="85" spans="1:7" x14ac:dyDescent="0.45">
      <c r="B85" s="4" t="s">
        <v>322</v>
      </c>
      <c r="C85" s="11"/>
      <c r="D85" s="21">
        <v>0.75</v>
      </c>
      <c r="E85" s="11" t="s">
        <v>211</v>
      </c>
      <c r="F85" s="8" t="s">
        <v>323</v>
      </c>
      <c r="G85" s="16" t="s">
        <v>324</v>
      </c>
    </row>
    <row r="87" spans="1:7" x14ac:dyDescent="0.45">
      <c r="A87" s="17" t="s">
        <v>325</v>
      </c>
      <c r="B87" s="18"/>
      <c r="C87" s="18"/>
      <c r="D87" s="18"/>
      <c r="E87" s="18"/>
      <c r="F87" s="18"/>
      <c r="G87" s="18"/>
    </row>
    <row r="88" spans="1:7" ht="18" customHeight="1" x14ac:dyDescent="0.45">
      <c r="B88" s="19" t="s">
        <v>101</v>
      </c>
      <c r="C88" s="19" t="s">
        <v>102</v>
      </c>
      <c r="D88" s="19" t="s">
        <v>103</v>
      </c>
      <c r="E88" s="19" t="s">
        <v>104</v>
      </c>
      <c r="F88" s="19" t="s">
        <v>105</v>
      </c>
      <c r="G88" s="19" t="s">
        <v>106</v>
      </c>
    </row>
    <row r="89" spans="1:7" x14ac:dyDescent="0.45">
      <c r="B89" s="4" t="s">
        <v>280</v>
      </c>
      <c r="C89" s="11"/>
      <c r="D89" s="22">
        <v>3.5</v>
      </c>
      <c r="E89" s="11" t="s">
        <v>135</v>
      </c>
      <c r="F89" s="8" t="s">
        <v>326</v>
      </c>
      <c r="G89" s="16" t="s">
        <v>327</v>
      </c>
    </row>
    <row r="90" spans="1:7" x14ac:dyDescent="0.45">
      <c r="B90" s="4" t="s">
        <v>277</v>
      </c>
      <c r="C90" s="11"/>
      <c r="D90" s="22">
        <v>3</v>
      </c>
      <c r="E90" s="11" t="s">
        <v>135</v>
      </c>
      <c r="F90" s="8" t="s">
        <v>328</v>
      </c>
      <c r="G90" s="16" t="s">
        <v>329</v>
      </c>
    </row>
    <row r="91" spans="1:7" x14ac:dyDescent="0.45">
      <c r="B91" s="4" t="s">
        <v>283</v>
      </c>
      <c r="C91" s="11"/>
      <c r="D91" s="22"/>
      <c r="E91" s="11" t="s">
        <v>135</v>
      </c>
      <c r="F91" s="8" t="s">
        <v>330</v>
      </c>
      <c r="G91" s="16" t="s">
        <v>331</v>
      </c>
    </row>
    <row r="92" spans="1:7" x14ac:dyDescent="0.45">
      <c r="B92" s="4" t="s">
        <v>286</v>
      </c>
      <c r="C92" s="11"/>
      <c r="D92" s="21">
        <v>4</v>
      </c>
      <c r="E92" s="11"/>
      <c r="F92" s="8" t="s">
        <v>332</v>
      </c>
      <c r="G92" s="16" t="s">
        <v>333</v>
      </c>
    </row>
    <row r="93" spans="1:7" x14ac:dyDescent="0.45">
      <c r="B93" s="4" t="s">
        <v>334</v>
      </c>
      <c r="C93" s="11"/>
      <c r="D93" s="21">
        <v>18</v>
      </c>
      <c r="E93" s="11" t="s">
        <v>211</v>
      </c>
      <c r="F93" s="8" t="s">
        <v>335</v>
      </c>
      <c r="G93" s="16" t="s">
        <v>336</v>
      </c>
    </row>
    <row r="94" spans="1:7" x14ac:dyDescent="0.45">
      <c r="B94" s="4" t="s">
        <v>337</v>
      </c>
      <c r="C94" s="11"/>
      <c r="D94" s="21">
        <v>54</v>
      </c>
      <c r="E94" s="11" t="s">
        <v>211</v>
      </c>
      <c r="F94" s="8" t="s">
        <v>338</v>
      </c>
      <c r="G94" s="16" t="s">
        <v>339</v>
      </c>
    </row>
    <row r="95" spans="1:7" x14ac:dyDescent="0.45">
      <c r="B95" s="4" t="s">
        <v>298</v>
      </c>
      <c r="C95" s="11"/>
      <c r="D95" s="21">
        <v>27.5</v>
      </c>
      <c r="E95" s="11" t="s">
        <v>211</v>
      </c>
      <c r="F95" s="8" t="s">
        <v>340</v>
      </c>
      <c r="G95" s="16" t="s">
        <v>341</v>
      </c>
    </row>
    <row r="96" spans="1:7" x14ac:dyDescent="0.45">
      <c r="B96" s="4" t="s">
        <v>301</v>
      </c>
      <c r="C96" s="11"/>
      <c r="D96" s="21">
        <v>12</v>
      </c>
      <c r="E96" s="11" t="s">
        <v>211</v>
      </c>
      <c r="F96" s="8" t="s">
        <v>342</v>
      </c>
      <c r="G96" s="16" t="s">
        <v>343</v>
      </c>
    </row>
    <row r="97" spans="2:7" x14ac:dyDescent="0.45">
      <c r="B97" s="4" t="s">
        <v>268</v>
      </c>
      <c r="C97" s="11"/>
      <c r="D97" s="25">
        <v>2.5625</v>
      </c>
      <c r="E97" s="11" t="s">
        <v>211</v>
      </c>
      <c r="F97" s="8" t="s">
        <v>344</v>
      </c>
      <c r="G97" s="16" t="s">
        <v>345</v>
      </c>
    </row>
    <row r="98" spans="2:7" x14ac:dyDescent="0.45">
      <c r="B98" s="4" t="s">
        <v>271</v>
      </c>
      <c r="C98" s="11"/>
      <c r="D98" s="21">
        <v>10</v>
      </c>
      <c r="E98" s="11" t="s">
        <v>211</v>
      </c>
      <c r="F98" s="8" t="s">
        <v>346</v>
      </c>
      <c r="G98" s="16" t="s">
        <v>347</v>
      </c>
    </row>
    <row r="99" spans="2:7" x14ac:dyDescent="0.45">
      <c r="B99" s="4" t="s">
        <v>274</v>
      </c>
      <c r="C99" s="11"/>
      <c r="D99" s="21">
        <v>32</v>
      </c>
      <c r="E99" s="11" t="s">
        <v>211</v>
      </c>
      <c r="F99" s="8" t="s">
        <v>348</v>
      </c>
      <c r="G99" s="16" t="s">
        <v>349</v>
      </c>
    </row>
    <row r="100" spans="2:7" x14ac:dyDescent="0.45">
      <c r="B100" s="4" t="s">
        <v>304</v>
      </c>
      <c r="C100" s="11"/>
      <c r="D100" s="21">
        <v>6</v>
      </c>
      <c r="E100" s="11" t="s">
        <v>211</v>
      </c>
      <c r="F100" s="8" t="s">
        <v>350</v>
      </c>
      <c r="G100" s="16" t="s">
        <v>351</v>
      </c>
    </row>
    <row r="101" spans="2:7" x14ac:dyDescent="0.45">
      <c r="B101" s="4" t="s">
        <v>307</v>
      </c>
      <c r="C101" s="11"/>
      <c r="D101" s="22"/>
      <c r="E101" s="11" t="s">
        <v>135</v>
      </c>
      <c r="F101" s="8" t="s">
        <v>352</v>
      </c>
      <c r="G101" s="16" t="s">
        <v>353</v>
      </c>
    </row>
    <row r="102" spans="2:7" x14ac:dyDescent="0.45">
      <c r="B102" s="4" t="s">
        <v>310</v>
      </c>
      <c r="C102" s="11"/>
      <c r="D102" s="22">
        <v>0</v>
      </c>
      <c r="E102" s="11" t="s">
        <v>135</v>
      </c>
      <c r="F102" s="8" t="s">
        <v>354</v>
      </c>
      <c r="G102" s="16" t="s">
        <v>355</v>
      </c>
    </row>
    <row r="103" spans="2:7" x14ac:dyDescent="0.45">
      <c r="B103" s="4" t="s">
        <v>313</v>
      </c>
      <c r="C103" s="11"/>
      <c r="D103" s="23">
        <v>0</v>
      </c>
      <c r="E103" s="11" t="s">
        <v>156</v>
      </c>
      <c r="F103" s="8" t="s">
        <v>356</v>
      </c>
      <c r="G103" s="16" t="s">
        <v>357</v>
      </c>
    </row>
    <row r="104" spans="2:7" x14ac:dyDescent="0.45">
      <c r="B104" s="4" t="s">
        <v>316</v>
      </c>
      <c r="C104" s="11"/>
      <c r="D104" s="21">
        <v>42</v>
      </c>
      <c r="E104" s="11" t="s">
        <v>211</v>
      </c>
      <c r="F104" s="8" t="s">
        <v>358</v>
      </c>
      <c r="G104" s="16" t="s">
        <v>359</v>
      </c>
    </row>
    <row r="105" spans="2:7" x14ac:dyDescent="0.45">
      <c r="B105" s="4" t="s">
        <v>360</v>
      </c>
      <c r="C105" s="11"/>
      <c r="D105" s="21">
        <v>30</v>
      </c>
      <c r="E105" s="11" t="s">
        <v>211</v>
      </c>
      <c r="F105" s="8" t="s">
        <v>361</v>
      </c>
      <c r="G105" s="16" t="s">
        <v>362</v>
      </c>
    </row>
    <row r="106" spans="2:7" x14ac:dyDescent="0.45">
      <c r="B106" s="4" t="s">
        <v>322</v>
      </c>
      <c r="C106" s="11"/>
      <c r="D106" s="21">
        <v>0.75</v>
      </c>
      <c r="E106" s="11" t="s">
        <v>211</v>
      </c>
      <c r="F106" s="8" t="s">
        <v>363</v>
      </c>
      <c r="G106" s="16" t="s">
        <v>364</v>
      </c>
    </row>
    <row r="107" spans="2:7" x14ac:dyDescent="0.45">
      <c r="B107" s="4" t="s">
        <v>365</v>
      </c>
      <c r="C107" s="11"/>
      <c r="D107" s="21">
        <v>12</v>
      </c>
      <c r="E107" s="11" t="s">
        <v>211</v>
      </c>
      <c r="F107" s="8" t="s">
        <v>366</v>
      </c>
      <c r="G107" s="16" t="s">
        <v>367</v>
      </c>
    </row>
    <row r="108" spans="2:7" x14ac:dyDescent="0.45">
      <c r="B108" s="4" t="s">
        <v>368</v>
      </c>
      <c r="C108" s="11"/>
      <c r="D108" s="21">
        <v>0</v>
      </c>
      <c r="E108" s="11" t="s">
        <v>211</v>
      </c>
      <c r="F108" s="8" t="s">
        <v>369</v>
      </c>
      <c r="G108" s="16" t="s">
        <v>370</v>
      </c>
    </row>
    <row r="109" spans="2:7" x14ac:dyDescent="0.45">
      <c r="B109" s="4" t="s">
        <v>371</v>
      </c>
      <c r="C109" s="11"/>
      <c r="D109" s="21">
        <v>3</v>
      </c>
      <c r="E109" s="11" t="s">
        <v>211</v>
      </c>
      <c r="F109" s="8" t="s">
        <v>372</v>
      </c>
      <c r="G109" s="16" t="s">
        <v>373</v>
      </c>
    </row>
    <row r="110" spans="2:7" x14ac:dyDescent="0.45">
      <c r="B110" s="4" t="s">
        <v>374</v>
      </c>
      <c r="C110" s="11"/>
      <c r="D110" s="21">
        <v>9</v>
      </c>
      <c r="E110" s="11" t="s">
        <v>211</v>
      </c>
      <c r="F110" s="8" t="s">
        <v>375</v>
      </c>
      <c r="G110" s="16" t="s">
        <v>376</v>
      </c>
    </row>
    <row r="111" spans="2:7" ht="34.049999999999997" customHeight="1" x14ac:dyDescent="0.45">
      <c r="B111" s="4" t="s">
        <v>377</v>
      </c>
      <c r="C111" s="11"/>
      <c r="D111" s="21">
        <v>4.25</v>
      </c>
      <c r="E111" s="11" t="s">
        <v>211</v>
      </c>
      <c r="F111" s="8" t="s">
        <v>378</v>
      </c>
      <c r="G111" s="16" t="s">
        <v>2708</v>
      </c>
    </row>
    <row r="112" spans="2:7" x14ac:dyDescent="0.45">
      <c r="B112" s="4" t="s">
        <v>379</v>
      </c>
      <c r="C112" s="11"/>
      <c r="D112" s="21">
        <v>8</v>
      </c>
      <c r="E112" s="11" t="s">
        <v>211</v>
      </c>
      <c r="F112" s="8" t="s">
        <v>380</v>
      </c>
      <c r="G112" s="16" t="s">
        <v>381</v>
      </c>
    </row>
    <row r="113" spans="1:7" x14ac:dyDescent="0.45">
      <c r="B113" s="4" t="s">
        <v>382</v>
      </c>
      <c r="C113" s="11"/>
      <c r="D113" s="21">
        <v>6</v>
      </c>
      <c r="E113" s="11" t="s">
        <v>211</v>
      </c>
      <c r="F113" s="8" t="s">
        <v>383</v>
      </c>
      <c r="G113" s="16" t="s">
        <v>384</v>
      </c>
    </row>
    <row r="114" spans="1:7" x14ac:dyDescent="0.45">
      <c r="B114" s="4" t="s">
        <v>385</v>
      </c>
      <c r="C114" s="11"/>
      <c r="D114" s="21">
        <v>5.5</v>
      </c>
      <c r="E114" s="11" t="s">
        <v>211</v>
      </c>
      <c r="F114" s="8" t="s">
        <v>386</v>
      </c>
      <c r="G114" s="16" t="s">
        <v>387</v>
      </c>
    </row>
    <row r="115" spans="1:7" x14ac:dyDescent="0.45">
      <c r="B115" s="4" t="s">
        <v>388</v>
      </c>
      <c r="C115" s="11"/>
      <c r="D115" s="21">
        <v>0.5</v>
      </c>
      <c r="E115" s="11" t="s">
        <v>211</v>
      </c>
      <c r="F115" s="8" t="s">
        <v>389</v>
      </c>
      <c r="G115" s="16" t="s">
        <v>390</v>
      </c>
    </row>
    <row r="116" spans="1:7" x14ac:dyDescent="0.45">
      <c r="B116" s="4" t="s">
        <v>391</v>
      </c>
      <c r="C116" s="11"/>
      <c r="D116" s="22">
        <v>48.269044756099099</v>
      </c>
      <c r="E116" s="11" t="s">
        <v>135</v>
      </c>
      <c r="F116" s="8" t="s">
        <v>392</v>
      </c>
      <c r="G116" s="16" t="s">
        <v>393</v>
      </c>
    </row>
    <row r="117" spans="1:7" x14ac:dyDescent="0.45">
      <c r="B117" s="4" t="s">
        <v>394</v>
      </c>
      <c r="C117" s="11"/>
      <c r="D117" s="22">
        <v>48.264512455291452</v>
      </c>
      <c r="E117" s="11" t="s">
        <v>135</v>
      </c>
      <c r="F117" s="8" t="s">
        <v>395</v>
      </c>
      <c r="G117" s="16" t="s">
        <v>396</v>
      </c>
    </row>
    <row r="119" spans="1:7" x14ac:dyDescent="0.45">
      <c r="A119" s="17" t="s">
        <v>397</v>
      </c>
      <c r="B119" s="18"/>
      <c r="C119" s="18"/>
      <c r="D119" s="18"/>
      <c r="E119" s="18"/>
      <c r="F119" s="18"/>
      <c r="G119" s="18"/>
    </row>
    <row r="120" spans="1:7" ht="18" customHeight="1" x14ac:dyDescent="0.45">
      <c r="B120" s="19" t="s">
        <v>101</v>
      </c>
      <c r="C120" s="19" t="s">
        <v>102</v>
      </c>
      <c r="D120" s="19" t="s">
        <v>103</v>
      </c>
      <c r="E120" s="19" t="s">
        <v>104</v>
      </c>
      <c r="F120" s="19" t="s">
        <v>105</v>
      </c>
      <c r="G120" s="19" t="s">
        <v>106</v>
      </c>
    </row>
    <row r="121" spans="1:7" x14ac:dyDescent="0.45">
      <c r="B121" s="4" t="s">
        <v>280</v>
      </c>
      <c r="C121" s="11"/>
      <c r="D121" s="22">
        <v>3.5</v>
      </c>
      <c r="E121" s="11" t="s">
        <v>135</v>
      </c>
      <c r="F121" s="8" t="s">
        <v>398</v>
      </c>
      <c r="G121" s="16" t="s">
        <v>399</v>
      </c>
    </row>
    <row r="122" spans="1:7" x14ac:dyDescent="0.45">
      <c r="B122" s="4" t="s">
        <v>277</v>
      </c>
      <c r="C122" s="11"/>
      <c r="D122" s="22">
        <v>3</v>
      </c>
      <c r="E122" s="11" t="s">
        <v>135</v>
      </c>
      <c r="F122" s="8" t="s">
        <v>400</v>
      </c>
      <c r="G122" s="16" t="s">
        <v>401</v>
      </c>
    </row>
    <row r="123" spans="1:7" x14ac:dyDescent="0.45">
      <c r="B123" s="4" t="s">
        <v>283</v>
      </c>
      <c r="C123" s="11"/>
      <c r="D123" s="22"/>
      <c r="E123" s="11" t="s">
        <v>135</v>
      </c>
      <c r="F123" s="8" t="s">
        <v>402</v>
      </c>
      <c r="G123" s="16" t="s">
        <v>403</v>
      </c>
    </row>
    <row r="124" spans="1:7" x14ac:dyDescent="0.45">
      <c r="B124" s="4" t="s">
        <v>286</v>
      </c>
      <c r="C124" s="11"/>
      <c r="D124" s="21">
        <v>4</v>
      </c>
      <c r="E124" s="11"/>
      <c r="F124" s="8" t="s">
        <v>404</v>
      </c>
      <c r="G124" s="16" t="s">
        <v>405</v>
      </c>
    </row>
    <row r="125" spans="1:7" x14ac:dyDescent="0.45">
      <c r="B125" s="4" t="s">
        <v>334</v>
      </c>
      <c r="C125" s="11"/>
      <c r="D125" s="21">
        <v>18</v>
      </c>
      <c r="E125" s="11" t="s">
        <v>211</v>
      </c>
      <c r="F125" s="8" t="s">
        <v>406</v>
      </c>
      <c r="G125" s="16" t="s">
        <v>407</v>
      </c>
    </row>
    <row r="126" spans="1:7" x14ac:dyDescent="0.45">
      <c r="B126" s="4" t="s">
        <v>337</v>
      </c>
      <c r="C126" s="11"/>
      <c r="D126" s="21">
        <v>54</v>
      </c>
      <c r="E126" s="11" t="s">
        <v>211</v>
      </c>
      <c r="F126" s="8" t="s">
        <v>408</v>
      </c>
      <c r="G126" s="16" t="s">
        <v>409</v>
      </c>
    </row>
    <row r="127" spans="1:7" x14ac:dyDescent="0.45">
      <c r="B127" s="4" t="s">
        <v>298</v>
      </c>
      <c r="C127" s="11"/>
      <c r="D127" s="21">
        <v>27.5</v>
      </c>
      <c r="E127" s="11" t="s">
        <v>211</v>
      </c>
      <c r="F127" s="8" t="s">
        <v>410</v>
      </c>
      <c r="G127" s="16" t="s">
        <v>411</v>
      </c>
    </row>
    <row r="128" spans="1:7" x14ac:dyDescent="0.45">
      <c r="B128" s="4" t="s">
        <v>301</v>
      </c>
      <c r="C128" s="11"/>
      <c r="D128" s="21">
        <v>12</v>
      </c>
      <c r="E128" s="11" t="s">
        <v>211</v>
      </c>
      <c r="F128" s="8" t="s">
        <v>412</v>
      </c>
      <c r="G128" s="16" t="s">
        <v>413</v>
      </c>
    </row>
    <row r="129" spans="2:7" x14ac:dyDescent="0.45">
      <c r="B129" s="4" t="s">
        <v>268</v>
      </c>
      <c r="C129" s="11"/>
      <c r="D129" s="25">
        <v>2.5625</v>
      </c>
      <c r="E129" s="11" t="s">
        <v>211</v>
      </c>
      <c r="F129" s="8" t="s">
        <v>414</v>
      </c>
      <c r="G129" s="16" t="s">
        <v>415</v>
      </c>
    </row>
    <row r="130" spans="2:7" x14ac:dyDescent="0.45">
      <c r="B130" s="4" t="s">
        <v>271</v>
      </c>
      <c r="C130" s="11"/>
      <c r="D130" s="21">
        <v>10</v>
      </c>
      <c r="E130" s="11" t="s">
        <v>211</v>
      </c>
      <c r="F130" s="8" t="s">
        <v>416</v>
      </c>
      <c r="G130" s="16" t="s">
        <v>417</v>
      </c>
    </row>
    <row r="131" spans="2:7" x14ac:dyDescent="0.45">
      <c r="B131" s="4" t="s">
        <v>274</v>
      </c>
      <c r="C131" s="11"/>
      <c r="D131" s="21">
        <v>32</v>
      </c>
      <c r="E131" s="11" t="s">
        <v>211</v>
      </c>
      <c r="F131" s="8" t="s">
        <v>418</v>
      </c>
      <c r="G131" s="16" t="s">
        <v>419</v>
      </c>
    </row>
    <row r="132" spans="2:7" x14ac:dyDescent="0.45">
      <c r="B132" s="4" t="s">
        <v>304</v>
      </c>
      <c r="C132" s="11"/>
      <c r="D132" s="21">
        <v>6</v>
      </c>
      <c r="E132" s="11" t="s">
        <v>211</v>
      </c>
      <c r="F132" s="8" t="s">
        <v>420</v>
      </c>
      <c r="G132" s="16" t="s">
        <v>421</v>
      </c>
    </row>
    <row r="133" spans="2:7" x14ac:dyDescent="0.45">
      <c r="B133" s="4" t="s">
        <v>307</v>
      </c>
      <c r="C133" s="11"/>
      <c r="D133" s="22"/>
      <c r="E133" s="11" t="s">
        <v>135</v>
      </c>
      <c r="F133" s="8" t="s">
        <v>422</v>
      </c>
      <c r="G133" s="16" t="s">
        <v>423</v>
      </c>
    </row>
    <row r="134" spans="2:7" x14ac:dyDescent="0.45">
      <c r="B134" s="4" t="s">
        <v>310</v>
      </c>
      <c r="C134" s="11"/>
      <c r="D134" s="22">
        <v>0</v>
      </c>
      <c r="E134" s="11" t="s">
        <v>135</v>
      </c>
      <c r="F134" s="8" t="s">
        <v>424</v>
      </c>
      <c r="G134" s="16" t="s">
        <v>425</v>
      </c>
    </row>
    <row r="135" spans="2:7" x14ac:dyDescent="0.45">
      <c r="B135" s="4" t="s">
        <v>313</v>
      </c>
      <c r="C135" s="11"/>
      <c r="D135" s="23">
        <v>0</v>
      </c>
      <c r="E135" s="11" t="s">
        <v>156</v>
      </c>
      <c r="F135" s="8" t="s">
        <v>426</v>
      </c>
      <c r="G135" s="16" t="s">
        <v>427</v>
      </c>
    </row>
    <row r="136" spans="2:7" x14ac:dyDescent="0.45">
      <c r="B136" s="4" t="s">
        <v>316</v>
      </c>
      <c r="C136" s="11"/>
      <c r="D136" s="21">
        <v>42</v>
      </c>
      <c r="E136" s="11" t="s">
        <v>211</v>
      </c>
      <c r="F136" s="8" t="s">
        <v>428</v>
      </c>
      <c r="G136" s="16" t="s">
        <v>429</v>
      </c>
    </row>
    <row r="137" spans="2:7" x14ac:dyDescent="0.45">
      <c r="B137" s="4" t="s">
        <v>360</v>
      </c>
      <c r="C137" s="11"/>
      <c r="D137" s="21">
        <v>30</v>
      </c>
      <c r="E137" s="11" t="s">
        <v>211</v>
      </c>
      <c r="F137" s="8" t="s">
        <v>430</v>
      </c>
      <c r="G137" s="16" t="s">
        <v>431</v>
      </c>
    </row>
    <row r="138" spans="2:7" x14ac:dyDescent="0.45">
      <c r="B138" s="4" t="s">
        <v>322</v>
      </c>
      <c r="C138" s="11"/>
      <c r="D138" s="21">
        <v>0.75</v>
      </c>
      <c r="E138" s="11" t="s">
        <v>211</v>
      </c>
      <c r="F138" s="8" t="s">
        <v>432</v>
      </c>
      <c r="G138" s="16" t="s">
        <v>433</v>
      </c>
    </row>
    <row r="139" spans="2:7" x14ac:dyDescent="0.45">
      <c r="B139" s="4" t="s">
        <v>365</v>
      </c>
      <c r="C139" s="11"/>
      <c r="D139" s="21">
        <v>12</v>
      </c>
      <c r="E139" s="11" t="s">
        <v>211</v>
      </c>
      <c r="F139" s="8" t="s">
        <v>434</v>
      </c>
      <c r="G139" s="16" t="s">
        <v>435</v>
      </c>
    </row>
    <row r="140" spans="2:7" x14ac:dyDescent="0.45">
      <c r="B140" s="4" t="s">
        <v>368</v>
      </c>
      <c r="C140" s="11"/>
      <c r="D140" s="21">
        <v>0</v>
      </c>
      <c r="E140" s="11" t="s">
        <v>211</v>
      </c>
      <c r="F140" s="8" t="s">
        <v>436</v>
      </c>
      <c r="G140" s="16" t="s">
        <v>437</v>
      </c>
    </row>
    <row r="141" spans="2:7" x14ac:dyDescent="0.45">
      <c r="B141" s="4" t="s">
        <v>371</v>
      </c>
      <c r="C141" s="11"/>
      <c r="D141" s="21">
        <v>3</v>
      </c>
      <c r="E141" s="11" t="s">
        <v>211</v>
      </c>
      <c r="F141" s="8" t="s">
        <v>438</v>
      </c>
      <c r="G141" s="16" t="s">
        <v>439</v>
      </c>
    </row>
    <row r="142" spans="2:7" x14ac:dyDescent="0.45">
      <c r="B142" s="4" t="s">
        <v>374</v>
      </c>
      <c r="C142" s="11"/>
      <c r="D142" s="21">
        <v>9</v>
      </c>
      <c r="E142" s="11" t="s">
        <v>211</v>
      </c>
      <c r="F142" s="8" t="s">
        <v>440</v>
      </c>
      <c r="G142" s="16" t="s">
        <v>441</v>
      </c>
    </row>
    <row r="143" spans="2:7" ht="34.049999999999997" customHeight="1" x14ac:dyDescent="0.45">
      <c r="B143" s="4" t="s">
        <v>377</v>
      </c>
      <c r="C143" s="11"/>
      <c r="D143" s="21">
        <v>4.25</v>
      </c>
      <c r="E143" s="11" t="s">
        <v>211</v>
      </c>
      <c r="F143" s="8" t="s">
        <v>442</v>
      </c>
      <c r="G143" s="16" t="s">
        <v>2709</v>
      </c>
    </row>
    <row r="144" spans="2:7" x14ac:dyDescent="0.45">
      <c r="B144" s="4" t="s">
        <v>379</v>
      </c>
      <c r="C144" s="11"/>
      <c r="D144" s="21">
        <v>8</v>
      </c>
      <c r="E144" s="11" t="s">
        <v>211</v>
      </c>
      <c r="F144" s="8" t="s">
        <v>443</v>
      </c>
      <c r="G144" s="16" t="s">
        <v>444</v>
      </c>
    </row>
    <row r="145" spans="1:7" x14ac:dyDescent="0.45">
      <c r="B145" s="4" t="s">
        <v>382</v>
      </c>
      <c r="C145" s="11"/>
      <c r="D145" s="21">
        <v>6</v>
      </c>
      <c r="E145" s="11" t="s">
        <v>211</v>
      </c>
      <c r="F145" s="8" t="s">
        <v>445</v>
      </c>
      <c r="G145" s="16" t="s">
        <v>446</v>
      </c>
    </row>
    <row r="146" spans="1:7" x14ac:dyDescent="0.45">
      <c r="B146" s="4" t="s">
        <v>385</v>
      </c>
      <c r="C146" s="11"/>
      <c r="D146" s="21">
        <v>5.5</v>
      </c>
      <c r="E146" s="11" t="s">
        <v>211</v>
      </c>
      <c r="F146" s="8" t="s">
        <v>447</v>
      </c>
      <c r="G146" s="16" t="s">
        <v>448</v>
      </c>
    </row>
    <row r="147" spans="1:7" x14ac:dyDescent="0.45">
      <c r="B147" s="4" t="s">
        <v>388</v>
      </c>
      <c r="C147" s="11"/>
      <c r="D147" s="21">
        <v>0.5</v>
      </c>
      <c r="E147" s="11" t="s">
        <v>211</v>
      </c>
      <c r="F147" s="8" t="s">
        <v>449</v>
      </c>
      <c r="G147" s="16" t="s">
        <v>450</v>
      </c>
    </row>
    <row r="148" spans="1:7" x14ac:dyDescent="0.45">
      <c r="B148" s="4" t="s">
        <v>391</v>
      </c>
      <c r="C148" s="11"/>
      <c r="D148" s="22">
        <v>48.277042695716602</v>
      </c>
      <c r="E148" s="11" t="s">
        <v>135</v>
      </c>
      <c r="F148" s="8" t="s">
        <v>451</v>
      </c>
      <c r="G148" s="16" t="s">
        <v>452</v>
      </c>
    </row>
    <row r="149" spans="1:7" x14ac:dyDescent="0.45">
      <c r="B149" s="4" t="s">
        <v>394</v>
      </c>
      <c r="C149" s="11"/>
      <c r="D149" s="22">
        <v>48.259802877755398</v>
      </c>
      <c r="E149" s="11" t="s">
        <v>135</v>
      </c>
      <c r="F149" s="8" t="s">
        <v>453</v>
      </c>
      <c r="G149" s="16" t="s">
        <v>454</v>
      </c>
    </row>
    <row r="151" spans="1:7" x14ac:dyDescent="0.45">
      <c r="A151" s="17" t="s">
        <v>455</v>
      </c>
      <c r="B151" s="18"/>
      <c r="C151" s="18"/>
      <c r="D151" s="18"/>
      <c r="E151" s="18"/>
      <c r="F151" s="18"/>
      <c r="G151" s="18"/>
    </row>
    <row r="152" spans="1:7" ht="18" customHeight="1" x14ac:dyDescent="0.45">
      <c r="B152" s="19" t="s">
        <v>101</v>
      </c>
      <c r="C152" s="19" t="s">
        <v>102</v>
      </c>
      <c r="D152" s="19" t="s">
        <v>103</v>
      </c>
      <c r="E152" s="19" t="s">
        <v>104</v>
      </c>
      <c r="F152" s="19" t="s">
        <v>105</v>
      </c>
      <c r="G152" s="19" t="s">
        <v>106</v>
      </c>
    </row>
    <row r="153" spans="1:7" x14ac:dyDescent="0.45">
      <c r="B153" s="4" t="s">
        <v>456</v>
      </c>
      <c r="C153" s="11"/>
      <c r="D153" s="22">
        <v>17</v>
      </c>
      <c r="E153" s="11" t="s">
        <v>135</v>
      </c>
      <c r="F153" s="8" t="s">
        <v>457</v>
      </c>
      <c r="G153" s="16" t="s">
        <v>458</v>
      </c>
    </row>
    <row r="154" spans="1:7" x14ac:dyDescent="0.45">
      <c r="B154" s="4" t="s">
        <v>459</v>
      </c>
      <c r="C154" s="11"/>
      <c r="D154" s="22">
        <v>1593.22</v>
      </c>
      <c r="E154" s="11" t="s">
        <v>135</v>
      </c>
      <c r="F154" s="8" t="s">
        <v>460</v>
      </c>
      <c r="G154" s="16" t="s">
        <v>461</v>
      </c>
    </row>
    <row r="155" spans="1:7" ht="26" customHeight="1" x14ac:dyDescent="0.45">
      <c r="B155" s="4" t="s">
        <v>462</v>
      </c>
      <c r="C155" s="11"/>
      <c r="D155" s="20" t="s">
        <v>463</v>
      </c>
      <c r="E155" s="11"/>
      <c r="F155" s="8" t="s">
        <v>464</v>
      </c>
      <c r="G155" s="16" t="s">
        <v>465</v>
      </c>
    </row>
    <row r="157" spans="1:7" x14ac:dyDescent="0.45">
      <c r="A157" s="17" t="s">
        <v>466</v>
      </c>
      <c r="B157" s="18"/>
      <c r="C157" s="18"/>
      <c r="D157" s="18"/>
      <c r="E157" s="18"/>
      <c r="F157" s="18"/>
      <c r="G157" s="18"/>
    </row>
    <row r="158" spans="1:7" ht="18" customHeight="1" x14ac:dyDescent="0.45">
      <c r="B158" s="19" t="s">
        <v>101</v>
      </c>
      <c r="C158" s="19" t="s">
        <v>467</v>
      </c>
      <c r="D158" s="19" t="s">
        <v>468</v>
      </c>
      <c r="E158" s="19" t="s">
        <v>469</v>
      </c>
      <c r="F158" s="19" t="s">
        <v>104</v>
      </c>
      <c r="G158" s="19" t="s">
        <v>470</v>
      </c>
    </row>
    <row r="159" spans="1:7" x14ac:dyDescent="0.45">
      <c r="B159" s="11" t="s">
        <v>471</v>
      </c>
      <c r="C159" s="8" t="s">
        <v>472</v>
      </c>
      <c r="D159" s="26" t="s">
        <v>473</v>
      </c>
      <c r="E159" s="26" t="s">
        <v>474</v>
      </c>
      <c r="F159" s="11"/>
      <c r="G159" s="8" t="s">
        <v>475</v>
      </c>
    </row>
    <row r="160" spans="1:7" x14ac:dyDescent="0.45">
      <c r="B160" s="11" t="s">
        <v>189</v>
      </c>
      <c r="C160" s="8" t="s">
        <v>476</v>
      </c>
      <c r="D160" s="26" t="s">
        <v>477</v>
      </c>
      <c r="E160" s="26" t="s">
        <v>477</v>
      </c>
      <c r="F160" s="11"/>
      <c r="G160" s="8" t="s">
        <v>478</v>
      </c>
    </row>
    <row r="161" spans="2:7" x14ac:dyDescent="0.45">
      <c r="B161" s="11" t="s">
        <v>479</v>
      </c>
      <c r="C161" s="8" t="s">
        <v>480</v>
      </c>
      <c r="D161" s="27">
        <v>106.97499999999999</v>
      </c>
      <c r="E161" s="27">
        <v>104.52500000000001</v>
      </c>
      <c r="F161" s="11" t="s">
        <v>135</v>
      </c>
      <c r="G161" s="8" t="s">
        <v>481</v>
      </c>
    </row>
    <row r="162" spans="2:7" x14ac:dyDescent="0.45">
      <c r="B162" s="11" t="s">
        <v>482</v>
      </c>
      <c r="C162" s="8" t="s">
        <v>483</v>
      </c>
      <c r="D162" s="26">
        <v>9</v>
      </c>
      <c r="E162" s="26">
        <v>9</v>
      </c>
      <c r="F162" s="11" t="s">
        <v>211</v>
      </c>
      <c r="G162" s="8" t="s">
        <v>484</v>
      </c>
    </row>
    <row r="163" spans="2:7" x14ac:dyDescent="0.45">
      <c r="B163" s="11" t="s">
        <v>485</v>
      </c>
      <c r="C163" s="8" t="s">
        <v>486</v>
      </c>
      <c r="D163" s="26">
        <v>10</v>
      </c>
      <c r="E163" s="26">
        <v>10</v>
      </c>
      <c r="F163" s="11" t="s">
        <v>211</v>
      </c>
      <c r="G163" s="8" t="s">
        <v>487</v>
      </c>
    </row>
    <row r="164" spans="2:7" x14ac:dyDescent="0.45">
      <c r="B164" s="11" t="s">
        <v>197</v>
      </c>
      <c r="C164" s="8" t="s">
        <v>488</v>
      </c>
      <c r="D164" s="27">
        <v>8.5830000000000002</v>
      </c>
      <c r="E164" s="27">
        <v>8.5830000000000002</v>
      </c>
      <c r="F164" s="11" t="s">
        <v>135</v>
      </c>
      <c r="G164" s="8" t="s">
        <v>489</v>
      </c>
    </row>
    <row r="165" spans="2:7" x14ac:dyDescent="0.45">
      <c r="B165" s="11" t="s">
        <v>176</v>
      </c>
      <c r="C165" s="8" t="s">
        <v>490</v>
      </c>
      <c r="D165" s="28">
        <v>5.9999999999999991</v>
      </c>
      <c r="E165" s="28">
        <v>5.9999999999999991</v>
      </c>
      <c r="F165" s="11" t="s">
        <v>211</v>
      </c>
      <c r="G165" s="8" t="s">
        <v>491</v>
      </c>
    </row>
    <row r="166" spans="2:7" x14ac:dyDescent="0.45">
      <c r="B166" s="11" t="s">
        <v>492</v>
      </c>
      <c r="C166" s="8" t="s">
        <v>493</v>
      </c>
      <c r="D166" s="28">
        <v>1</v>
      </c>
      <c r="E166" s="28">
        <v>1</v>
      </c>
      <c r="F166" s="11" t="s">
        <v>211</v>
      </c>
      <c r="G166" s="8" t="s">
        <v>494</v>
      </c>
    </row>
    <row r="167" spans="2:7" x14ac:dyDescent="0.45">
      <c r="B167" s="11" t="s">
        <v>495</v>
      </c>
      <c r="C167" s="8" t="s">
        <v>495</v>
      </c>
      <c r="D167" s="26">
        <v>0</v>
      </c>
      <c r="E167" s="26">
        <v>0</v>
      </c>
      <c r="F167" s="11" t="s">
        <v>496</v>
      </c>
      <c r="G167" s="8" t="s">
        <v>497</v>
      </c>
    </row>
    <row r="168" spans="2:7" x14ac:dyDescent="0.45">
      <c r="B168" s="11" t="s">
        <v>498</v>
      </c>
      <c r="C168" s="8" t="s">
        <v>499</v>
      </c>
      <c r="D168" s="26">
        <v>8.5</v>
      </c>
      <c r="E168" s="26">
        <v>8.5</v>
      </c>
      <c r="F168" s="11" t="s">
        <v>500</v>
      </c>
      <c r="G168" s="8" t="s">
        <v>501</v>
      </c>
    </row>
    <row r="169" spans="2:7" x14ac:dyDescent="0.45">
      <c r="B169" s="11" t="s">
        <v>502</v>
      </c>
      <c r="C169" s="8" t="s">
        <v>503</v>
      </c>
      <c r="D169" s="26">
        <v>6</v>
      </c>
      <c r="E169" s="26">
        <v>6</v>
      </c>
      <c r="F169" s="11" t="s">
        <v>500</v>
      </c>
      <c r="G169" s="8" t="s">
        <v>504</v>
      </c>
    </row>
    <row r="170" spans="2:7" x14ac:dyDescent="0.45">
      <c r="B170" s="11" t="s">
        <v>505</v>
      </c>
      <c r="C170" s="8" t="s">
        <v>506</v>
      </c>
      <c r="D170" s="29">
        <v>4557.2952221500991</v>
      </c>
      <c r="E170" s="29">
        <v>4557.2952221500991</v>
      </c>
      <c r="F170" s="11" t="s">
        <v>500</v>
      </c>
      <c r="G170" s="8" t="s">
        <v>507</v>
      </c>
    </row>
    <row r="171" spans="2:7" x14ac:dyDescent="0.45">
      <c r="B171" s="11" t="s">
        <v>508</v>
      </c>
      <c r="C171" s="8" t="s">
        <v>509</v>
      </c>
      <c r="D171" s="29">
        <v>5112.4078850511287</v>
      </c>
      <c r="E171" s="29">
        <v>5112.4078850511287</v>
      </c>
      <c r="F171" s="11" t="s">
        <v>500</v>
      </c>
      <c r="G171" s="8" t="s">
        <v>510</v>
      </c>
    </row>
    <row r="172" spans="2:7" x14ac:dyDescent="0.45">
      <c r="B172" s="11" t="s">
        <v>511</v>
      </c>
      <c r="C172" s="8" t="s">
        <v>512</v>
      </c>
      <c r="D172" s="26">
        <v>75</v>
      </c>
      <c r="E172" s="26">
        <v>75</v>
      </c>
      <c r="F172" s="11" t="s">
        <v>513</v>
      </c>
      <c r="G172" s="8" t="s">
        <v>514</v>
      </c>
    </row>
    <row r="173" spans="2:7" x14ac:dyDescent="0.45">
      <c r="B173" s="11" t="s">
        <v>515</v>
      </c>
      <c r="C173" s="8" t="s">
        <v>515</v>
      </c>
      <c r="D173" s="26" t="s">
        <v>516</v>
      </c>
      <c r="E173" s="26" t="s">
        <v>516</v>
      </c>
      <c r="F173" s="11"/>
      <c r="G173" s="8" t="s">
        <v>517</v>
      </c>
    </row>
    <row r="174" spans="2:7" x14ac:dyDescent="0.45">
      <c r="B174" s="11" t="s">
        <v>518</v>
      </c>
      <c r="C174" s="8" t="s">
        <v>519</v>
      </c>
      <c r="D174" s="26" t="s">
        <v>520</v>
      </c>
      <c r="E174" s="26" t="s">
        <v>520</v>
      </c>
      <c r="F174" s="11"/>
      <c r="G174" s="8" t="s">
        <v>521</v>
      </c>
    </row>
    <row r="175" spans="2:7" x14ac:dyDescent="0.45">
      <c r="B175" s="11" t="s">
        <v>522</v>
      </c>
      <c r="C175" s="8" t="s">
        <v>523</v>
      </c>
      <c r="D175" s="28">
        <v>0.217</v>
      </c>
      <c r="E175" s="28">
        <v>0.217</v>
      </c>
      <c r="F175" s="11" t="s">
        <v>524</v>
      </c>
      <c r="G175" s="8" t="s">
        <v>525</v>
      </c>
    </row>
    <row r="176" spans="2:7" x14ac:dyDescent="0.45">
      <c r="B176" s="11" t="s">
        <v>526</v>
      </c>
      <c r="C176" s="8" t="s">
        <v>527</v>
      </c>
      <c r="D176" s="26">
        <v>39</v>
      </c>
      <c r="E176" s="26">
        <v>39</v>
      </c>
      <c r="F176" s="11"/>
      <c r="G176" s="8" t="s">
        <v>528</v>
      </c>
    </row>
    <row r="177" spans="2:7" x14ac:dyDescent="0.45">
      <c r="B177" s="11" t="s">
        <v>529</v>
      </c>
      <c r="C177" s="8" t="s">
        <v>530</v>
      </c>
      <c r="D177" s="26">
        <v>8</v>
      </c>
      <c r="E177" s="26">
        <v>8</v>
      </c>
      <c r="F177" s="11"/>
      <c r="G177" s="8" t="s">
        <v>531</v>
      </c>
    </row>
    <row r="178" spans="2:7" x14ac:dyDescent="0.45">
      <c r="B178" s="11" t="s">
        <v>532</v>
      </c>
      <c r="C178" s="8" t="s">
        <v>533</v>
      </c>
      <c r="D178" s="27">
        <v>43.942500000000003</v>
      </c>
      <c r="E178" s="27">
        <v>43.942500000000003</v>
      </c>
      <c r="F178" s="11" t="s">
        <v>534</v>
      </c>
      <c r="G178" s="8" t="s">
        <v>535</v>
      </c>
    </row>
    <row r="179" spans="2:7" x14ac:dyDescent="0.45">
      <c r="B179" s="11" t="s">
        <v>536</v>
      </c>
      <c r="C179" s="8" t="s">
        <v>537</v>
      </c>
      <c r="D179" s="26">
        <v>4</v>
      </c>
      <c r="E179" s="26">
        <v>4</v>
      </c>
      <c r="F179" s="11"/>
      <c r="G179" s="8" t="s">
        <v>538</v>
      </c>
    </row>
    <row r="180" spans="2:7" x14ac:dyDescent="0.45">
      <c r="B180" s="11" t="s">
        <v>539</v>
      </c>
      <c r="C180" s="8" t="s">
        <v>540</v>
      </c>
      <c r="D180" s="26">
        <v>10</v>
      </c>
      <c r="E180" s="26">
        <v>10</v>
      </c>
      <c r="F180" s="11" t="s">
        <v>534</v>
      </c>
      <c r="G180" s="8" t="s">
        <v>541</v>
      </c>
    </row>
    <row r="181" spans="2:7" x14ac:dyDescent="0.45">
      <c r="B181" s="11" t="s">
        <v>542</v>
      </c>
      <c r="C181" s="8" t="s">
        <v>543</v>
      </c>
      <c r="D181" s="28">
        <v>0.37499999999999989</v>
      </c>
      <c r="E181" s="28">
        <v>0.37499999999999989</v>
      </c>
      <c r="F181" s="11" t="s">
        <v>211</v>
      </c>
      <c r="G181" s="8" t="s">
        <v>544</v>
      </c>
    </row>
    <row r="182" spans="2:7" x14ac:dyDescent="0.45">
      <c r="B182" s="11" t="s">
        <v>545</v>
      </c>
      <c r="C182" s="8" t="s">
        <v>546</v>
      </c>
      <c r="D182" s="30">
        <v>0.95831970423055435</v>
      </c>
      <c r="E182" s="30">
        <v>0.95831970423055435</v>
      </c>
      <c r="F182" s="11"/>
      <c r="G182" s="8" t="s">
        <v>547</v>
      </c>
    </row>
    <row r="183" spans="2:7" x14ac:dyDescent="0.45">
      <c r="B183" s="11" t="s">
        <v>548</v>
      </c>
      <c r="C183" s="8" t="s">
        <v>549</v>
      </c>
      <c r="D183" s="31">
        <v>-2.5204081632653071E-4</v>
      </c>
      <c r="E183" s="31">
        <v>-2.5204081632653071E-4</v>
      </c>
      <c r="F183" s="11"/>
      <c r="G183" s="8" t="s">
        <v>550</v>
      </c>
    </row>
    <row r="184" spans="2:7" x14ac:dyDescent="0.45">
      <c r="B184" s="11" t="s">
        <v>551</v>
      </c>
      <c r="C184" s="8" t="s">
        <v>552</v>
      </c>
      <c r="D184" s="27">
        <v>1.3711621824106019</v>
      </c>
      <c r="E184" s="27">
        <v>1.4647225816175331</v>
      </c>
      <c r="F184" s="11" t="s">
        <v>211</v>
      </c>
      <c r="G184" s="8" t="s">
        <v>553</v>
      </c>
    </row>
    <row r="185" spans="2:7" x14ac:dyDescent="0.45">
      <c r="B185" s="11" t="s">
        <v>554</v>
      </c>
      <c r="C185" s="8" t="s">
        <v>555</v>
      </c>
      <c r="D185" s="27">
        <v>3.3554492587274489</v>
      </c>
      <c r="E185" s="27">
        <v>3.5081217611761781</v>
      </c>
      <c r="F185" s="11" t="s">
        <v>211</v>
      </c>
      <c r="G185" s="8" t="s">
        <v>556</v>
      </c>
    </row>
    <row r="186" spans="2:7" x14ac:dyDescent="0.45">
      <c r="B186" s="11" t="s">
        <v>557</v>
      </c>
      <c r="C186" s="8" t="s">
        <v>558</v>
      </c>
      <c r="D186" s="27">
        <v>-2.4716060425989741</v>
      </c>
      <c r="E186" s="27">
        <v>-2.2498277075689281</v>
      </c>
      <c r="F186" s="11" t="s">
        <v>211</v>
      </c>
      <c r="G186" s="8" t="s">
        <v>559</v>
      </c>
    </row>
    <row r="187" spans="2:7" x14ac:dyDescent="0.45">
      <c r="B187" s="11" t="s">
        <v>560</v>
      </c>
      <c r="C187" s="8" t="s">
        <v>561</v>
      </c>
      <c r="D187" s="27">
        <v>-0.75925047212190155</v>
      </c>
      <c r="E187" s="27">
        <v>-0.6911225905522429</v>
      </c>
      <c r="F187" s="11" t="s">
        <v>211</v>
      </c>
      <c r="G187" s="8" t="s">
        <v>562</v>
      </c>
    </row>
    <row r="188" spans="2:7" x14ac:dyDescent="0.45">
      <c r="B188" s="11" t="s">
        <v>563</v>
      </c>
      <c r="C188" s="8" t="s">
        <v>564</v>
      </c>
      <c r="D188" s="30">
        <v>0.124592744006574</v>
      </c>
      <c r="E188" s="30">
        <v>0.56717146305500721</v>
      </c>
      <c r="F188" s="11" t="s">
        <v>211</v>
      </c>
      <c r="G188" s="8" t="s">
        <v>565</v>
      </c>
    </row>
    <row r="189" spans="2:7" x14ac:dyDescent="0.45">
      <c r="B189" s="11" t="s">
        <v>566</v>
      </c>
      <c r="C189" s="8" t="s">
        <v>567</v>
      </c>
      <c r="D189" s="32">
        <v>3</v>
      </c>
      <c r="E189" s="32">
        <v>3</v>
      </c>
      <c r="F189" s="11" t="s">
        <v>211</v>
      </c>
      <c r="G189" s="8" t="s">
        <v>568</v>
      </c>
    </row>
    <row r="190" spans="2:7" x14ac:dyDescent="0.45">
      <c r="B190" s="11" t="s">
        <v>569</v>
      </c>
      <c r="C190" s="8" t="s">
        <v>570</v>
      </c>
      <c r="D190" s="26">
        <v>3.5</v>
      </c>
      <c r="E190" s="26">
        <v>3.5</v>
      </c>
      <c r="F190" s="11" t="s">
        <v>211</v>
      </c>
      <c r="G190" s="8" t="s">
        <v>571</v>
      </c>
    </row>
    <row r="191" spans="2:7" x14ac:dyDescent="0.45">
      <c r="B191" s="11" t="s">
        <v>572</v>
      </c>
      <c r="C191" s="8" t="s">
        <v>573</v>
      </c>
      <c r="D191" s="26">
        <v>2</v>
      </c>
      <c r="E191" s="26">
        <v>2</v>
      </c>
      <c r="F191" s="11"/>
      <c r="G191" s="8" t="s">
        <v>574</v>
      </c>
    </row>
    <row r="192" spans="2:7" x14ac:dyDescent="0.45">
      <c r="B192" s="11" t="s">
        <v>575</v>
      </c>
      <c r="C192" s="8" t="s">
        <v>576</v>
      </c>
      <c r="D192" s="26">
        <v>1.24</v>
      </c>
      <c r="E192" s="26">
        <v>1.24</v>
      </c>
      <c r="F192" s="11" t="s">
        <v>524</v>
      </c>
      <c r="G192" s="8" t="s">
        <v>577</v>
      </c>
    </row>
    <row r="193" spans="2:7" x14ac:dyDescent="0.45">
      <c r="B193" s="11" t="s">
        <v>578</v>
      </c>
      <c r="C193" s="8" t="s">
        <v>579</v>
      </c>
      <c r="D193" s="26">
        <v>3.5</v>
      </c>
      <c r="E193" s="26">
        <v>3.5</v>
      </c>
      <c r="F193" s="11" t="s">
        <v>211</v>
      </c>
      <c r="G193" s="8" t="s">
        <v>580</v>
      </c>
    </row>
    <row r="194" spans="2:7" x14ac:dyDescent="0.45">
      <c r="B194" s="11" t="s">
        <v>581</v>
      </c>
      <c r="C194" s="8" t="s">
        <v>582</v>
      </c>
      <c r="D194" s="26">
        <v>2</v>
      </c>
      <c r="E194" s="26">
        <v>2</v>
      </c>
      <c r="F194" s="11"/>
      <c r="G194" s="8" t="s">
        <v>583</v>
      </c>
    </row>
    <row r="195" spans="2:7" x14ac:dyDescent="0.45">
      <c r="B195" s="11" t="s">
        <v>584</v>
      </c>
      <c r="C195" s="8" t="s">
        <v>585</v>
      </c>
      <c r="D195" s="26">
        <v>0.62</v>
      </c>
      <c r="E195" s="26">
        <v>0.62</v>
      </c>
      <c r="F195" s="11" t="s">
        <v>524</v>
      </c>
      <c r="G195" s="8" t="s">
        <v>586</v>
      </c>
    </row>
    <row r="196" spans="2:7" x14ac:dyDescent="0.45">
      <c r="B196" s="11" t="s">
        <v>587</v>
      </c>
      <c r="C196" s="8" t="s">
        <v>588</v>
      </c>
      <c r="D196" s="26">
        <v>3</v>
      </c>
      <c r="E196" s="26">
        <v>3</v>
      </c>
      <c r="F196" s="11" t="s">
        <v>211</v>
      </c>
      <c r="G196" s="8" t="s">
        <v>589</v>
      </c>
    </row>
    <row r="197" spans="2:7" x14ac:dyDescent="0.45">
      <c r="B197" s="11" t="s">
        <v>590</v>
      </c>
      <c r="C197" s="8" t="s">
        <v>591</v>
      </c>
      <c r="D197" s="26">
        <v>12</v>
      </c>
      <c r="E197" s="26">
        <v>12</v>
      </c>
      <c r="F197" s="11"/>
      <c r="G197" s="8" t="s">
        <v>592</v>
      </c>
    </row>
    <row r="198" spans="2:7" x14ac:dyDescent="0.45">
      <c r="B198" s="11" t="s">
        <v>593</v>
      </c>
      <c r="C198" s="8" t="s">
        <v>594</v>
      </c>
      <c r="D198" s="26">
        <v>0.31</v>
      </c>
      <c r="E198" s="26">
        <v>0.31</v>
      </c>
      <c r="F198" s="11" t="s">
        <v>524</v>
      </c>
      <c r="G198" s="8" t="s">
        <v>595</v>
      </c>
    </row>
    <row r="199" spans="2:7" x14ac:dyDescent="0.45">
      <c r="B199" s="11" t="s">
        <v>596</v>
      </c>
      <c r="C199" s="8" t="s">
        <v>597</v>
      </c>
      <c r="D199" s="26">
        <v>5.9999999999999991</v>
      </c>
      <c r="E199" s="26">
        <v>5.9999999999999991</v>
      </c>
      <c r="F199" s="11" t="s">
        <v>211</v>
      </c>
      <c r="G199" s="8" t="s">
        <v>598</v>
      </c>
    </row>
    <row r="200" spans="2:7" x14ac:dyDescent="0.45">
      <c r="B200" s="11" t="s">
        <v>599</v>
      </c>
      <c r="C200" s="8" t="s">
        <v>600</v>
      </c>
      <c r="D200" s="26">
        <v>30</v>
      </c>
      <c r="E200" s="26">
        <v>30</v>
      </c>
      <c r="F200" s="11"/>
      <c r="G200" s="8" t="s">
        <v>601</v>
      </c>
    </row>
    <row r="201" spans="2:7" x14ac:dyDescent="0.45">
      <c r="B201" s="11" t="s">
        <v>602</v>
      </c>
      <c r="C201" s="8" t="s">
        <v>603</v>
      </c>
      <c r="D201" s="26">
        <v>0.31</v>
      </c>
      <c r="E201" s="26">
        <v>0.31</v>
      </c>
      <c r="F201" s="11" t="s">
        <v>524</v>
      </c>
      <c r="G201" s="8" t="s">
        <v>604</v>
      </c>
    </row>
    <row r="202" spans="2:7" x14ac:dyDescent="0.45">
      <c r="B202" s="11" t="s">
        <v>605</v>
      </c>
      <c r="C202" s="8" t="s">
        <v>606</v>
      </c>
      <c r="D202" s="26">
        <v>9</v>
      </c>
      <c r="E202" s="26">
        <v>9</v>
      </c>
      <c r="F202" s="11" t="s">
        <v>211</v>
      </c>
      <c r="G202" s="8" t="s">
        <v>607</v>
      </c>
    </row>
    <row r="203" spans="2:7" x14ac:dyDescent="0.45">
      <c r="B203" s="11" t="s">
        <v>608</v>
      </c>
      <c r="C203" s="8" t="s">
        <v>609</v>
      </c>
      <c r="D203" s="26">
        <v>20</v>
      </c>
      <c r="E203" s="26">
        <v>20</v>
      </c>
      <c r="F203" s="11"/>
      <c r="G203" s="8" t="s">
        <v>610</v>
      </c>
    </row>
    <row r="204" spans="2:7" x14ac:dyDescent="0.45">
      <c r="B204" s="11" t="s">
        <v>611</v>
      </c>
      <c r="C204" s="8" t="s">
        <v>612</v>
      </c>
      <c r="D204" s="26">
        <v>0.31</v>
      </c>
      <c r="E204" s="26">
        <v>0.31</v>
      </c>
      <c r="F204" s="11" t="s">
        <v>524</v>
      </c>
      <c r="G204" s="8" t="s">
        <v>613</v>
      </c>
    </row>
    <row r="205" spans="2:7" x14ac:dyDescent="0.45">
      <c r="B205" s="11" t="s">
        <v>614</v>
      </c>
      <c r="C205" s="8" t="s">
        <v>615</v>
      </c>
      <c r="D205" s="26">
        <v>12</v>
      </c>
      <c r="E205" s="26">
        <v>12</v>
      </c>
      <c r="F205" s="11" t="s">
        <v>211</v>
      </c>
      <c r="G205" s="8" t="s">
        <v>616</v>
      </c>
    </row>
    <row r="206" spans="2:7" x14ac:dyDescent="0.45">
      <c r="B206" s="11" t="s">
        <v>617</v>
      </c>
      <c r="C206" s="8" t="s">
        <v>618</v>
      </c>
      <c r="D206" s="26">
        <v>5</v>
      </c>
      <c r="E206" s="26">
        <v>5</v>
      </c>
      <c r="F206" s="11"/>
      <c r="G206" s="8" t="s">
        <v>619</v>
      </c>
    </row>
    <row r="207" spans="2:7" x14ac:dyDescent="0.45">
      <c r="B207" s="11" t="s">
        <v>620</v>
      </c>
      <c r="C207" s="8" t="s">
        <v>621</v>
      </c>
      <c r="D207" s="26">
        <v>0.31</v>
      </c>
      <c r="E207" s="26">
        <v>0.31</v>
      </c>
      <c r="F207" s="11" t="s">
        <v>524</v>
      </c>
      <c r="G207" s="8" t="s">
        <v>622</v>
      </c>
    </row>
    <row r="208" spans="2:7" x14ac:dyDescent="0.45">
      <c r="B208" s="11" t="s">
        <v>623</v>
      </c>
      <c r="C208" s="8" t="s">
        <v>624</v>
      </c>
      <c r="D208" s="26">
        <v>18</v>
      </c>
      <c r="E208" s="26">
        <v>18</v>
      </c>
      <c r="F208" s="11" t="s">
        <v>211</v>
      </c>
      <c r="G208" s="8" t="s">
        <v>625</v>
      </c>
    </row>
    <row r="209" spans="1:7" x14ac:dyDescent="0.45">
      <c r="B209" s="11" t="s">
        <v>626</v>
      </c>
      <c r="C209" s="8" t="s">
        <v>627</v>
      </c>
      <c r="D209" s="26"/>
      <c r="E209" s="26"/>
      <c r="F209" s="11"/>
      <c r="G209" s="8" t="s">
        <v>628</v>
      </c>
    </row>
    <row r="210" spans="1:7" x14ac:dyDescent="0.45">
      <c r="B210" s="11" t="s">
        <v>629</v>
      </c>
      <c r="C210" s="8" t="s">
        <v>630</v>
      </c>
      <c r="D210" s="26">
        <v>0.31</v>
      </c>
      <c r="E210" s="26">
        <v>0.31</v>
      </c>
      <c r="F210" s="11" t="s">
        <v>524</v>
      </c>
      <c r="G210" s="8" t="s">
        <v>631</v>
      </c>
    </row>
    <row r="211" spans="1:7" x14ac:dyDescent="0.45">
      <c r="B211" s="8" t="s">
        <v>632</v>
      </c>
      <c r="G211" s="8" t="s">
        <v>633</v>
      </c>
    </row>
    <row r="212" spans="1:7" x14ac:dyDescent="0.45">
      <c r="B212" s="8" t="s">
        <v>634</v>
      </c>
      <c r="G212" s="8" t="s">
        <v>635</v>
      </c>
    </row>
    <row r="214" spans="1:7" x14ac:dyDescent="0.45">
      <c r="A214" s="17" t="s">
        <v>636</v>
      </c>
      <c r="B214" s="18"/>
      <c r="C214" s="18"/>
      <c r="D214" s="18"/>
      <c r="E214" s="18"/>
      <c r="F214" s="18"/>
      <c r="G214" s="18"/>
    </row>
    <row r="215" spans="1:7" ht="18" customHeight="1" x14ac:dyDescent="0.45">
      <c r="B215" s="19" t="s">
        <v>101</v>
      </c>
      <c r="C215" s="19" t="s">
        <v>102</v>
      </c>
      <c r="D215" s="19" t="s">
        <v>103</v>
      </c>
      <c r="E215" s="19" t="s">
        <v>104</v>
      </c>
      <c r="F215" s="19" t="s">
        <v>105</v>
      </c>
      <c r="G215" s="19" t="s">
        <v>106</v>
      </c>
    </row>
    <row r="216" spans="1:7" x14ac:dyDescent="0.45">
      <c r="B216" s="4" t="s">
        <v>637</v>
      </c>
      <c r="C216" s="11"/>
      <c r="D216" s="20" t="s">
        <v>638</v>
      </c>
      <c r="E216" s="11"/>
      <c r="F216" s="8" t="s">
        <v>639</v>
      </c>
      <c r="G216" s="16" t="s">
        <v>640</v>
      </c>
    </row>
    <row r="217" spans="1:7" x14ac:dyDescent="0.45">
      <c r="B217" s="4" t="s">
        <v>641</v>
      </c>
      <c r="C217" s="11"/>
      <c r="D217" s="21">
        <v>1</v>
      </c>
      <c r="E217" s="11"/>
      <c r="F217" s="8" t="s">
        <v>642</v>
      </c>
      <c r="G217" s="16" t="s">
        <v>643</v>
      </c>
    </row>
    <row r="218" spans="1:7" x14ac:dyDescent="0.45">
      <c r="B218" s="4" t="s">
        <v>644</v>
      </c>
      <c r="C218" s="11"/>
      <c r="D218" s="21">
        <v>1</v>
      </c>
      <c r="E218" s="11"/>
      <c r="F218" s="8" t="s">
        <v>645</v>
      </c>
      <c r="G218" s="16" t="s">
        <v>646</v>
      </c>
    </row>
    <row r="219" spans="1:7" x14ac:dyDescent="0.45">
      <c r="B219" s="4" t="s">
        <v>647</v>
      </c>
      <c r="C219" s="11"/>
      <c r="D219" s="20" t="s">
        <v>648</v>
      </c>
      <c r="E219" s="11"/>
      <c r="F219" s="8" t="s">
        <v>649</v>
      </c>
      <c r="G219" s="16" t="s">
        <v>650</v>
      </c>
    </row>
    <row r="220" spans="1:7" x14ac:dyDescent="0.45">
      <c r="B220" s="4" t="s">
        <v>651</v>
      </c>
      <c r="C220" s="11"/>
      <c r="D220" s="25">
        <v>0.02</v>
      </c>
      <c r="E220" s="11" t="s">
        <v>156</v>
      </c>
      <c r="F220" s="8" t="s">
        <v>652</v>
      </c>
      <c r="G220" s="16" t="s">
        <v>653</v>
      </c>
    </row>
    <row r="221" spans="1:7" x14ac:dyDescent="0.45">
      <c r="B221" s="4" t="s">
        <v>654</v>
      </c>
      <c r="C221" s="11"/>
      <c r="D221" s="21">
        <v>1</v>
      </c>
      <c r="E221" s="11" t="s">
        <v>211</v>
      </c>
      <c r="F221" s="8" t="s">
        <v>655</v>
      </c>
      <c r="G221" s="16" t="s">
        <v>653</v>
      </c>
    </row>
    <row r="222" spans="1:7" x14ac:dyDescent="0.45">
      <c r="B222" s="4" t="s">
        <v>656</v>
      </c>
      <c r="C222" s="11"/>
      <c r="D222" s="21">
        <v>806.58</v>
      </c>
      <c r="E222" s="11" t="s">
        <v>524</v>
      </c>
      <c r="F222" s="8" t="s">
        <v>657</v>
      </c>
      <c r="G222" s="16" t="s">
        <v>658</v>
      </c>
    </row>
    <row r="223" spans="1:7" x14ac:dyDescent="0.45">
      <c r="B223" s="4" t="s">
        <v>659</v>
      </c>
      <c r="C223" s="11"/>
      <c r="D223" s="33">
        <v>10</v>
      </c>
      <c r="E223" s="11"/>
      <c r="F223" s="8" t="s">
        <v>660</v>
      </c>
      <c r="G223" s="16" t="s">
        <v>661</v>
      </c>
    </row>
    <row r="224" spans="1:7" x14ac:dyDescent="0.45">
      <c r="B224" s="4" t="s">
        <v>662</v>
      </c>
      <c r="C224" s="11"/>
      <c r="D224" s="21">
        <v>17.5</v>
      </c>
      <c r="E224" s="11" t="s">
        <v>211</v>
      </c>
      <c r="F224" s="8" t="s">
        <v>663</v>
      </c>
      <c r="G224" s="16" t="s">
        <v>664</v>
      </c>
    </row>
    <row r="225" spans="1:7" x14ac:dyDescent="0.45">
      <c r="B225" s="4" t="s">
        <v>665</v>
      </c>
      <c r="C225" s="11"/>
      <c r="D225" s="21">
        <v>8.5</v>
      </c>
      <c r="E225" s="11" t="s">
        <v>211</v>
      </c>
      <c r="F225" s="8" t="s">
        <v>666</v>
      </c>
      <c r="G225" s="16" t="s">
        <v>667</v>
      </c>
    </row>
    <row r="226" spans="1:7" x14ac:dyDescent="0.45">
      <c r="B226" s="4" t="s">
        <v>668</v>
      </c>
      <c r="C226" s="11"/>
      <c r="D226" s="21">
        <v>15</v>
      </c>
      <c r="E226" s="11" t="s">
        <v>211</v>
      </c>
      <c r="F226" s="8" t="s">
        <v>669</v>
      </c>
      <c r="G226" s="16" t="s">
        <v>667</v>
      </c>
    </row>
    <row r="227" spans="1:7" x14ac:dyDescent="0.45">
      <c r="B227" s="4" t="s">
        <v>670</v>
      </c>
      <c r="C227" s="11"/>
      <c r="D227" s="21">
        <v>44</v>
      </c>
      <c r="E227" s="11" t="s">
        <v>211</v>
      </c>
      <c r="F227" s="8" t="s">
        <v>671</v>
      </c>
      <c r="G227" s="16" t="s">
        <v>667</v>
      </c>
    </row>
    <row r="228" spans="1:7" x14ac:dyDescent="0.45">
      <c r="B228" s="4" t="s">
        <v>672</v>
      </c>
      <c r="C228" s="11"/>
      <c r="D228" s="21">
        <v>18</v>
      </c>
      <c r="E228" s="11" t="s">
        <v>211</v>
      </c>
      <c r="F228" s="8" t="s">
        <v>673</v>
      </c>
      <c r="G228" s="16" t="s">
        <v>667</v>
      </c>
    </row>
    <row r="229" spans="1:7" x14ac:dyDescent="0.45">
      <c r="B229" s="4" t="s">
        <v>674</v>
      </c>
      <c r="C229" s="11"/>
      <c r="D229" s="21">
        <v>6</v>
      </c>
      <c r="E229" s="11"/>
      <c r="F229" s="8" t="s">
        <v>675</v>
      </c>
      <c r="G229" s="16" t="s">
        <v>676</v>
      </c>
    </row>
    <row r="231" spans="1:7" x14ac:dyDescent="0.45">
      <c r="A231" s="17" t="s">
        <v>677</v>
      </c>
      <c r="B231" s="18"/>
      <c r="C231" s="18"/>
      <c r="D231" s="18"/>
      <c r="E231" s="18"/>
      <c r="F231" s="18"/>
      <c r="G231" s="18"/>
    </row>
    <row r="232" spans="1:7" ht="18" customHeight="1" x14ac:dyDescent="0.45">
      <c r="B232" s="19" t="s">
        <v>678</v>
      </c>
      <c r="C232" s="19" t="s">
        <v>679</v>
      </c>
      <c r="D232" s="19" t="s">
        <v>680</v>
      </c>
      <c r="E232" s="19" t="s">
        <v>681</v>
      </c>
    </row>
    <row r="233" spans="1:7" x14ac:dyDescent="0.45">
      <c r="B233" s="10" t="s">
        <v>682</v>
      </c>
      <c r="C233" s="10">
        <v>8</v>
      </c>
      <c r="D233" s="10">
        <v>32</v>
      </c>
      <c r="E233" s="34">
        <v>1.90625</v>
      </c>
    </row>
    <row r="234" spans="1:7" x14ac:dyDescent="0.45">
      <c r="B234" s="10" t="s">
        <v>683</v>
      </c>
      <c r="C234" s="10">
        <v>10</v>
      </c>
      <c r="D234" s="10">
        <v>32</v>
      </c>
      <c r="E234" s="34">
        <v>1.90625</v>
      </c>
    </row>
    <row r="235" spans="1:7" x14ac:dyDescent="0.45">
      <c r="B235" s="10" t="s">
        <v>648</v>
      </c>
      <c r="C235" s="10">
        <v>10</v>
      </c>
      <c r="D235" s="10">
        <v>32</v>
      </c>
      <c r="E235" s="34">
        <v>2.5625</v>
      </c>
    </row>
    <row r="236" spans="1:7" x14ac:dyDescent="0.45">
      <c r="B236" s="10" t="s">
        <v>684</v>
      </c>
      <c r="C236" s="10">
        <v>10</v>
      </c>
      <c r="D236" s="10">
        <v>32</v>
      </c>
      <c r="E236" s="34">
        <v>2.5625</v>
      </c>
    </row>
    <row r="237" spans="1:7" x14ac:dyDescent="0.45">
      <c r="B237" s="10" t="s">
        <v>512</v>
      </c>
      <c r="C237" s="10">
        <v>10</v>
      </c>
      <c r="D237" s="10">
        <v>32</v>
      </c>
      <c r="E237" s="34">
        <v>3.1875</v>
      </c>
    </row>
    <row r="238" spans="1:7" x14ac:dyDescent="0.45">
      <c r="B238" s="10" t="s">
        <v>685</v>
      </c>
      <c r="C238" s="10">
        <v>10</v>
      </c>
      <c r="D238" s="10">
        <v>32</v>
      </c>
      <c r="E238" s="34">
        <v>3.84375</v>
      </c>
    </row>
    <row r="239" spans="1:7" x14ac:dyDescent="0.45">
      <c r="B239" s="10" t="s">
        <v>686</v>
      </c>
      <c r="C239" s="10">
        <v>12</v>
      </c>
      <c r="D239" s="10">
        <v>32</v>
      </c>
      <c r="E239" s="34">
        <v>3.84375</v>
      </c>
    </row>
  </sheetData>
  <mergeCells count="1">
    <mergeCell ref="A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A96A3"/>
    <pageSetUpPr fitToPage="1"/>
  </sheetPr>
  <dimension ref="B1:M50"/>
  <sheetViews>
    <sheetView showGridLines="0" workbookViewId="0"/>
  </sheetViews>
  <sheetFormatPr defaultRowHeight="14.25" x14ac:dyDescent="0.45"/>
  <cols>
    <col min="1" max="1" width="2" customWidth="1"/>
    <col min="2" max="13" width="11.46484375" customWidth="1"/>
  </cols>
  <sheetData>
    <row r="1" spans="2:13" ht="20.65" x14ac:dyDescent="0.6">
      <c r="B1" s="35" t="s">
        <v>687</v>
      </c>
    </row>
    <row r="2" spans="2:13" x14ac:dyDescent="0.45">
      <c r="B2" s="8" t="s">
        <v>688</v>
      </c>
    </row>
    <row r="3" spans="2:13"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5" spans="2:13" ht="18" customHeight="1" x14ac:dyDescent="0.45">
      <c r="B5" s="36" t="s">
        <v>689</v>
      </c>
      <c r="C5" s="18"/>
      <c r="D5" s="18"/>
      <c r="E5" s="18"/>
      <c r="F5" s="18"/>
      <c r="G5" s="18"/>
      <c r="H5" s="18"/>
      <c r="I5" s="18"/>
      <c r="J5" s="18"/>
      <c r="K5" s="18"/>
      <c r="L5" s="18"/>
      <c r="M5" s="18"/>
    </row>
    <row r="6" spans="2:13" ht="55.8" customHeight="1" x14ac:dyDescent="0.45">
      <c r="B6" s="85" t="s">
        <v>690</v>
      </c>
      <c r="C6" s="83"/>
      <c r="D6" s="83"/>
      <c r="E6" s="83"/>
      <c r="F6" s="83"/>
      <c r="G6" s="83"/>
      <c r="H6" s="83"/>
      <c r="I6" s="83"/>
      <c r="J6" s="83"/>
      <c r="K6" s="83"/>
      <c r="L6" s="83"/>
      <c r="M6" s="83"/>
    </row>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6.25" customHeight="1" x14ac:dyDescent="0.45">
      <c r="B20" s="82" t="s">
        <v>691</v>
      </c>
      <c r="C20" s="83"/>
      <c r="D20" s="83"/>
      <c r="E20" s="83"/>
      <c r="F20" s="83"/>
      <c r="G20" s="83"/>
      <c r="H20" s="83"/>
      <c r="I20" s="83"/>
      <c r="J20" s="83"/>
      <c r="K20" s="83"/>
      <c r="L20" s="83"/>
      <c r="M20" s="83"/>
    </row>
    <row r="22" spans="2:13" ht="18" customHeight="1" x14ac:dyDescent="0.45">
      <c r="B22" s="36" t="s">
        <v>692</v>
      </c>
      <c r="C22" s="18"/>
      <c r="D22" s="18"/>
      <c r="E22" s="18"/>
      <c r="F22" s="18"/>
      <c r="G22" s="18"/>
      <c r="H22" s="18"/>
      <c r="I22" s="18"/>
      <c r="J22" s="18"/>
      <c r="K22" s="18"/>
      <c r="L22" s="18"/>
      <c r="M22" s="18"/>
    </row>
    <row r="23" spans="2:13" ht="29.45" customHeight="1" x14ac:dyDescent="0.45">
      <c r="B23" s="85" t="s">
        <v>693</v>
      </c>
      <c r="C23" s="83"/>
      <c r="D23" s="83"/>
      <c r="E23" s="83"/>
      <c r="F23" s="83"/>
      <c r="G23" s="83"/>
      <c r="H23" s="83"/>
      <c r="I23" s="83"/>
      <c r="J23" s="83"/>
      <c r="K23" s="83"/>
      <c r="L23" s="83"/>
      <c r="M23" s="83"/>
    </row>
    <row r="24" spans="2:13" ht="16.25" customHeight="1" x14ac:dyDescent="0.45">
      <c r="B24" s="85" t="s">
        <v>694</v>
      </c>
      <c r="C24" s="83"/>
      <c r="D24" s="83"/>
      <c r="E24" s="83"/>
      <c r="F24" s="83"/>
      <c r="G24" s="83"/>
      <c r="H24" s="83"/>
      <c r="I24" s="83"/>
      <c r="J24" s="83"/>
      <c r="K24" s="83"/>
      <c r="L24" s="83"/>
      <c r="M24" s="83"/>
    </row>
    <row r="25" spans="2:13" ht="16.25" customHeight="1" x14ac:dyDescent="0.45">
      <c r="B25" s="85" t="s">
        <v>695</v>
      </c>
      <c r="C25" s="83"/>
      <c r="D25" s="83"/>
      <c r="E25" s="83"/>
      <c r="F25" s="83"/>
      <c r="G25" s="83"/>
      <c r="H25" s="83"/>
      <c r="I25" s="83"/>
      <c r="J25" s="83"/>
      <c r="K25" s="83"/>
      <c r="L25" s="83"/>
      <c r="M25" s="83"/>
    </row>
    <row r="26" spans="2:13" ht="16.25" customHeight="1" x14ac:dyDescent="0.45">
      <c r="B26" s="85" t="s">
        <v>696</v>
      </c>
      <c r="C26" s="83"/>
      <c r="D26" s="83"/>
      <c r="E26" s="83"/>
      <c r="F26" s="83"/>
      <c r="G26" s="83"/>
      <c r="H26" s="83"/>
      <c r="I26" s="83"/>
      <c r="J26" s="83"/>
      <c r="K26" s="83"/>
      <c r="L26" s="83"/>
      <c r="M26" s="83"/>
    </row>
    <row r="28" spans="2:13" ht="18" customHeight="1" x14ac:dyDescent="0.45">
      <c r="B28" s="36" t="s">
        <v>697</v>
      </c>
      <c r="C28" s="18"/>
      <c r="D28" s="18"/>
      <c r="E28" s="18"/>
      <c r="F28" s="18"/>
      <c r="G28" s="18"/>
      <c r="H28" s="18"/>
      <c r="I28" s="18"/>
      <c r="J28" s="18"/>
      <c r="K28" s="18"/>
      <c r="L28" s="18"/>
      <c r="M28" s="18"/>
    </row>
    <row r="29" spans="2:13" ht="29.45" customHeight="1" x14ac:dyDescent="0.45">
      <c r="B29" s="85" t="s">
        <v>698</v>
      </c>
      <c r="C29" s="83"/>
      <c r="D29" s="83"/>
      <c r="E29" s="83"/>
      <c r="F29" s="83"/>
      <c r="G29" s="83"/>
      <c r="H29" s="83"/>
      <c r="I29" s="83"/>
      <c r="J29" s="83"/>
      <c r="K29" s="83"/>
      <c r="L29" s="83"/>
      <c r="M29" s="83"/>
    </row>
    <row r="30" spans="2:13" ht="15" customHeight="1" x14ac:dyDescent="0.45"/>
    <row r="31" spans="2:13" ht="15" customHeight="1" x14ac:dyDescent="0.45"/>
    <row r="32" spans="2:13" ht="15" customHeight="1" x14ac:dyDescent="0.45"/>
    <row r="33" spans="2:13" ht="16.25" customHeight="1" x14ac:dyDescent="0.45">
      <c r="B33" s="82" t="str">
        <f>"Span 1: C = "&amp;TEXT(Sp1_C,"0.000000")&amp;" in;  Span 2: C = "&amp;TEXT(Sp2_C,"0.000000")&amp;" in.  QC confirms the deflection sum, the Mathcad NetCamber and the notebook CONFIG camber agree."</f>
        <v>Span 1: C = 0.124593 in;  Span 2: C = 0.567171 in.  QC confirms the deflection sum, the Mathcad NetCamber and the notebook CONFIG camber agree.</v>
      </c>
      <c r="C33" s="83"/>
      <c r="D33" s="83"/>
      <c r="E33" s="83"/>
      <c r="F33" s="83"/>
      <c r="G33" s="83"/>
      <c r="H33" s="83"/>
      <c r="I33" s="83"/>
      <c r="J33" s="83"/>
      <c r="K33" s="83"/>
      <c r="L33" s="83"/>
      <c r="M33" s="83"/>
    </row>
    <row r="34" spans="2:13" x14ac:dyDescent="0.45">
      <c r="B34" s="86" t="s">
        <v>102</v>
      </c>
      <c r="C34" s="86" t="s">
        <v>699</v>
      </c>
      <c r="D34" s="87"/>
      <c r="E34" s="87"/>
      <c r="F34" s="87"/>
      <c r="G34" s="87"/>
      <c r="H34" s="86" t="s">
        <v>700</v>
      </c>
      <c r="I34" s="87"/>
      <c r="J34" s="87"/>
      <c r="K34" s="86" t="s">
        <v>701</v>
      </c>
      <c r="L34" s="87"/>
      <c r="M34" s="87"/>
    </row>
    <row r="35" spans="2:13" ht="15.2" customHeight="1" x14ac:dyDescent="0.45">
      <c r="B35" s="85" t="s">
        <v>236</v>
      </c>
      <c r="C35" s="85" t="s">
        <v>702</v>
      </c>
      <c r="D35" s="83"/>
      <c r="E35" s="83"/>
      <c r="F35" s="83"/>
      <c r="G35" s="83"/>
      <c r="H35" s="85" t="s">
        <v>703</v>
      </c>
      <c r="I35" s="83"/>
      <c r="J35" s="83"/>
      <c r="K35" s="85" t="s">
        <v>211</v>
      </c>
      <c r="L35" s="83"/>
      <c r="M35" s="83"/>
    </row>
    <row r="36" spans="2:13" ht="15.2" customHeight="1" x14ac:dyDescent="0.45">
      <c r="B36" s="85" t="s">
        <v>704</v>
      </c>
      <c r="C36" s="85" t="s">
        <v>705</v>
      </c>
      <c r="D36" s="83"/>
      <c r="E36" s="83"/>
      <c r="F36" s="83"/>
      <c r="G36" s="83"/>
      <c r="H36" s="85" t="s">
        <v>556</v>
      </c>
      <c r="I36" s="83"/>
      <c r="J36" s="83"/>
      <c r="K36" s="85" t="s">
        <v>211</v>
      </c>
      <c r="L36" s="83"/>
      <c r="M36" s="83"/>
    </row>
    <row r="37" spans="2:13" ht="15.2" customHeight="1" x14ac:dyDescent="0.45">
      <c r="B37" s="85" t="s">
        <v>706</v>
      </c>
      <c r="C37" s="85" t="s">
        <v>707</v>
      </c>
      <c r="D37" s="83"/>
      <c r="E37" s="83"/>
      <c r="F37" s="83"/>
      <c r="G37" s="83"/>
      <c r="H37" s="85" t="s">
        <v>559</v>
      </c>
      <c r="I37" s="83"/>
      <c r="J37" s="83"/>
      <c r="K37" s="85" t="s">
        <v>211</v>
      </c>
      <c r="L37" s="83"/>
      <c r="M37" s="83"/>
    </row>
    <row r="38" spans="2:13" ht="15.2" customHeight="1" x14ac:dyDescent="0.45">
      <c r="B38" s="85" t="s">
        <v>708</v>
      </c>
      <c r="C38" s="85" t="s">
        <v>709</v>
      </c>
      <c r="D38" s="83"/>
      <c r="E38" s="83"/>
      <c r="F38" s="83"/>
      <c r="G38" s="83"/>
      <c r="H38" s="85" t="s">
        <v>562</v>
      </c>
      <c r="I38" s="83"/>
      <c r="J38" s="83"/>
      <c r="K38" s="85" t="s">
        <v>211</v>
      </c>
      <c r="L38" s="83"/>
      <c r="M38" s="83"/>
    </row>
    <row r="39" spans="2:13" ht="15.2" customHeight="1" x14ac:dyDescent="0.45">
      <c r="B39" s="85" t="s">
        <v>710</v>
      </c>
      <c r="C39" s="85" t="s">
        <v>711</v>
      </c>
      <c r="D39" s="83"/>
      <c r="E39" s="83"/>
      <c r="F39" s="83"/>
      <c r="G39" s="83"/>
      <c r="H39" s="85" t="s">
        <v>712</v>
      </c>
      <c r="I39" s="83"/>
      <c r="J39" s="83"/>
      <c r="K39" s="85" t="s">
        <v>713</v>
      </c>
      <c r="L39" s="83"/>
      <c r="M39" s="83"/>
    </row>
    <row r="42" spans="2:13" ht="18" customHeight="1" x14ac:dyDescent="0.45">
      <c r="B42" s="36" t="s">
        <v>714</v>
      </c>
      <c r="C42" s="18"/>
      <c r="D42" s="18"/>
      <c r="E42" s="18"/>
      <c r="F42" s="18"/>
      <c r="G42" s="18"/>
      <c r="H42" s="18"/>
      <c r="I42" s="18"/>
      <c r="J42" s="18"/>
      <c r="K42" s="18"/>
      <c r="L42" s="18"/>
      <c r="M42" s="18"/>
    </row>
    <row r="43" spans="2:13" ht="42.6" customHeight="1" x14ac:dyDescent="0.45">
      <c r="B43" s="85" t="s">
        <v>715</v>
      </c>
      <c r="C43" s="83"/>
      <c r="D43" s="83"/>
      <c r="E43" s="83"/>
      <c r="F43" s="83"/>
      <c r="G43" s="83"/>
      <c r="H43" s="83"/>
      <c r="I43" s="83"/>
      <c r="J43" s="83"/>
      <c r="K43" s="83"/>
      <c r="L43" s="83"/>
      <c r="M43" s="83"/>
    </row>
    <row r="45" spans="2:13" ht="18" customHeight="1" x14ac:dyDescent="0.45">
      <c r="B45" s="36" t="s">
        <v>716</v>
      </c>
      <c r="C45" s="18"/>
      <c r="D45" s="18"/>
      <c r="E45" s="18"/>
      <c r="F45" s="18"/>
      <c r="G45" s="18"/>
      <c r="H45" s="18"/>
      <c r="I45" s="18"/>
      <c r="J45" s="18"/>
      <c r="K45" s="18"/>
      <c r="L45" s="18"/>
      <c r="M45" s="18"/>
    </row>
    <row r="46" spans="2:13" ht="16.25" customHeight="1" x14ac:dyDescent="0.45">
      <c r="B46" s="85" t="s">
        <v>717</v>
      </c>
      <c r="C46" s="83"/>
      <c r="D46" s="83"/>
      <c r="E46" s="83"/>
      <c r="F46" s="83"/>
      <c r="G46" s="83"/>
      <c r="H46" s="83"/>
      <c r="I46" s="83"/>
      <c r="J46" s="83"/>
      <c r="K46" s="83"/>
      <c r="L46" s="83"/>
      <c r="M46" s="83"/>
    </row>
    <row r="47" spans="2:13" ht="16.25" customHeight="1" x14ac:dyDescent="0.45">
      <c r="B47" s="85" t="s">
        <v>718</v>
      </c>
      <c r="C47" s="83"/>
      <c r="D47" s="83"/>
      <c r="E47" s="83"/>
      <c r="F47" s="83"/>
      <c r="G47" s="83"/>
      <c r="H47" s="83"/>
      <c r="I47" s="83"/>
      <c r="J47" s="83"/>
      <c r="K47" s="83"/>
      <c r="L47" s="83"/>
      <c r="M47" s="83"/>
    </row>
    <row r="48" spans="2:13" ht="29.45" customHeight="1" x14ac:dyDescent="0.45">
      <c r="B48" s="85" t="s">
        <v>719</v>
      </c>
      <c r="C48" s="83"/>
      <c r="D48" s="83"/>
      <c r="E48" s="83"/>
      <c r="F48" s="83"/>
      <c r="G48" s="83"/>
      <c r="H48" s="83"/>
      <c r="I48" s="83"/>
      <c r="J48" s="83"/>
      <c r="K48" s="83"/>
      <c r="L48" s="83"/>
      <c r="M48" s="83"/>
    </row>
    <row r="49" spans="2:13" ht="29.45" customHeight="1" x14ac:dyDescent="0.45">
      <c r="B49" s="85" t="s">
        <v>720</v>
      </c>
      <c r="C49" s="83"/>
      <c r="D49" s="83"/>
      <c r="E49" s="83"/>
      <c r="F49" s="83"/>
      <c r="G49" s="83"/>
      <c r="H49" s="83"/>
      <c r="I49" s="83"/>
      <c r="J49" s="83"/>
      <c r="K49" s="83"/>
      <c r="L49" s="83"/>
      <c r="M49" s="83"/>
    </row>
    <row r="50" spans="2:13" ht="29.45" customHeight="1" x14ac:dyDescent="0.45">
      <c r="B50" s="85" t="s">
        <v>2710</v>
      </c>
      <c r="C50" s="83"/>
      <c r="D50" s="83"/>
      <c r="E50" s="83"/>
      <c r="F50" s="83"/>
      <c r="G50" s="83"/>
      <c r="H50" s="83"/>
      <c r="I50" s="83"/>
      <c r="J50" s="83"/>
      <c r="K50" s="83"/>
      <c r="L50" s="83"/>
      <c r="M50" s="83"/>
    </row>
  </sheetData>
  <mergeCells count="39">
    <mergeCell ref="H39:J39"/>
    <mergeCell ref="K39:M39"/>
    <mergeCell ref="B36"/>
    <mergeCell ref="B29:M29"/>
    <mergeCell ref="B35"/>
    <mergeCell ref="C35:G35"/>
    <mergeCell ref="H37:J37"/>
    <mergeCell ref="B50:M50"/>
    <mergeCell ref="B26:M26"/>
    <mergeCell ref="H35:J35"/>
    <mergeCell ref="K34:M34"/>
    <mergeCell ref="C36:G36"/>
    <mergeCell ref="C39:G39"/>
    <mergeCell ref="H38:J38"/>
    <mergeCell ref="B47:M47"/>
    <mergeCell ref="B49:M49"/>
    <mergeCell ref="K38:M38"/>
    <mergeCell ref="B33:M33"/>
    <mergeCell ref="K37:M37"/>
    <mergeCell ref="B39"/>
    <mergeCell ref="B48:M48"/>
    <mergeCell ref="C34:G34"/>
    <mergeCell ref="H36:J36"/>
    <mergeCell ref="B3:M3"/>
    <mergeCell ref="C38:G38"/>
    <mergeCell ref="K36:M36"/>
    <mergeCell ref="B46:M46"/>
    <mergeCell ref="B38"/>
    <mergeCell ref="B34"/>
    <mergeCell ref="H34:J34"/>
    <mergeCell ref="K35:M35"/>
    <mergeCell ref="C37:G37"/>
    <mergeCell ref="B37"/>
    <mergeCell ref="B43:M43"/>
    <mergeCell ref="B6:M6"/>
    <mergeCell ref="B24:M24"/>
    <mergeCell ref="B20:M20"/>
    <mergeCell ref="B25:M25"/>
    <mergeCell ref="B23:M23"/>
  </mergeCells>
  <conditionalFormatting sqref="B3:M3">
    <cfRule type="expression" dxfId="77" priority="1">
      <formula>Inputs_Edited=0</formula>
    </cfRule>
    <cfRule type="expression" dxfId="76" priority="2">
      <formula>Inputs_Edited&gt;0</formula>
    </cfRule>
  </conditionalFormatting>
  <pageMargins left="0.75" right="0.75" top="1" bottom="1" header="0.5" footer="0.5"/>
  <pageSetup fitToHeight="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2A36"/>
  </sheetPr>
  <dimension ref="A1:L37"/>
  <sheetViews>
    <sheetView showGridLines="0" workbookViewId="0"/>
  </sheetViews>
  <sheetFormatPr defaultRowHeight="14.25" x14ac:dyDescent="0.45"/>
  <cols>
    <col min="1" max="1" width="3" customWidth="1"/>
    <col min="2" max="2" width="40" customWidth="1"/>
    <col min="3" max="3" width="11" customWidth="1"/>
    <col min="4" max="4" width="16" customWidth="1"/>
    <col min="5" max="5" width="9" customWidth="1"/>
    <col min="6" max="6" width="16" customWidth="1"/>
    <col min="7" max="13" width="14" customWidth="1"/>
  </cols>
  <sheetData>
    <row r="1" spans="1:12" ht="17.649999999999999" x14ac:dyDescent="0.5">
      <c r="A1" s="15" t="s">
        <v>28</v>
      </c>
      <c r="K1" s="37" t="s">
        <v>107</v>
      </c>
      <c r="L1" s="2" t="str">
        <f>""&amp;TB_Project</f>
        <v>D2 I-95 Pedestrian Bridge</v>
      </c>
    </row>
    <row r="2" spans="1:12" x14ac:dyDescent="0.45">
      <c r="A2" s="8" t="s">
        <v>721</v>
      </c>
      <c r="K2" s="37" t="s">
        <v>115</v>
      </c>
      <c r="L2" s="2" t="str">
        <f>""&amp;TB_JobNo</f>
        <v/>
      </c>
    </row>
    <row r="3" spans="1:12" x14ac:dyDescent="0.45">
      <c r="K3" s="37" t="s">
        <v>722</v>
      </c>
      <c r="L3" s="2" t="str">
        <f>TB_CalcBy&amp;"  "&amp;TB_CalcDate</f>
        <v xml:space="preserve">  </v>
      </c>
    </row>
    <row r="4" spans="1:12" x14ac:dyDescent="0.45">
      <c r="K4" s="37" t="s">
        <v>723</v>
      </c>
      <c r="L4" s="2" t="str">
        <f>TB_CheckBy&amp;"  "&amp;TB_CheckDate</f>
        <v xml:space="preserve">  </v>
      </c>
    </row>
    <row r="6" spans="1:12" x14ac:dyDescent="0.45">
      <c r="A6" s="17" t="s">
        <v>724</v>
      </c>
      <c r="B6" s="18"/>
      <c r="C6" s="18"/>
      <c r="D6" s="18"/>
      <c r="E6" s="18"/>
      <c r="F6" s="18"/>
      <c r="G6" s="18"/>
      <c r="H6" s="18"/>
      <c r="I6" s="18"/>
      <c r="J6" s="18"/>
    </row>
    <row r="7" spans="1:12" ht="18" customHeight="1" x14ac:dyDescent="0.45">
      <c r="B7" s="19" t="s">
        <v>101</v>
      </c>
      <c r="C7" s="19" t="s">
        <v>102</v>
      </c>
      <c r="D7" s="19" t="s">
        <v>103</v>
      </c>
      <c r="E7" s="19" t="s">
        <v>104</v>
      </c>
      <c r="F7" s="19" t="s">
        <v>105</v>
      </c>
      <c r="G7" s="19" t="s">
        <v>106</v>
      </c>
    </row>
    <row r="8" spans="1:12" x14ac:dyDescent="0.45">
      <c r="B8" s="4" t="s">
        <v>725</v>
      </c>
      <c r="C8" s="11" t="s">
        <v>726</v>
      </c>
      <c r="D8" s="24">
        <f>Prof_Sta1-Prof_Sta0</f>
        <v>212.25</v>
      </c>
      <c r="E8" s="11" t="s">
        <v>135</v>
      </c>
      <c r="F8" s="8" t="s">
        <v>727</v>
      </c>
      <c r="G8" s="16" t="s">
        <v>728</v>
      </c>
    </row>
    <row r="9" spans="1:12" ht="34.9" x14ac:dyDescent="0.45">
      <c r="B9" s="4" t="s">
        <v>729</v>
      </c>
      <c r="C9" s="11" t="s">
        <v>730</v>
      </c>
      <c r="D9" s="24">
        <f>(Prof_Z0+Prof_Gnom*(Prof_PISta-Prof_Sta0)+Prof_Z1+Prof_Gnom*(Prof_Sta1-Prof_PISta))/2</f>
        <v>48.197625000000002</v>
      </c>
      <c r="E9" s="11" t="s">
        <v>135</v>
      </c>
      <c r="F9" s="8" t="s">
        <v>731</v>
      </c>
      <c r="G9" s="16" t="s">
        <v>732</v>
      </c>
    </row>
    <row r="10" spans="1:12" ht="34.9" x14ac:dyDescent="0.45">
      <c r="B10" s="4" t="s">
        <v>733</v>
      </c>
      <c r="C10" s="11" t="s">
        <v>734</v>
      </c>
      <c r="D10" s="38">
        <f>IF(Prof_Mode="parabolic",(Prof_Z1-Prof_Z0)/Prof_L-Prof_dG/2,(Prof_PIZ-Prof_Z0)/(Prof_PISta-Prof_Sta0))</f>
        <v>4.9988355845365746E-3</v>
      </c>
      <c r="E10" s="11" t="s">
        <v>156</v>
      </c>
      <c r="F10" s="8" t="s">
        <v>735</v>
      </c>
      <c r="G10" s="16" t="s">
        <v>736</v>
      </c>
    </row>
    <row r="11" spans="1:12" ht="34.9" x14ac:dyDescent="0.45">
      <c r="B11" s="4" t="s">
        <v>737</v>
      </c>
      <c r="C11" s="11" t="s">
        <v>738</v>
      </c>
      <c r="D11" s="38">
        <f>IF(Prof_Mode="parabolic",Prof_G1+Prof_dG,(Prof_Z1-Prof_PIZ)/(Prof_Sta1-Prof_PISta))</f>
        <v>-5.0011916110581497E-3</v>
      </c>
      <c r="E11" s="11" t="s">
        <v>156</v>
      </c>
      <c r="F11" s="8" t="s">
        <v>739</v>
      </c>
      <c r="G11" s="16" t="s">
        <v>736</v>
      </c>
    </row>
    <row r="12" spans="1:12" ht="23.25" x14ac:dyDescent="0.45">
      <c r="B12" s="4" t="s">
        <v>740</v>
      </c>
      <c r="C12" s="11" t="s">
        <v>741</v>
      </c>
      <c r="D12" s="39">
        <f>IF(Prof_Mode="parabolic",0.5*(Prof_G2-Prof_G1)/Prof_L,0)</f>
        <v>0</v>
      </c>
      <c r="E12" s="11" t="s">
        <v>742</v>
      </c>
      <c r="F12" s="8" t="s">
        <v>743</v>
      </c>
      <c r="G12" s="16" t="s">
        <v>744</v>
      </c>
    </row>
    <row r="14" spans="1:12" x14ac:dyDescent="0.45">
      <c r="A14" s="17" t="s">
        <v>745</v>
      </c>
      <c r="B14" s="18"/>
      <c r="C14" s="18"/>
      <c r="D14" s="18"/>
      <c r="E14" s="18"/>
      <c r="F14" s="18"/>
      <c r="G14" s="18"/>
      <c r="H14" s="18"/>
      <c r="I14" s="18"/>
      <c r="J14" s="18"/>
    </row>
    <row r="15" spans="1:12" ht="18" customHeight="1" x14ac:dyDescent="0.45">
      <c r="B15" s="19" t="s">
        <v>746</v>
      </c>
      <c r="C15" s="19" t="s">
        <v>747</v>
      </c>
      <c r="D15" s="19" t="s">
        <v>748</v>
      </c>
      <c r="E15" s="19" t="s">
        <v>749</v>
      </c>
    </row>
    <row r="16" spans="1:12" x14ac:dyDescent="0.45">
      <c r="B16" s="11" t="s">
        <v>750</v>
      </c>
      <c r="C16" s="40">
        <f>Prof_Sta0</f>
        <v>1593.22</v>
      </c>
      <c r="D16" s="41">
        <f>IF(Prof_Mode="parabolic",Prof_Z0+Prof_G1*((C16)-Prof_Sta0)+Prof_Kq*((C16)-Prof_Sta0)^2,IF((C16)&lt;=Prof_PISta,Prof_Z0+Prof_G1*((C16)-Prof_Sta0),Prof_PIZ+Prof_G2*((C16)-Prof_PISta)))</f>
        <v>47.661000000000001</v>
      </c>
      <c r="E16" s="11" t="str">
        <f>TEXT(INT(ROUND(C16*100,0)/10000),"0")&amp;"+"&amp;TEXT(MOD(ROUND(C16*100,0),10000)/100,"00.00")</f>
        <v>15+93.22</v>
      </c>
    </row>
    <row r="17" spans="1:12" x14ac:dyDescent="0.45">
      <c r="B17" s="11" t="s">
        <v>751</v>
      </c>
      <c r="C17" s="40">
        <f>Prof_PISta</f>
        <v>1700.57</v>
      </c>
      <c r="D17" s="41">
        <f>IF(Prof_Mode="parabolic",Prof_Z0+Prof_G1*((C17)-Prof_Sta0)+Prof_Kq*((C17)-Prof_Sta0)^2,IF((C17)&lt;=Prof_PISta,Prof_Z0+Prof_G1*((C17)-Prof_Sta0),Prof_PIZ+Prof_G2*((C17)-Prof_PISta)))</f>
        <v>48.197625000000002</v>
      </c>
      <c r="E17" s="11" t="str">
        <f>TEXT(INT(ROUND(C17*100,0)/10000),"0")&amp;"+"&amp;TEXT(MOD(ROUND(C17*100,0),10000)/100,"00.00")</f>
        <v>17+00.57</v>
      </c>
    </row>
    <row r="18" spans="1:12" x14ac:dyDescent="0.45">
      <c r="B18" s="11" t="s">
        <v>752</v>
      </c>
      <c r="C18" s="40">
        <f>Prof_Sta1</f>
        <v>1805.47</v>
      </c>
      <c r="D18" s="41">
        <f>IF(Prof_Mode="parabolic",Prof_Z0+Prof_G1*((C18)-Prof_Sta0)+Prof_Kq*((C18)-Prof_Sta0)^2,IF((C18)&lt;=Prof_PISta,Prof_Z0+Prof_G1*((C18)-Prof_Sta0),Prof_PIZ+Prof_G2*((C18)-Prof_PISta)))</f>
        <v>47.673000000000002</v>
      </c>
      <c r="E18" s="11" t="str">
        <f>TEXT(INT(ROUND(C18*100,0)/10000),"0")&amp;"+"&amp;TEXT(MOD(ROUND(C18*100,0),10000)/100,"00.00")</f>
        <v>18+05.47</v>
      </c>
    </row>
    <row r="20" spans="1:12" x14ac:dyDescent="0.45">
      <c r="A20" s="17" t="s">
        <v>753</v>
      </c>
      <c r="B20" s="18"/>
      <c r="C20" s="18"/>
      <c r="D20" s="18"/>
      <c r="E20" s="18"/>
      <c r="F20" s="18"/>
      <c r="G20" s="18"/>
      <c r="H20" s="18"/>
      <c r="I20" s="18"/>
      <c r="J20" s="18"/>
    </row>
    <row r="21" spans="1:12" ht="18" customHeight="1" x14ac:dyDescent="0.45">
      <c r="B21" s="19" t="s">
        <v>101</v>
      </c>
      <c r="C21" s="19" t="s">
        <v>102</v>
      </c>
      <c r="D21" s="19" t="s">
        <v>103</v>
      </c>
      <c r="E21" s="19" t="s">
        <v>104</v>
      </c>
      <c r="F21" s="19" t="s">
        <v>105</v>
      </c>
      <c r="G21" s="19" t="s">
        <v>106</v>
      </c>
    </row>
    <row r="22" spans="1:12" ht="46.5" x14ac:dyDescent="0.45">
      <c r="B22" s="4" t="s">
        <v>754</v>
      </c>
      <c r="C22" s="11"/>
      <c r="D22" s="24">
        <f>Deck_C-Deck_W/2</f>
        <v>-6.7916666666666652</v>
      </c>
      <c r="E22" s="11" t="s">
        <v>135</v>
      </c>
      <c r="F22" s="8" t="s">
        <v>755</v>
      </c>
      <c r="G22" s="16" t="s">
        <v>756</v>
      </c>
    </row>
    <row r="23" spans="1:12" x14ac:dyDescent="0.45">
      <c r="B23" s="4" t="s">
        <v>757</v>
      </c>
      <c r="C23" s="11"/>
      <c r="D23" s="24">
        <f>Deck_C+Deck_W/2</f>
        <v>6.7916666666666652</v>
      </c>
      <c r="E23" s="11" t="s">
        <v>135</v>
      </c>
      <c r="F23" s="8" t="s">
        <v>758</v>
      </c>
      <c r="G23" s="16"/>
    </row>
    <row r="24" spans="1:12" x14ac:dyDescent="0.45">
      <c r="B24" s="4" t="s">
        <v>759</v>
      </c>
      <c r="C24" s="11"/>
      <c r="D24" s="24">
        <f>IF(Deck_Mode="uniform",Deck_Uni*(Deck_YL),Deck_Crown*ABS(Deck_YL))</f>
        <v>-0.13583333333333331</v>
      </c>
      <c r="E24" s="11" t="s">
        <v>135</v>
      </c>
      <c r="F24" s="8" t="s">
        <v>760</v>
      </c>
      <c r="G24" s="16" t="s">
        <v>761</v>
      </c>
    </row>
    <row r="25" spans="1:12" x14ac:dyDescent="0.45">
      <c r="B25" s="4" t="s">
        <v>762</v>
      </c>
      <c r="C25" s="11"/>
      <c r="D25" s="24">
        <f>IF(Deck_Mode="uniform",Deck_Uni*(Deck_YR),Deck_Crown*ABS(Deck_YR))</f>
        <v>-0.13583333333333331</v>
      </c>
      <c r="E25" s="11" t="s">
        <v>135</v>
      </c>
      <c r="F25" s="8" t="s">
        <v>763</v>
      </c>
      <c r="G25" s="16" t="s">
        <v>761</v>
      </c>
    </row>
    <row r="27" spans="1:12" x14ac:dyDescent="0.45">
      <c r="A27" s="17" t="s">
        <v>764</v>
      </c>
      <c r="B27" s="18"/>
      <c r="C27" s="18"/>
      <c r="D27" s="18"/>
      <c r="E27" s="18"/>
      <c r="F27" s="18"/>
      <c r="G27" s="18"/>
      <c r="H27" s="18"/>
      <c r="I27" s="18"/>
      <c r="J27" s="18"/>
      <c r="K27" s="18"/>
      <c r="L27" s="18"/>
    </row>
    <row r="28" spans="1:12" ht="30" customHeight="1" x14ac:dyDescent="0.45">
      <c r="B28" s="19" t="s">
        <v>765</v>
      </c>
      <c r="C28" s="19" t="s">
        <v>766</v>
      </c>
      <c r="D28" s="19" t="s">
        <v>767</v>
      </c>
      <c r="E28" s="19" t="s">
        <v>768</v>
      </c>
      <c r="F28" s="19" t="s">
        <v>769</v>
      </c>
      <c r="G28" s="19" t="s">
        <v>770</v>
      </c>
      <c r="H28" s="19" t="s">
        <v>771</v>
      </c>
      <c r="I28" s="19" t="s">
        <v>772</v>
      </c>
      <c r="J28" s="19" t="s">
        <v>773</v>
      </c>
      <c r="K28" s="19" t="s">
        <v>774</v>
      </c>
      <c r="L28" s="19" t="s">
        <v>775</v>
      </c>
    </row>
    <row r="29" spans="1:12" x14ac:dyDescent="0.45">
      <c r="B29" s="11" t="s">
        <v>776</v>
      </c>
      <c r="C29" s="41">
        <f>IF(ISNUMBER(Bm_First),Bm_First,-(Bm_Gap1)/2)</f>
        <v>-4.291666666666667</v>
      </c>
      <c r="D29" s="41">
        <f>C29-Bm_Bf/24</f>
        <v>-6.291666666666667</v>
      </c>
      <c r="E29" s="41">
        <f>C29</f>
        <v>-4.291666666666667</v>
      </c>
      <c r="F29" s="41">
        <f>C29+Bm_Bf/24</f>
        <v>-2.291666666666667</v>
      </c>
      <c r="G29" s="41">
        <f>MAX(D29,MIN(0,F29))</f>
        <v>-2.291666666666667</v>
      </c>
      <c r="H29" s="41">
        <f t="shared" ref="H29:K30" si="0">IF(Deck_Mode="uniform",Deck_Uni*(D29),Deck_Crown*ABS(D29))</f>
        <v>-0.12583333333333335</v>
      </c>
      <c r="I29" s="41">
        <f t="shared" si="0"/>
        <v>-8.5833333333333345E-2</v>
      </c>
      <c r="J29" s="41">
        <f t="shared" si="0"/>
        <v>-4.5833333333333337E-2</v>
      </c>
      <c r="K29" s="41">
        <f t="shared" si="0"/>
        <v>-4.5833333333333337E-2</v>
      </c>
      <c r="L29" s="41">
        <f>MIN(H29:K29)</f>
        <v>-0.12583333333333335</v>
      </c>
    </row>
    <row r="30" spans="1:12" x14ac:dyDescent="0.45">
      <c r="B30" s="11" t="s">
        <v>777</v>
      </c>
      <c r="C30" s="41">
        <f>Bm1_Off+Bm_Gap1</f>
        <v>4.291666666666667</v>
      </c>
      <c r="D30" s="41">
        <f>C30-Bm_Bf/24</f>
        <v>2.291666666666667</v>
      </c>
      <c r="E30" s="41">
        <f>C30</f>
        <v>4.291666666666667</v>
      </c>
      <c r="F30" s="41">
        <f>C30+Bm_Bf/24</f>
        <v>6.291666666666667</v>
      </c>
      <c r="G30" s="41">
        <f>MAX(D30,MIN(0,F30))</f>
        <v>2.291666666666667</v>
      </c>
      <c r="H30" s="41">
        <f t="shared" si="0"/>
        <v>-4.5833333333333337E-2</v>
      </c>
      <c r="I30" s="41">
        <f t="shared" si="0"/>
        <v>-8.5833333333333345E-2</v>
      </c>
      <c r="J30" s="41">
        <f t="shared" si="0"/>
        <v>-0.12583333333333335</v>
      </c>
      <c r="K30" s="41">
        <f t="shared" si="0"/>
        <v>-4.5833333333333337E-2</v>
      </c>
      <c r="L30" s="41">
        <f>MIN(H30:K30)</f>
        <v>-0.12583333333333335</v>
      </c>
    </row>
    <row r="32" spans="1:12" x14ac:dyDescent="0.45">
      <c r="A32" s="17" t="s">
        <v>778</v>
      </c>
      <c r="B32" s="18"/>
      <c r="C32" s="18"/>
      <c r="D32" s="18"/>
      <c r="E32" s="18"/>
      <c r="F32" s="18"/>
      <c r="G32" s="18"/>
      <c r="H32" s="18"/>
      <c r="I32" s="18"/>
      <c r="J32" s="18"/>
    </row>
    <row r="33" spans="2:3" x14ac:dyDescent="0.45">
      <c r="B33" s="11" t="s">
        <v>779</v>
      </c>
      <c r="C33" s="42" t="str">
        <f>IF(AND(Bm1_FL&gt;=Deck_YL-0.000000001,Bm2_FR&lt;=Deck_YR+0.000000001),"PASS","FAIL")</f>
        <v>PASS</v>
      </c>
    </row>
    <row r="34" spans="2:3" x14ac:dyDescent="0.45">
      <c r="B34" s="11" t="s">
        <v>780</v>
      </c>
      <c r="C34" s="42" t="str">
        <f>IF(MIN(Bm_Gap1)&gt;=Bm_Bf/12-0.000000001,"PASS","FAIL")</f>
        <v>PASS</v>
      </c>
    </row>
    <row r="35" spans="2:3" x14ac:dyDescent="0.45">
      <c r="B35" s="11" t="s">
        <v>781</v>
      </c>
      <c r="C35" s="42" t="str">
        <f>IF(OR(Deck_Mode="crowned",Deck_Mode="uniform"),"PASS","FAIL")</f>
        <v>PASS</v>
      </c>
    </row>
    <row r="36" spans="2:3" x14ac:dyDescent="0.45">
      <c r="B36" s="11" t="s">
        <v>782</v>
      </c>
      <c r="C36" s="42" t="str">
        <f>IF(OR(Prof_Mode="brokeback",Prof_Mode="parabolic"),"PASS","FAIL")</f>
        <v>PASS</v>
      </c>
    </row>
    <row r="37" spans="2:3" x14ac:dyDescent="0.45">
      <c r="B37" s="11" t="s">
        <v>783</v>
      </c>
      <c r="C37" s="42" t="str">
        <f>IF(AND(Prof_PISta&gt;Prof_Sta0,Prof_PISta&lt;Prof_Sta1),"PASS","FAIL")</f>
        <v>PASS</v>
      </c>
    </row>
  </sheetData>
  <conditionalFormatting sqref="C33:C37">
    <cfRule type="cellIs" dxfId="75" priority="1" operator="equal">
      <formula>"PASS"</formula>
    </cfRule>
    <cfRule type="cellIs" dxfId="74" priority="2" operator="equal">
      <formula>"FAIL"</formula>
    </cfRule>
    <cfRule type="cellIs" dxfId="73" priority="3" operator="equal">
      <formula>"CHECK"</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A96A3"/>
    <pageSetUpPr fitToPage="1"/>
  </sheetPr>
  <dimension ref="B1:S206"/>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784</v>
      </c>
      <c r="P1" s="43" t="s">
        <v>785</v>
      </c>
    </row>
    <row r="2" spans="2:19" x14ac:dyDescent="0.45">
      <c r="B2" s="8" t="s">
        <v>786</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788</v>
      </c>
    </row>
    <row r="5" spans="2:19" ht="18" customHeight="1" x14ac:dyDescent="0.45">
      <c r="B5" s="36" t="s">
        <v>789</v>
      </c>
      <c r="C5" s="18"/>
      <c r="D5" s="18"/>
      <c r="E5" s="18"/>
      <c r="F5" s="18"/>
      <c r="G5" s="18"/>
      <c r="H5" s="18"/>
      <c r="I5" s="18"/>
      <c r="J5" s="18"/>
      <c r="K5" s="18"/>
      <c r="L5" s="18"/>
      <c r="M5" s="18"/>
      <c r="P5" s="46" t="s">
        <v>790</v>
      </c>
      <c r="Q5" s="46" t="s">
        <v>791</v>
      </c>
      <c r="R5" s="46" t="s">
        <v>792</v>
      </c>
      <c r="S5" s="46" t="s">
        <v>793</v>
      </c>
    </row>
    <row r="6" spans="2:19" ht="29.45" customHeight="1" x14ac:dyDescent="0.45">
      <c r="B6" s="85" t="str">
        <f>"The notebook profile mode is """&amp;Prof_Mode&amp;""". In brokeback mode the PGL is two straight tangents of nominal grade g that meet at the tangent intersection station. The PI elevation averages the two tangents projected to the PI, which preserves both end elevations:"</f>
        <v>The notebook profile mode is "brokeback". In brokeback mode the PGL is two straight tangents of nominal grade g that meet at the tangent intersection station. The PI elevation averages the two tangents projected to the PI, which preserves both end elevations:</v>
      </c>
      <c r="C6" s="83"/>
      <c r="D6" s="83"/>
      <c r="E6" s="83"/>
      <c r="F6" s="83"/>
      <c r="G6" s="83"/>
      <c r="H6" s="83"/>
      <c r="I6" s="83"/>
      <c r="J6" s="83"/>
      <c r="K6" s="83"/>
      <c r="L6" s="83"/>
      <c r="M6" s="83"/>
      <c r="P6" s="44" t="s">
        <v>794</v>
      </c>
      <c r="Q6" s="47">
        <f>Prof_Sta0+0/12*(Prof_PISta-Prof_Sta0)</f>
        <v>1593.22</v>
      </c>
      <c r="R6" s="47">
        <f>IF(Prof_Mode="parabolic",Prof_Z0+Prof_G1*(($Q$6)-Prof_Sta0)+Prof_Kq*(($Q$6)-Prof_Sta0)^2,IF(($Q$6)&lt;=Prof_PISta,Prof_Z0+Prof_G1*(($Q$6)-Prof_Sta0),Prof_PIZ+Prof_G2*(($Q$6)-Prof_PISta)))</f>
        <v>47.661000000000001</v>
      </c>
    </row>
    <row r="7" spans="2:19" ht="15" customHeight="1" x14ac:dyDescent="0.45">
      <c r="Q7" s="47">
        <f>Prof_Sta0+1/12*(Prof_PISta-Prof_Sta0)</f>
        <v>1602.1658333333335</v>
      </c>
      <c r="R7" s="47">
        <f>IF(Prof_Mode="parabolic",Prof_Z0+Prof_G1*(($Q$7)-Prof_Sta0)+Prof_Kq*(($Q$7)-Prof_Sta0)^2,IF(($Q$7)&lt;=Prof_PISta,Prof_Z0+Prof_G1*(($Q$7)-Prof_Sta0),Prof_PIZ+Prof_G2*(($Q$7)-Prof_PISta)))</f>
        <v>47.705718750000003</v>
      </c>
    </row>
    <row r="8" spans="2:19" ht="15" customHeight="1" x14ac:dyDescent="0.45">
      <c r="Q8" s="47">
        <f>Prof_Sta0+2/12*(Prof_PISta-Prof_Sta0)</f>
        <v>1611.1116666666667</v>
      </c>
      <c r="R8" s="47">
        <f>IF(Prof_Mode="parabolic",Prof_Z0+Prof_G1*(($Q$8)-Prof_Sta0)+Prof_Kq*(($Q$8)-Prof_Sta0)^2,IF(($Q$8)&lt;=Prof_PISta,Prof_Z0+Prof_G1*(($Q$8)-Prof_Sta0),Prof_PIZ+Prof_G2*(($Q$8)-Prof_PISta)))</f>
        <v>47.750437500000004</v>
      </c>
    </row>
    <row r="9" spans="2:19" ht="15" customHeight="1" x14ac:dyDescent="0.45">
      <c r="Q9" s="47">
        <f>Prof_Sta0+3/12*(Prof_PISta-Prof_Sta0)</f>
        <v>1620.0574999999999</v>
      </c>
      <c r="R9" s="47">
        <f>IF(Prof_Mode="parabolic",Prof_Z0+Prof_G1*(($Q$9)-Prof_Sta0)+Prof_Kq*(($Q$9)-Prof_Sta0)^2,IF(($Q$9)&lt;=Prof_PISta,Prof_Z0+Prof_G1*(($Q$9)-Prof_Sta0),Prof_PIZ+Prof_G2*(($Q$9)-Prof_PISta)))</f>
        <v>47.795156249999998</v>
      </c>
    </row>
    <row r="10" spans="2:19" ht="15" customHeight="1" x14ac:dyDescent="0.45">
      <c r="Q10" s="47">
        <f>Prof_Sta0+4/12*(Prof_PISta-Prof_Sta0)</f>
        <v>1629.0033333333333</v>
      </c>
      <c r="R10" s="47">
        <f>IF(Prof_Mode="parabolic",Prof_Z0+Prof_G1*(($Q$10)-Prof_Sta0)+Prof_Kq*(($Q$10)-Prof_Sta0)^2,IF(($Q$10)&lt;=Prof_PISta,Prof_Z0+Prof_G1*(($Q$10)-Prof_Sta0),Prof_PIZ+Prof_G2*(($Q$10)-Prof_PISta)))</f>
        <v>47.839874999999999</v>
      </c>
    </row>
    <row r="11" spans="2:19" ht="15" customHeight="1" x14ac:dyDescent="0.45">
      <c r="Q11" s="47">
        <f>Prof_Sta0+5/12*(Prof_PISta-Prof_Sta0)</f>
        <v>1637.9491666666668</v>
      </c>
      <c r="R11" s="47">
        <f>IF(Prof_Mode="parabolic",Prof_Z0+Prof_G1*(($Q$11)-Prof_Sta0)+Prof_Kq*(($Q$11)-Prof_Sta0)^2,IF(($Q$11)&lt;=Prof_PISta,Prof_Z0+Prof_G1*(($Q$11)-Prof_Sta0),Prof_PIZ+Prof_G2*(($Q$11)-Prof_PISta)))</f>
        <v>47.884593750000001</v>
      </c>
    </row>
    <row r="12" spans="2:19" ht="15" customHeight="1" x14ac:dyDescent="0.45">
      <c r="Q12" s="47">
        <f>Prof_Sta0+6/12*(Prof_PISta-Prof_Sta0)</f>
        <v>1646.895</v>
      </c>
      <c r="R12" s="47">
        <f>IF(Prof_Mode="parabolic",Prof_Z0+Prof_G1*(($Q$12)-Prof_Sta0)+Prof_Kq*(($Q$12)-Prof_Sta0)^2,IF(($Q$12)&lt;=Prof_PISta,Prof_Z0+Prof_G1*(($Q$12)-Prof_Sta0),Prof_PIZ+Prof_G2*(($Q$12)-Prof_PISta)))</f>
        <v>47.929312500000002</v>
      </c>
    </row>
    <row r="13" spans="2:19" ht="15" customHeight="1" x14ac:dyDescent="0.45">
      <c r="Q13" s="47">
        <f>Prof_Sta0+7/12*(Prof_PISta-Prof_Sta0)</f>
        <v>1655.8408333333334</v>
      </c>
      <c r="R13" s="47">
        <f>IF(Prof_Mode="parabolic",Prof_Z0+Prof_G1*(($Q$13)-Prof_Sta0)+Prof_Kq*(($Q$13)-Prof_Sta0)^2,IF(($Q$13)&lt;=Prof_PISta,Prof_Z0+Prof_G1*(($Q$13)-Prof_Sta0),Prof_PIZ+Prof_G2*(($Q$13)-Prof_PISta)))</f>
        <v>47.974031250000003</v>
      </c>
    </row>
    <row r="14" spans="2:19" ht="15" customHeight="1" x14ac:dyDescent="0.45">
      <c r="Q14" s="47">
        <f>Prof_Sta0+8/12*(Prof_PISta-Prof_Sta0)</f>
        <v>1664.7866666666666</v>
      </c>
      <c r="R14" s="47">
        <f>IF(Prof_Mode="parabolic",Prof_Z0+Prof_G1*(($Q$14)-Prof_Sta0)+Prof_Kq*(($Q$14)-Prof_Sta0)^2,IF(($Q$14)&lt;=Prof_PISta,Prof_Z0+Prof_G1*(($Q$14)-Prof_Sta0),Prof_PIZ+Prof_G2*(($Q$14)-Prof_PISta)))</f>
        <v>48.018750000000004</v>
      </c>
    </row>
    <row r="15" spans="2:19" ht="15" customHeight="1" x14ac:dyDescent="0.45">
      <c r="Q15" s="47">
        <f>Prof_Sta0+9/12*(Prof_PISta-Prof_Sta0)</f>
        <v>1673.7325000000001</v>
      </c>
      <c r="R15" s="47">
        <f>IF(Prof_Mode="parabolic",Prof_Z0+Prof_G1*(($Q$15)-Prof_Sta0)+Prof_Kq*(($Q$15)-Prof_Sta0)^2,IF(($Q$15)&lt;=Prof_PISta,Prof_Z0+Prof_G1*(($Q$15)-Prof_Sta0),Prof_PIZ+Prof_G2*(($Q$15)-Prof_PISta)))</f>
        <v>48.063468750000006</v>
      </c>
    </row>
    <row r="16" spans="2:19" ht="29.45" customHeight="1" x14ac:dyDescent="0.45">
      <c r="B16" s="85" t="str">
        <f>"Current values: g1 = "&amp;TEXT(Prof_G1*100,"+0.000000;-0.000000")&amp;"%, g2 = "&amp;TEXT(Prof_G2*100,"+0.000000;-0.000000")&amp;"%, z_PI = "&amp;IF(Prof_Mode="brokeback",TEXT(Prof_PIZ,"0.000000")&amp;" ft","n/a (parabolic)")&amp;" at "&amp;TEXT(INT(ROUND(Prof_PISta*100,0)/10000),"0")&amp;"+"&amp;TEXT(MOD(ROUND(Prof_PISta*100,0),10000)/100,"00.00")&amp;"."</f>
        <v>Current values: g1 = +0.499884%, g2 = -0.500119%, z_PI = 48.197625 ft at 17+00.57.</v>
      </c>
      <c r="C16" s="83"/>
      <c r="D16" s="83"/>
      <c r="E16" s="83"/>
      <c r="F16" s="83"/>
      <c r="G16" s="83"/>
      <c r="H16" s="83"/>
      <c r="I16" s="83"/>
      <c r="J16" s="83"/>
      <c r="K16" s="83"/>
      <c r="L16" s="83"/>
      <c r="M16" s="83"/>
      <c r="Q16" s="47">
        <f>Prof_Sta0+10/12*(Prof_PISta-Prof_Sta0)</f>
        <v>1682.6783333333333</v>
      </c>
      <c r="R16" s="47">
        <f>IF(Prof_Mode="parabolic",Prof_Z0+Prof_G1*(($Q$16)-Prof_Sta0)+Prof_Kq*(($Q$16)-Prof_Sta0)^2,IF(($Q$16)&lt;=Prof_PISta,Prof_Z0+Prof_G1*(($Q$16)-Prof_Sta0),Prof_PIZ+Prof_G2*(($Q$16)-Prof_PISta)))</f>
        <v>48.1081875</v>
      </c>
    </row>
    <row r="17" spans="2:18" ht="16.25" customHeight="1" x14ac:dyDescent="0.45">
      <c r="B17" s="85" t="s">
        <v>795</v>
      </c>
      <c r="C17" s="83"/>
      <c r="D17" s="83"/>
      <c r="E17" s="83"/>
      <c r="F17" s="83"/>
      <c r="G17" s="83"/>
      <c r="H17" s="83"/>
      <c r="I17" s="83"/>
      <c r="J17" s="83"/>
      <c r="K17" s="83"/>
      <c r="L17" s="83"/>
      <c r="M17" s="83"/>
      <c r="Q17" s="47">
        <f>Prof_Sta0+11/12*(Prof_PISta-Prof_Sta0)</f>
        <v>1691.6241666666665</v>
      </c>
      <c r="R17" s="47">
        <f>IF(Prof_Mode="parabolic",Prof_Z0+Prof_G1*(($Q$17)-Prof_Sta0)+Prof_Kq*(($Q$17)-Prof_Sta0)^2,IF(($Q$17)&lt;=Prof_PISta,Prof_Z0+Prof_G1*(($Q$17)-Prof_Sta0),Prof_PIZ+Prof_G2*(($Q$17)-Prof_PISta)))</f>
        <v>48.152906250000001</v>
      </c>
    </row>
    <row r="18" spans="2:18" ht="15" customHeight="1" x14ac:dyDescent="0.45">
      <c r="Q18" s="47">
        <f>Prof_Sta0+12/12*(Prof_PISta-Prof_Sta0)</f>
        <v>1700.57</v>
      </c>
      <c r="R18" s="47">
        <f>IF(Prof_Mode="parabolic",Prof_Z0+Prof_G1*(($Q$18)-Prof_Sta0)+Prof_Kq*(($Q$18)-Prof_Sta0)^2,IF(($Q$18)&lt;=Prof_PISta,Prof_Z0+Prof_G1*(($Q$18)-Prof_Sta0),Prof_PIZ+Prof_G2*(($Q$18)-Prof_PISta)))</f>
        <v>48.197625000000002</v>
      </c>
    </row>
    <row r="19" spans="2:18" ht="15" customHeight="1" x14ac:dyDescent="0.45">
      <c r="Q19" s="47">
        <f>Prof_PISta+1/12*(Prof_Sta1-Prof_PISta)</f>
        <v>1709.3116666666665</v>
      </c>
      <c r="R19" s="47">
        <f>IF(Prof_Mode="parabolic",Prof_Z0+Prof_G1*(($Q$19)-Prof_Sta0)+Prof_Kq*(($Q$19)-Prof_Sta0)^2,IF(($Q$19)&lt;=Prof_PISta,Prof_Z0+Prof_G1*(($Q$19)-Prof_Sta0),Prof_PIZ+Prof_G2*(($Q$19)-Prof_PISta)))</f>
        <v>48.153906250000006</v>
      </c>
    </row>
    <row r="20" spans="2:18" ht="15" customHeight="1" x14ac:dyDescent="0.45">
      <c r="Q20" s="47">
        <f>Prof_PISta+2/12*(Prof_Sta1-Prof_PISta)</f>
        <v>1718.0533333333333</v>
      </c>
      <c r="R20" s="47">
        <f>IF(Prof_Mode="parabolic",Prof_Z0+Prof_G1*(($Q$20)-Prof_Sta0)+Prof_Kq*(($Q$20)-Prof_Sta0)^2,IF(($Q$20)&lt;=Prof_PISta,Prof_Z0+Prof_G1*(($Q$20)-Prof_Sta0),Prof_PIZ+Prof_G2*(($Q$20)-Prof_PISta)))</f>
        <v>48.110187500000002</v>
      </c>
    </row>
    <row r="21" spans="2:18" ht="15" customHeight="1" x14ac:dyDescent="0.45">
      <c r="Q21" s="47">
        <f>Prof_PISta+3/12*(Prof_Sta1-Prof_PISta)</f>
        <v>1726.7950000000001</v>
      </c>
      <c r="R21" s="47">
        <f>IF(Prof_Mode="parabolic",Prof_Z0+Prof_G1*(($Q$21)-Prof_Sta0)+Prof_Kq*(($Q$21)-Prof_Sta0)^2,IF(($Q$21)&lt;=Prof_PISta,Prof_Z0+Prof_G1*(($Q$21)-Prof_Sta0),Prof_PIZ+Prof_G2*(($Q$21)-Prof_PISta)))</f>
        <v>48.066468749999999</v>
      </c>
    </row>
    <row r="22" spans="2:18" ht="15" customHeight="1" x14ac:dyDescent="0.45">
      <c r="Q22" s="47">
        <f>Prof_PISta+4/12*(Prof_Sta1-Prof_PISta)</f>
        <v>1735.5366666666666</v>
      </c>
      <c r="R22" s="47">
        <f>IF(Prof_Mode="parabolic",Prof_Z0+Prof_G1*(($Q$22)-Prof_Sta0)+Prof_Kq*(($Q$22)-Prof_Sta0)^2,IF(($Q$22)&lt;=Prof_PISta,Prof_Z0+Prof_G1*(($Q$22)-Prof_Sta0),Prof_PIZ+Prof_G2*(($Q$22)-Prof_PISta)))</f>
        <v>48.022750000000002</v>
      </c>
    </row>
    <row r="23" spans="2:18" ht="15" customHeight="1" x14ac:dyDescent="0.45">
      <c r="Q23" s="47">
        <f>Prof_PISta+5/12*(Prof_Sta1-Prof_PISta)</f>
        <v>1744.2783333333332</v>
      </c>
      <c r="R23" s="47">
        <f>IF(Prof_Mode="parabolic",Prof_Z0+Prof_G1*(($Q$23)-Prof_Sta0)+Prof_Kq*(($Q$23)-Prof_Sta0)^2,IF(($Q$23)&lt;=Prof_PISta,Prof_Z0+Prof_G1*(($Q$23)-Prof_Sta0),Prof_PIZ+Prof_G2*(($Q$23)-Prof_PISta)))</f>
        <v>47.979031250000006</v>
      </c>
    </row>
    <row r="24" spans="2:18" ht="15" customHeight="1" x14ac:dyDescent="0.45">
      <c r="Q24" s="47">
        <f>Prof_PISta+6/12*(Prof_Sta1-Prof_PISta)</f>
        <v>1753.02</v>
      </c>
      <c r="R24" s="47">
        <f>IF(Prof_Mode="parabolic",Prof_Z0+Prof_G1*(($Q$24)-Prof_Sta0)+Prof_Kq*(($Q$24)-Prof_Sta0)^2,IF(($Q$24)&lt;=Prof_PISta,Prof_Z0+Prof_G1*(($Q$24)-Prof_Sta0),Prof_PIZ+Prof_G2*(($Q$24)-Prof_PISta)))</f>
        <v>47.935312500000002</v>
      </c>
    </row>
    <row r="25" spans="2:18" ht="15" customHeight="1" x14ac:dyDescent="0.45">
      <c r="Q25" s="47">
        <f>Prof_PISta+7/12*(Prof_Sta1-Prof_PISta)</f>
        <v>1761.7616666666668</v>
      </c>
      <c r="R25" s="47">
        <f>IF(Prof_Mode="parabolic",Prof_Z0+Prof_G1*(($Q$25)-Prof_Sta0)+Prof_Kq*(($Q$25)-Prof_Sta0)^2,IF(($Q$25)&lt;=Prof_PISta,Prof_Z0+Prof_G1*(($Q$25)-Prof_Sta0),Prof_PIZ+Prof_G2*(($Q$25)-Prof_PISta)))</f>
        <v>47.891593749999998</v>
      </c>
    </row>
    <row r="26" spans="2:18" ht="15" customHeight="1" x14ac:dyDescent="0.45">
      <c r="Q26" s="47">
        <f>Prof_PISta+8/12*(Prof_Sta1-Prof_PISta)</f>
        <v>1770.5033333333333</v>
      </c>
      <c r="R26" s="47">
        <f>IF(Prof_Mode="parabolic",Prof_Z0+Prof_G1*(($Q$26)-Prof_Sta0)+Prof_Kq*(($Q$26)-Prof_Sta0)^2,IF(($Q$26)&lt;=Prof_PISta,Prof_Z0+Prof_G1*(($Q$26)-Prof_Sta0),Prof_PIZ+Prof_G2*(($Q$26)-Prof_PISta)))</f>
        <v>47.847875000000002</v>
      </c>
    </row>
    <row r="27" spans="2:18" ht="15" customHeight="1" x14ac:dyDescent="0.45">
      <c r="Q27" s="47">
        <f>Prof_PISta+9/12*(Prof_Sta1-Prof_PISta)</f>
        <v>1779.2449999999999</v>
      </c>
      <c r="R27" s="47">
        <f>IF(Prof_Mode="parabolic",Prof_Z0+Prof_G1*(($Q$27)-Prof_Sta0)+Prof_Kq*(($Q$27)-Prof_Sta0)^2,IF(($Q$27)&lt;=Prof_PISta,Prof_Z0+Prof_G1*(($Q$27)-Prof_Sta0),Prof_PIZ+Prof_G2*(($Q$27)-Prof_PISta)))</f>
        <v>47.804156250000005</v>
      </c>
    </row>
    <row r="28" spans="2:18" ht="15" customHeight="1" x14ac:dyDescent="0.45">
      <c r="Q28" s="47">
        <f>Prof_PISta+10/12*(Prof_Sta1-Prof_PISta)</f>
        <v>1787.9866666666667</v>
      </c>
      <c r="R28" s="47">
        <f>IF(Prof_Mode="parabolic",Prof_Z0+Prof_G1*(($Q$28)-Prof_Sta0)+Prof_Kq*(($Q$28)-Prof_Sta0)^2,IF(($Q$28)&lt;=Prof_PISta,Prof_Z0+Prof_G1*(($Q$28)-Prof_Sta0),Prof_PIZ+Prof_G2*(($Q$28)-Prof_PISta)))</f>
        <v>47.760437500000002</v>
      </c>
    </row>
    <row r="29" spans="2:18" ht="15" customHeight="1" x14ac:dyDescent="0.45">
      <c r="Q29" s="47">
        <f>Prof_PISta+11/12*(Prof_Sta1-Prof_PISta)</f>
        <v>1796.7283333333335</v>
      </c>
      <c r="R29" s="47">
        <f>IF(Prof_Mode="parabolic",Prof_Z0+Prof_G1*(($Q$29)-Prof_Sta0)+Prof_Kq*(($Q$29)-Prof_Sta0)^2,IF(($Q$29)&lt;=Prof_PISta,Prof_Z0+Prof_G1*(($Q$29)-Prof_Sta0),Prof_PIZ+Prof_G2*(($Q$29)-Prof_PISta)))</f>
        <v>47.716718749999998</v>
      </c>
    </row>
    <row r="30" spans="2:18" ht="15" customHeight="1" x14ac:dyDescent="0.45">
      <c r="Q30" s="47">
        <f>Prof_PISta+12/12*(Prof_Sta1-Prof_PISta)</f>
        <v>1805.47</v>
      </c>
      <c r="R30" s="47">
        <f>IF(Prof_Mode="parabolic",Prof_Z0+Prof_G1*(($Q$30)-Prof_Sta0)+Prof_Kq*(($Q$30)-Prof_Sta0)^2,IF(($Q$30)&lt;=Prof_PISta,Prof_Z0+Prof_G1*(($Q$30)-Prof_Sta0),Prof_PIZ+Prof_G2*(($Q$30)-Prof_PISta)))</f>
        <v>47.673000000000002</v>
      </c>
    </row>
    <row r="31" spans="2:18" ht="15" customHeight="1" x14ac:dyDescent="0.45"/>
    <row r="32" spans="2:18" ht="15" customHeight="1" x14ac:dyDescent="0.45">
      <c r="P32" s="44" t="s">
        <v>796</v>
      </c>
      <c r="Q32" s="48">
        <f>MIN(R6:R30)-0.25</f>
        <v>47.411000000000001</v>
      </c>
    </row>
    <row r="33" spans="2:18" ht="15" customHeight="1" x14ac:dyDescent="0.45">
      <c r="P33" s="44" t="s">
        <v>797</v>
      </c>
      <c r="Q33" s="48">
        <f>MAX(R6:R30)+0.1</f>
        <v>48.297625000000004</v>
      </c>
    </row>
    <row r="34" spans="2:18" ht="15" customHeight="1" x14ac:dyDescent="0.45">
      <c r="P34" s="44" t="s">
        <v>798</v>
      </c>
      <c r="Q34" s="47">
        <f>Sp1_Sta0</f>
        <v>1593.22</v>
      </c>
      <c r="R34" s="47">
        <f>$Q$32</f>
        <v>47.411000000000001</v>
      </c>
    </row>
    <row r="35" spans="2:18" ht="15" customHeight="1" x14ac:dyDescent="0.45">
      <c r="Q35" s="47">
        <f>Sp1_Sta0</f>
        <v>1593.22</v>
      </c>
      <c r="R35" s="47">
        <f>$Q$33</f>
        <v>48.297625000000004</v>
      </c>
    </row>
    <row r="36" spans="2:18" ht="15" customHeight="1" x14ac:dyDescent="0.45"/>
    <row r="37" spans="2:18" ht="15" customHeight="1" x14ac:dyDescent="0.45">
      <c r="Q37" s="47">
        <f>Sp1_Sta1</f>
        <v>1700.57</v>
      </c>
      <c r="R37" s="47">
        <f>$Q$32</f>
        <v>47.411000000000001</v>
      </c>
    </row>
    <row r="38" spans="2:18" ht="15" customHeight="1" x14ac:dyDescent="0.45">
      <c r="Q38" s="47">
        <f>Sp1_Sta1</f>
        <v>1700.57</v>
      </c>
      <c r="R38" s="47">
        <f>$Q$33</f>
        <v>48.297625000000004</v>
      </c>
    </row>
    <row r="39" spans="2:18" ht="16.25" customHeight="1" x14ac:dyDescent="0.45">
      <c r="B39" s="82" t="s">
        <v>799</v>
      </c>
      <c r="C39" s="83"/>
      <c r="D39" s="83"/>
      <c r="E39" s="83"/>
      <c r="F39" s="83"/>
      <c r="G39" s="83"/>
      <c r="H39" s="83"/>
      <c r="I39" s="83"/>
      <c r="J39" s="83"/>
      <c r="K39" s="83"/>
      <c r="L39" s="83"/>
      <c r="M39" s="83"/>
    </row>
    <row r="40" spans="2:18" x14ac:dyDescent="0.45">
      <c r="Q40" s="47">
        <f>Sp2_Sta1</f>
        <v>1805.47</v>
      </c>
      <c r="R40" s="47">
        <f>$Q$32</f>
        <v>47.411000000000001</v>
      </c>
    </row>
    <row r="41" spans="2:18" ht="18" customHeight="1" x14ac:dyDescent="0.45">
      <c r="B41" s="36" t="s">
        <v>800</v>
      </c>
      <c r="C41" s="18"/>
      <c r="D41" s="18"/>
      <c r="E41" s="18"/>
      <c r="F41" s="18"/>
      <c r="G41" s="18"/>
      <c r="H41" s="18"/>
      <c r="I41" s="18"/>
      <c r="J41" s="18"/>
      <c r="K41" s="18"/>
      <c r="L41" s="18"/>
      <c r="M41" s="18"/>
      <c r="Q41" s="47">
        <f>Sp2_Sta1</f>
        <v>1805.47</v>
      </c>
      <c r="R41" s="47">
        <f>$Q$33</f>
        <v>48.297625000000004</v>
      </c>
    </row>
    <row r="42" spans="2:18" ht="29.45" customHeight="1" x14ac:dyDescent="0.45">
      <c r="B42" s="85" t="s">
        <v>801</v>
      </c>
      <c r="C42" s="83"/>
      <c r="D42" s="83"/>
      <c r="E42" s="83"/>
      <c r="F42" s="83"/>
      <c r="G42" s="83"/>
      <c r="H42" s="83"/>
      <c r="I42" s="83"/>
      <c r="J42" s="83"/>
      <c r="K42" s="83"/>
      <c r="L42" s="83"/>
      <c r="M42" s="83"/>
    </row>
    <row r="43" spans="2:18" ht="15" customHeight="1" x14ac:dyDescent="0.45">
      <c r="P43" s="44" t="str">
        <f>"FFBW End Bent 1  "&amp;TEXT(INT(ROUND(Sp1_Sta0*100,0)/10000),"0")&amp;"+"&amp;TEXT(MOD(ROUND(Sp1_Sta0*100,0),10000)/100,"00.00")</f>
        <v>FFBW End Bent 1  15+93.22</v>
      </c>
      <c r="Q43" s="47">
        <f>Sp1_Sta0</f>
        <v>1593.22</v>
      </c>
      <c r="R43" s="47">
        <f>$Q$32</f>
        <v>47.411000000000001</v>
      </c>
    </row>
    <row r="44" spans="2:18" ht="15" customHeight="1" x14ac:dyDescent="0.45"/>
    <row r="45" spans="2:18" ht="15" customHeight="1" x14ac:dyDescent="0.45">
      <c r="P45" s="44" t="str">
        <f>"CL Pier  "&amp;TEXT(INT(ROUND(Sp1_Sta1*100,0)/10000),"0")&amp;"+"&amp;TEXT(MOD(ROUND(Sp1_Sta1*100,0),10000)/100,"00.00")</f>
        <v>CL Pier  17+00.57</v>
      </c>
      <c r="Q45" s="47">
        <f>Sp1_Sta1</f>
        <v>1700.57</v>
      </c>
      <c r="R45" s="47">
        <f>$Q$32</f>
        <v>47.411000000000001</v>
      </c>
    </row>
    <row r="46" spans="2:18" ht="15" customHeight="1" x14ac:dyDescent="0.45"/>
    <row r="47" spans="2:18" ht="15" customHeight="1" x14ac:dyDescent="0.45">
      <c r="P47" s="44" t="str">
        <f>"FFBW End Bent 2  "&amp;TEXT(INT(ROUND(Sp2_Sta1*100,0)/10000),"0")&amp;"+"&amp;TEXT(MOD(ROUND(Sp2_Sta1*100,0),10000)/100,"00.00")</f>
        <v>FFBW End Bent 2  18+05.47</v>
      </c>
      <c r="Q47" s="47">
        <f>Sp2_Sta1</f>
        <v>1805.47</v>
      </c>
      <c r="R47" s="47">
        <f>$Q$32</f>
        <v>47.411000000000001</v>
      </c>
    </row>
    <row r="48" spans="2:18" ht="15" customHeight="1" x14ac:dyDescent="0.45"/>
    <row r="49" spans="16:19" ht="15" customHeight="1" x14ac:dyDescent="0.45">
      <c r="P49" s="44" t="str">
        <f>"EL "&amp;TEXT(IF(Prof_Mode="parabolic",Prof_Z0+Prof_G1*((Prof_Sta0)-Prof_Sta0)+Prof_Kq*((Prof_Sta0)-Prof_Sta0)^2,IF((Prof_Sta0)&lt;=Prof_PISta,Prof_Z0+Prof_G1*((Prof_Sta0)-Prof_Sta0),Prof_PIZ+Prof_G2*((Prof_Sta0)-Prof_PISta))),"0.000")</f>
        <v>EL 47.661</v>
      </c>
      <c r="Q49" s="47">
        <f>Prof_Sta0</f>
        <v>1593.22</v>
      </c>
      <c r="R49" s="47">
        <f>IF(Prof_Mode="parabolic",Prof_Z0+Prof_G1*((Prof_Sta0)-Prof_Sta0)+Prof_Kq*((Prof_Sta0)-Prof_Sta0)^2,IF((Prof_Sta0)&lt;=Prof_PISta,Prof_Z0+Prof_G1*((Prof_Sta0)-Prof_Sta0),Prof_PIZ+Prof_G2*((Prof_Sta0)-Prof_PISta)))</f>
        <v>47.661000000000001</v>
      </c>
    </row>
    <row r="50" spans="16:19" ht="15" customHeight="1" x14ac:dyDescent="0.45"/>
    <row r="51" spans="16:19" ht="15" customHeight="1" x14ac:dyDescent="0.45">
      <c r="P51" s="44" t="str">
        <f>"EL "&amp;TEXT(IF(Prof_Mode="parabolic",Prof_Z0+Prof_G1*((Prof_Sta1)-Prof_Sta0)+Prof_Kq*((Prof_Sta1)-Prof_Sta0)^2,IF((Prof_Sta1)&lt;=Prof_PISta,Prof_Z0+Prof_G1*((Prof_Sta1)-Prof_Sta0),Prof_PIZ+Prof_G2*((Prof_Sta1)-Prof_PISta))),"0.000")</f>
        <v>EL 47.673</v>
      </c>
      <c r="Q51" s="47">
        <f>Prof_Sta1</f>
        <v>1805.47</v>
      </c>
      <c r="R51" s="47">
        <f>IF(Prof_Mode="parabolic",Prof_Z0+Prof_G1*((Prof_Sta1)-Prof_Sta0)+Prof_Kq*((Prof_Sta1)-Prof_Sta0)^2,IF((Prof_Sta1)&lt;=Prof_PISta,Prof_Z0+Prof_G1*((Prof_Sta1)-Prof_Sta0),Prof_PIZ+Prof_G2*((Prof_Sta1)-Prof_PISta)))</f>
        <v>47.673000000000002</v>
      </c>
    </row>
    <row r="52" spans="16:19" ht="15" customHeight="1" x14ac:dyDescent="0.45"/>
    <row r="53" spans="16:19" ht="15" customHeight="1" x14ac:dyDescent="0.45">
      <c r="P53" s="44" t="str">
        <f>"PI  "&amp;TEXT(INT(ROUND(Prof_PISta*100,0)/10000),"0")&amp;"+"&amp;TEXT(MOD(ROUND(Prof_PISta*100,0),10000)/100,"00.00")&amp;""&amp;CHAR(10)&amp;"EL "&amp;TEXT(IF(Prof_Mode="parabolic",Prof_Z0+Prof_G1*((Prof_PISta)-Prof_Sta0)+Prof_Kq*((Prof_PISta)-Prof_Sta0)^2,IF((Prof_PISta)&lt;=Prof_PISta,Prof_Z0+Prof_G1*((Prof_PISta)-Prof_Sta0),Prof_PIZ+Prof_G2*((Prof_PISta)-Prof_PISta))),"0.000")</f>
        <v>PI  17+00.57
EL 48.198</v>
      </c>
      <c r="Q53" s="47">
        <f>Prof_PISta</f>
        <v>1700.57</v>
      </c>
      <c r="R53" s="47">
        <f>IF(Prof_Mode="parabolic",Prof_Z0+Prof_G1*((Prof_PISta)-Prof_Sta0)+Prof_Kq*((Prof_PISta)-Prof_Sta0)^2,IF((Prof_PISta)&lt;=Prof_PISta,Prof_Z0+Prof_G1*((Prof_PISta)-Prof_Sta0),Prof_PIZ+Prof_G2*((Prof_PISta)-Prof_PISta)))</f>
        <v>48.197625000000002</v>
      </c>
    </row>
    <row r="54" spans="16:19" ht="15" customHeight="1" x14ac:dyDescent="0.45"/>
    <row r="55" spans="16:19" ht="15" customHeight="1" x14ac:dyDescent="0.45">
      <c r="P55" s="44" t="str">
        <f>"g1 = "&amp;TEXT(Prof_G1*100,"+0.0000;-0.0000")&amp;"%"</f>
        <v>g1 = +0.4999%</v>
      </c>
      <c r="Q55" s="47">
        <f>(Prof_Sta0+Prof_PISta)/2</f>
        <v>1646.895</v>
      </c>
      <c r="R55" s="47">
        <f>IF(Prof_Mode="parabolic",Prof_Z0+Prof_G1*(((Prof_Sta0+Prof_PISta)/2)-Prof_Sta0)+Prof_Kq*(((Prof_Sta0+Prof_PISta)/2)-Prof_Sta0)^2,IF(((Prof_Sta0+Prof_PISta)/2)&lt;=Prof_PISta,Prof_Z0+Prof_G1*(((Prof_Sta0+Prof_PISta)/2)-Prof_Sta0),Prof_PIZ+Prof_G2*(((Prof_Sta0+Prof_PISta)/2)-Prof_PISta)))</f>
        <v>47.929312500000002</v>
      </c>
    </row>
    <row r="56" spans="16:19" ht="15" customHeight="1" x14ac:dyDescent="0.45"/>
    <row r="57" spans="16:19" ht="15" customHeight="1" x14ac:dyDescent="0.45">
      <c r="P57" s="44" t="str">
        <f>"g2 = "&amp;TEXT(Prof_G2*100,"+0.0000;-0.0000")&amp;"%"</f>
        <v>g2 = -0.5001%</v>
      </c>
      <c r="Q57" s="47">
        <f>(Prof_PISta+Prof_Sta1)/2</f>
        <v>1753.02</v>
      </c>
      <c r="R57" s="47">
        <f>IF(Prof_Mode="parabolic",Prof_Z0+Prof_G1*(((Prof_PISta+Prof_Sta1)/2)-Prof_Sta0)+Prof_Kq*(((Prof_PISta+Prof_Sta1)/2)-Prof_Sta0)^2,IF(((Prof_PISta+Prof_Sta1)/2)&lt;=Prof_PISta,Prof_Z0+Prof_G1*(((Prof_PISta+Prof_Sta1)/2)-Prof_Sta0),Prof_PIZ+Prof_G2*(((Prof_PISta+Prof_Sta1)/2)-Prof_PISta)))</f>
        <v>47.935312500000002</v>
      </c>
    </row>
    <row r="58" spans="16:19" ht="15" customHeight="1" x14ac:dyDescent="0.45"/>
    <row r="59" spans="16:19" ht="15" customHeight="1" x14ac:dyDescent="0.45">
      <c r="P59" s="44" t="s">
        <v>802</v>
      </c>
      <c r="Q59" s="47">
        <f>Prof_Sta0-5</f>
        <v>1588.22</v>
      </c>
      <c r="R59" s="47">
        <f>$Q$32-0.3</f>
        <v>47.111000000000004</v>
      </c>
    </row>
    <row r="60" spans="16:19" ht="15" customHeight="1" x14ac:dyDescent="0.45">
      <c r="Q60" s="47">
        <f>Prof_Sta1+5</f>
        <v>1810.47</v>
      </c>
      <c r="R60" s="47">
        <f>$Q$33+0.2</f>
        <v>48.497625000000006</v>
      </c>
    </row>
    <row r="61" spans="16:19" ht="15" customHeight="1" x14ac:dyDescent="0.45"/>
    <row r="62" spans="16:19" ht="15" customHeight="1" x14ac:dyDescent="0.45"/>
    <row r="63" spans="16:19" ht="15" customHeight="1" x14ac:dyDescent="0.45">
      <c r="P63" s="45" t="s">
        <v>803</v>
      </c>
    </row>
    <row r="64" spans="16:19" ht="15" customHeight="1" x14ac:dyDescent="0.45">
      <c r="P64" s="46" t="s">
        <v>790</v>
      </c>
      <c r="Q64" s="46" t="s">
        <v>791</v>
      </c>
      <c r="R64" s="46" t="s">
        <v>792</v>
      </c>
      <c r="S64" s="46" t="s">
        <v>793</v>
      </c>
    </row>
    <row r="65" spans="2:18" ht="15" customHeight="1" x14ac:dyDescent="0.45">
      <c r="P65" s="44" t="s">
        <v>804</v>
      </c>
      <c r="Q65" s="48">
        <f>IF(Prof_Mode="parabolic",Prof_Z0+Prof_G1*((Sp1_Mid)-Prof_Sta0)+Prof_Kq*((Sp1_Mid)-Prof_Sta0)^2,IF((Sp1_Mid)&lt;=Prof_PISta,Prof_Z0+Prof_G1*((Sp1_Mid)-Prof_Sta0),Prof_PIZ+Prof_G2*((Sp1_Mid)-Prof_PISta)))</f>
        <v>47.929624927224033</v>
      </c>
    </row>
    <row r="66" spans="2:18" ht="15" customHeight="1" x14ac:dyDescent="0.45">
      <c r="P66" s="44" t="s">
        <v>805</v>
      </c>
      <c r="Q66" s="47">
        <f>Deck_YL</f>
        <v>-6.7916666666666652</v>
      </c>
      <c r="R66" s="47">
        <f>$Q$65+IF(Deck_Mode="uniform",Deck_Uni*(Deck_YL),Deck_Crown*ABS(Deck_YL))</f>
        <v>47.793791593890703</v>
      </c>
    </row>
    <row r="67" spans="2:18" ht="29.45" customHeight="1" x14ac:dyDescent="0.45">
      <c r="B67" s="82" t="str">
        <f>"Figure 2. Section at Span 1 midspan ("&amp;TEXT(INT(ROUND(Sp1_Mid*100,0)/10000),"0")&amp;"+"&amp;TEXT(MOD(ROUND(Sp1_Mid*100,0),10000)/100,"00.00")&amp;"), true scale: deck, FIB-36 beams, haunch (shaded) and the four haunch check points on each flange (red)."</f>
        <v>Figure 2. Section at Span 1 midspan (16+46.96), true scale: deck, FIB-36 beams, haunch (shaded) and the four haunch check points on each flange (red).</v>
      </c>
      <c r="C67" s="83"/>
      <c r="D67" s="83"/>
      <c r="E67" s="83"/>
      <c r="F67" s="83"/>
      <c r="G67" s="83"/>
      <c r="H67" s="83"/>
      <c r="I67" s="83"/>
      <c r="J67" s="83"/>
      <c r="K67" s="83"/>
      <c r="L67" s="83"/>
      <c r="M67" s="83"/>
      <c r="Q67" s="47">
        <f>MAX(Deck_YL,MIN(0,Deck_YR))</f>
        <v>0</v>
      </c>
      <c r="R67" s="47">
        <f>$Q$65+IF(Deck_Mode="uniform",Deck_Uni*(MAX(Deck_YL,MIN(0,Deck_YR))),Deck_Crown*ABS(MAX(Deck_YL,MIN(0,Deck_YR))))</f>
        <v>47.929624927224033</v>
      </c>
    </row>
    <row r="68" spans="2:18" x14ac:dyDescent="0.45">
      <c r="Q68" s="47">
        <f>Deck_YR</f>
        <v>6.7916666666666652</v>
      </c>
      <c r="R68" s="47">
        <f>$Q$65+IF(Deck_Mode="uniform",Deck_Uni*(Deck_YR),Deck_Crown*ABS(Deck_YR))</f>
        <v>47.793791593890703</v>
      </c>
    </row>
    <row r="69" spans="2:18" ht="18" customHeight="1" x14ac:dyDescent="0.45">
      <c r="B69" s="36" t="s">
        <v>806</v>
      </c>
      <c r="C69" s="18"/>
      <c r="D69" s="18"/>
      <c r="E69" s="18"/>
      <c r="F69" s="18"/>
      <c r="G69" s="18"/>
      <c r="H69" s="18"/>
      <c r="I69" s="18"/>
      <c r="J69" s="18"/>
      <c r="K69" s="18"/>
      <c r="L69" s="18"/>
      <c r="M69" s="18"/>
      <c r="Q69" s="47">
        <f>Deck_YR</f>
        <v>6.7916666666666652</v>
      </c>
      <c r="R69" s="47">
        <f>$Q$65+IF(Deck_Mode="uniform",Deck_Uni*(Deck_YR),Deck_Crown*ABS(Deck_YR))-Deck_T</f>
        <v>47.293791593890703</v>
      </c>
    </row>
    <row r="70" spans="2:18" ht="15" customHeight="1" x14ac:dyDescent="0.45">
      <c r="Q70" s="47">
        <f>MAX(Deck_YL,MIN(0,Deck_YR))</f>
        <v>0</v>
      </c>
      <c r="R70" s="47">
        <f>$Q$65+IF(Deck_Mode="uniform",Deck_Uni*(MAX(Deck_YL,MIN(0,Deck_YR))),Deck_Crown*ABS(MAX(Deck_YL,MIN(0,Deck_YR))))-Deck_T</f>
        <v>47.429624927224033</v>
      </c>
    </row>
    <row r="71" spans="2:18" ht="15" customHeight="1" x14ac:dyDescent="0.45">
      <c r="Q71" s="47">
        <f>Deck_YL</f>
        <v>-6.7916666666666652</v>
      </c>
      <c r="R71" s="47">
        <f>$Q$65+IF(Deck_Mode="uniform",Deck_Uni*(Deck_YL),Deck_Crown*ABS(Deck_YL))-Deck_T</f>
        <v>47.293791593890703</v>
      </c>
    </row>
    <row r="72" spans="2:18" ht="15" customHeight="1" x14ac:dyDescent="0.45">
      <c r="Q72" s="47">
        <f>Deck_YL</f>
        <v>-6.7916666666666652</v>
      </c>
      <c r="R72" s="47">
        <f>$Q$65+IF(Deck_Mode="uniform",Deck_Uni*(Deck_YL),Deck_Crown*ABS(Deck_YL))</f>
        <v>47.793791593890703</v>
      </c>
    </row>
    <row r="73" spans="2:18" ht="29.45" customHeight="1" x14ac:dyDescent="0.45">
      <c r="B73" s="85" t="s">
        <v>807</v>
      </c>
      <c r="C73" s="83"/>
      <c r="D73" s="83"/>
      <c r="E73" s="83"/>
      <c r="F73" s="83"/>
      <c r="G73" s="83"/>
      <c r="H73" s="83"/>
      <c r="I73" s="83"/>
      <c r="J73" s="83"/>
      <c r="K73" s="83"/>
      <c r="L73" s="83"/>
      <c r="M73" s="83"/>
    </row>
    <row r="74" spans="2:18" ht="15" customHeight="1" x14ac:dyDescent="0.45">
      <c r="P74" s="44" t="s">
        <v>808</v>
      </c>
      <c r="Q74" s="48">
        <f>(Sp1_ZA+(Sp1_ZB-Sp1_ZA)*(0.5)-Sup_Drop+Sp1_C/3*(0.5)*(1-(0.5))+(Bm1_Raise)/12)</f>
        <v>44.225243367303342</v>
      </c>
    </row>
    <row r="75" spans="2:18" ht="15" customHeight="1" x14ac:dyDescent="0.45">
      <c r="P75" s="44" t="s">
        <v>809</v>
      </c>
      <c r="Q75" s="48">
        <f>(Sp1_ZA+(Sp1_ZB-Sp1_ZA)*(0.5)-Sup_Drop+Sp1_C/3*(0.5)*(1-(0.5))+(Bm2_Raise)/12)</f>
        <v>44.225243367303342</v>
      </c>
    </row>
    <row r="76" spans="2:18" ht="15" customHeight="1" x14ac:dyDescent="0.45">
      <c r="P76" s="44" t="s">
        <v>810</v>
      </c>
      <c r="Q76" s="47">
        <f>Bm1_Off+(-24)/12*Bm_Bf/48</f>
        <v>-6.291666666666667</v>
      </c>
      <c r="R76" s="47">
        <f>$Q$74+(36)/36*Bm_D</f>
        <v>47.225243367303342</v>
      </c>
    </row>
    <row r="77" spans="2:18" x14ac:dyDescent="0.45">
      <c r="B77" s="86" t="s">
        <v>102</v>
      </c>
      <c r="C77" s="86" t="s">
        <v>699</v>
      </c>
      <c r="D77" s="87"/>
      <c r="E77" s="87"/>
      <c r="F77" s="87"/>
      <c r="G77" s="87"/>
      <c r="H77" s="86" t="s">
        <v>700</v>
      </c>
      <c r="I77" s="87"/>
      <c r="J77" s="87"/>
      <c r="K77" s="86" t="s">
        <v>701</v>
      </c>
      <c r="L77" s="87"/>
      <c r="M77" s="87"/>
      <c r="Q77" s="47">
        <f>Bm1_Off+(24)/12*Bm_Bf/48</f>
        <v>-2.291666666666667</v>
      </c>
      <c r="R77" s="47">
        <f>$Q$74+(36)/36*Bm_D</f>
        <v>47.225243367303342</v>
      </c>
    </row>
    <row r="78" spans="2:18" ht="15.2" customHeight="1" x14ac:dyDescent="0.45">
      <c r="B78" s="85" t="s">
        <v>811</v>
      </c>
      <c r="C78" s="85" t="s">
        <v>812</v>
      </c>
      <c r="D78" s="83"/>
      <c r="E78" s="83"/>
      <c r="F78" s="83"/>
      <c r="G78" s="83"/>
      <c r="H78" s="85" t="s">
        <v>813</v>
      </c>
      <c r="I78" s="83"/>
      <c r="J78" s="83"/>
      <c r="K78" s="85" t="s">
        <v>135</v>
      </c>
      <c r="L78" s="83"/>
      <c r="M78" s="83"/>
      <c r="Q78" s="47">
        <f>Bm1_Off+(24)/12*Bm_Bf/48</f>
        <v>-2.291666666666667</v>
      </c>
      <c r="R78" s="47">
        <f>$Q$74+(32.5)/36*Bm_D</f>
        <v>46.933576700636678</v>
      </c>
    </row>
    <row r="79" spans="2:18" ht="15.2" customHeight="1" x14ac:dyDescent="0.45">
      <c r="B79" s="85" t="s">
        <v>814</v>
      </c>
      <c r="C79" s="85" t="s">
        <v>815</v>
      </c>
      <c r="D79" s="83"/>
      <c r="E79" s="83"/>
      <c r="F79" s="83"/>
      <c r="G79" s="83"/>
      <c r="H79" s="85" t="s">
        <v>816</v>
      </c>
      <c r="I79" s="83"/>
      <c r="J79" s="83"/>
      <c r="K79" s="85" t="s">
        <v>135</v>
      </c>
      <c r="L79" s="83"/>
      <c r="M79" s="83"/>
      <c r="Q79" s="47">
        <f>Bm1_Off+(7)/12*Bm_Bf/48</f>
        <v>-3.7083333333333335</v>
      </c>
      <c r="R79" s="47">
        <f>$Q$74+(31)/36*Bm_D</f>
        <v>46.808576700636678</v>
      </c>
    </row>
    <row r="80" spans="2:18" ht="15.2" customHeight="1" x14ac:dyDescent="0.45">
      <c r="B80" s="85" t="s">
        <v>817</v>
      </c>
      <c r="C80" s="85" t="s">
        <v>818</v>
      </c>
      <c r="D80" s="83"/>
      <c r="E80" s="83"/>
      <c r="F80" s="83"/>
      <c r="G80" s="83"/>
      <c r="H80" s="85" t="s">
        <v>819</v>
      </c>
      <c r="I80" s="83"/>
      <c r="J80" s="83"/>
      <c r="K80" s="85" t="s">
        <v>156</v>
      </c>
      <c r="L80" s="83"/>
      <c r="M80" s="83"/>
      <c r="Q80" s="47">
        <f>Bm1_Off+(3.5)/12*Bm_Bf/48</f>
        <v>-4</v>
      </c>
      <c r="R80" s="47">
        <f>$Q$74+(27.5)/36*Bm_D</f>
        <v>46.516910033970007</v>
      </c>
    </row>
    <row r="81" spans="2:18" ht="15.2" customHeight="1" x14ac:dyDescent="0.45">
      <c r="B81" s="85" t="s">
        <v>741</v>
      </c>
      <c r="C81" s="85" t="s">
        <v>820</v>
      </c>
      <c r="D81" s="83"/>
      <c r="E81" s="83"/>
      <c r="F81" s="83"/>
      <c r="G81" s="83"/>
      <c r="H81" s="85" t="s">
        <v>743</v>
      </c>
      <c r="I81" s="83"/>
      <c r="J81" s="83"/>
      <c r="K81" s="85" t="s">
        <v>742</v>
      </c>
      <c r="L81" s="83"/>
      <c r="M81" s="83"/>
      <c r="Q81" s="47">
        <f>Bm1_Off+(3.5)/12*Bm_Bf/48</f>
        <v>-4</v>
      </c>
      <c r="R81" s="47">
        <f>$Q$74+(10)/36*Bm_D</f>
        <v>45.058576700636678</v>
      </c>
    </row>
    <row r="82" spans="2:18" ht="15.2" customHeight="1" x14ac:dyDescent="0.45">
      <c r="B82" s="85" t="s">
        <v>821</v>
      </c>
      <c r="C82" s="85" t="s">
        <v>822</v>
      </c>
      <c r="D82" s="83"/>
      <c r="E82" s="83"/>
      <c r="F82" s="83"/>
      <c r="G82" s="83"/>
      <c r="H82" s="85" t="s">
        <v>823</v>
      </c>
      <c r="I82" s="83"/>
      <c r="J82" s="83"/>
      <c r="K82" s="85" t="s">
        <v>156</v>
      </c>
      <c r="L82" s="83"/>
      <c r="M82" s="83"/>
      <c r="Q82" s="47">
        <f>Bm1_Off+(19)/12*Bm_Bf/48</f>
        <v>-2.7083333333333339</v>
      </c>
      <c r="R82" s="47">
        <f>$Q$74+(7)/36*Bm_D</f>
        <v>44.808576700636678</v>
      </c>
    </row>
    <row r="83" spans="2:18" ht="15.2" customHeight="1" x14ac:dyDescent="0.45">
      <c r="B83" s="85" t="s">
        <v>824</v>
      </c>
      <c r="C83" s="85" t="s">
        <v>825</v>
      </c>
      <c r="D83" s="83"/>
      <c r="E83" s="83"/>
      <c r="F83" s="83"/>
      <c r="G83" s="83"/>
      <c r="H83" s="85" t="s">
        <v>826</v>
      </c>
      <c r="I83" s="83"/>
      <c r="J83" s="83"/>
      <c r="K83" s="85" t="s">
        <v>135</v>
      </c>
      <c r="L83" s="83"/>
      <c r="M83" s="83"/>
      <c r="Q83" s="47">
        <f>Bm1_Off+(19)/12*Bm_Bf/48</f>
        <v>-2.7083333333333339</v>
      </c>
      <c r="R83" s="47">
        <f>$Q$74+(0)/36*Bm_D</f>
        <v>44.225243367303342</v>
      </c>
    </row>
    <row r="84" spans="2:18" ht="15.2" customHeight="1" x14ac:dyDescent="0.45">
      <c r="B84" s="85" t="s">
        <v>827</v>
      </c>
      <c r="C84" s="85" t="s">
        <v>828</v>
      </c>
      <c r="D84" s="83"/>
      <c r="E84" s="83"/>
      <c r="F84" s="83"/>
      <c r="G84" s="83"/>
      <c r="H84" s="85" t="s">
        <v>829</v>
      </c>
      <c r="I84" s="83"/>
      <c r="J84" s="83"/>
      <c r="K84" s="85" t="s">
        <v>135</v>
      </c>
      <c r="L84" s="83"/>
      <c r="M84" s="83"/>
      <c r="Q84" s="47">
        <f>Bm1_Off+(-19)/12*Bm_Bf/48</f>
        <v>-5.875</v>
      </c>
      <c r="R84" s="47">
        <f>$Q$74+(0)/36*Bm_D</f>
        <v>44.225243367303342</v>
      </c>
    </row>
    <row r="85" spans="2:18" x14ac:dyDescent="0.45">
      <c r="Q85" s="47">
        <f>Bm1_Off+(-19)/12*Bm_Bf/48</f>
        <v>-5.875</v>
      </c>
      <c r="R85" s="47">
        <f>$Q$74+(7)/36*Bm_D</f>
        <v>44.808576700636678</v>
      </c>
    </row>
    <row r="86" spans="2:18" x14ac:dyDescent="0.45">
      <c r="Q86" s="47">
        <f>Bm1_Off+(-3.5)/12*Bm_Bf/48</f>
        <v>-4.5833333333333339</v>
      </c>
      <c r="R86" s="47">
        <f>$Q$74+(10)/36*Bm_D</f>
        <v>45.058576700636678</v>
      </c>
    </row>
    <row r="87" spans="2:18" x14ac:dyDescent="0.45">
      <c r="Q87" s="47">
        <f>Bm1_Off+(-3.5)/12*Bm_Bf/48</f>
        <v>-4.5833333333333339</v>
      </c>
      <c r="R87" s="47">
        <f>$Q$74+(27.5)/36*Bm_D</f>
        <v>46.516910033970007</v>
      </c>
    </row>
    <row r="88" spans="2:18" x14ac:dyDescent="0.45">
      <c r="Q88" s="47">
        <f>Bm1_Off+(-7)/12*Bm_Bf/48</f>
        <v>-4.875</v>
      </c>
      <c r="R88" s="47">
        <f>$Q$74+(31)/36*Bm_D</f>
        <v>46.808576700636678</v>
      </c>
    </row>
    <row r="89" spans="2:18" x14ac:dyDescent="0.45">
      <c r="Q89" s="47">
        <f>Bm1_Off+(-24)/12*Bm_Bf/48</f>
        <v>-6.291666666666667</v>
      </c>
      <c r="R89" s="47">
        <f>$Q$74+(32.5)/36*Bm_D</f>
        <v>46.933576700636678</v>
      </c>
    </row>
    <row r="90" spans="2:18" x14ac:dyDescent="0.45">
      <c r="Q90" s="47">
        <f>Bm1_Off+(-24)/12*Bm_Bf/48</f>
        <v>-6.291666666666667</v>
      </c>
      <c r="R90" s="47">
        <f>$Q$74+(36)/36*Bm_D</f>
        <v>47.225243367303342</v>
      </c>
    </row>
    <row r="92" spans="2:18" x14ac:dyDescent="0.45">
      <c r="Q92" s="47">
        <f>Bm2_Off+(-24)/12*Bm_Bf/48</f>
        <v>2.291666666666667</v>
      </c>
      <c r="R92" s="47">
        <f>$Q$75+(36)/36*Bm_D</f>
        <v>47.225243367303342</v>
      </c>
    </row>
    <row r="93" spans="2:18" x14ac:dyDescent="0.45">
      <c r="Q93" s="47">
        <f>Bm2_Off+(24)/12*Bm_Bf/48</f>
        <v>6.291666666666667</v>
      </c>
      <c r="R93" s="47">
        <f>$Q$75+(36)/36*Bm_D</f>
        <v>47.225243367303342</v>
      </c>
    </row>
    <row r="94" spans="2:18" x14ac:dyDescent="0.45">
      <c r="Q94" s="47">
        <f>Bm2_Off+(24)/12*Bm_Bf/48</f>
        <v>6.291666666666667</v>
      </c>
      <c r="R94" s="47">
        <f>$Q$75+(32.5)/36*Bm_D</f>
        <v>46.933576700636678</v>
      </c>
    </row>
    <row r="95" spans="2:18" x14ac:dyDescent="0.45">
      <c r="Q95" s="47">
        <f>Bm2_Off+(7)/12*Bm_Bf/48</f>
        <v>4.875</v>
      </c>
      <c r="R95" s="47">
        <f>$Q$75+(31)/36*Bm_D</f>
        <v>46.808576700636678</v>
      </c>
    </row>
    <row r="96" spans="2:18" x14ac:dyDescent="0.45">
      <c r="Q96" s="47">
        <f>Bm2_Off+(3.5)/12*Bm_Bf/48</f>
        <v>4.5833333333333339</v>
      </c>
      <c r="R96" s="47">
        <f>$Q$75+(27.5)/36*Bm_D</f>
        <v>46.516910033970007</v>
      </c>
    </row>
    <row r="97" spans="16:19" x14ac:dyDescent="0.45">
      <c r="Q97" s="47">
        <f>Bm2_Off+(3.5)/12*Bm_Bf/48</f>
        <v>4.5833333333333339</v>
      </c>
      <c r="R97" s="47">
        <f>$Q$75+(10)/36*Bm_D</f>
        <v>45.058576700636678</v>
      </c>
    </row>
    <row r="98" spans="16:19" x14ac:dyDescent="0.45">
      <c r="Q98" s="47">
        <f>Bm2_Off+(19)/12*Bm_Bf/48</f>
        <v>5.875</v>
      </c>
      <c r="R98" s="47">
        <f>$Q$75+(7)/36*Bm_D</f>
        <v>44.808576700636678</v>
      </c>
    </row>
    <row r="99" spans="16:19" x14ac:dyDescent="0.45">
      <c r="Q99" s="47">
        <f>Bm2_Off+(19)/12*Bm_Bf/48</f>
        <v>5.875</v>
      </c>
      <c r="R99" s="47">
        <f>$Q$75+(0)/36*Bm_D</f>
        <v>44.225243367303342</v>
      </c>
    </row>
    <row r="100" spans="16:19" x14ac:dyDescent="0.45">
      <c r="Q100" s="47">
        <f>Bm2_Off+(-19)/12*Bm_Bf/48</f>
        <v>2.7083333333333339</v>
      </c>
      <c r="R100" s="47">
        <f>$Q$75+(0)/36*Bm_D</f>
        <v>44.225243367303342</v>
      </c>
    </row>
    <row r="101" spans="16:19" x14ac:dyDescent="0.45">
      <c r="Q101" s="47">
        <f>Bm2_Off+(-19)/12*Bm_Bf/48</f>
        <v>2.7083333333333339</v>
      </c>
      <c r="R101" s="47">
        <f>$Q$75+(7)/36*Bm_D</f>
        <v>44.808576700636678</v>
      </c>
    </row>
    <row r="102" spans="16:19" x14ac:dyDescent="0.45">
      <c r="Q102" s="47">
        <f>Bm2_Off+(-3.5)/12*Bm_Bf/48</f>
        <v>4</v>
      </c>
      <c r="R102" s="47">
        <f>$Q$75+(10)/36*Bm_D</f>
        <v>45.058576700636678</v>
      </c>
    </row>
    <row r="103" spans="16:19" x14ac:dyDescent="0.45">
      <c r="Q103" s="47">
        <f>Bm2_Off+(-3.5)/12*Bm_Bf/48</f>
        <v>4</v>
      </c>
      <c r="R103" s="47">
        <f>$Q$75+(27.5)/36*Bm_D</f>
        <v>46.516910033970007</v>
      </c>
    </row>
    <row r="104" spans="16:19" x14ac:dyDescent="0.45">
      <c r="Q104" s="47">
        <f>Bm2_Off+(-7)/12*Bm_Bf/48</f>
        <v>3.7083333333333335</v>
      </c>
      <c r="R104" s="47">
        <f>$Q$75+(31)/36*Bm_D</f>
        <v>46.808576700636678</v>
      </c>
    </row>
    <row r="105" spans="16:19" x14ac:dyDescent="0.45">
      <c r="Q105" s="47">
        <f>Bm2_Off+(-24)/12*Bm_Bf/48</f>
        <v>2.291666666666667</v>
      </c>
      <c r="R105" s="47">
        <f>$Q$75+(32.5)/36*Bm_D</f>
        <v>46.933576700636678</v>
      </c>
    </row>
    <row r="106" spans="16:19" x14ac:dyDescent="0.45">
      <c r="Q106" s="47">
        <f>Bm2_Off+(-24)/12*Bm_Bf/48</f>
        <v>2.291666666666667</v>
      </c>
      <c r="R106" s="47">
        <f>$Q$75+(36)/36*Bm_D</f>
        <v>47.225243367303342</v>
      </c>
    </row>
    <row r="108" spans="16:19" x14ac:dyDescent="0.45">
      <c r="P108" s="44" t="s">
        <v>830</v>
      </c>
      <c r="Q108" s="47">
        <f>Bm1_FL+0/24*(Bm1_FR-Bm1_FL)</f>
        <v>-6.291666666666667</v>
      </c>
      <c r="R108" s="47">
        <f t="shared" ref="R108:R132" si="0">$Q$74+Bm_D</f>
        <v>47.225243367303342</v>
      </c>
      <c r="S108" s="47">
        <f>$Q$65+IF(Deck_Mode="uniform",Deck_Uni*($Q$108),Deck_Crown*ABS($Q$108))-Deck_T-($Q$74+Bm_D)</f>
        <v>7.8548226587358272E-2</v>
      </c>
    </row>
    <row r="109" spans="16:19" x14ac:dyDescent="0.45">
      <c r="Q109" s="47">
        <f>Bm1_FL+1/24*(Bm1_FR-Bm1_FL)</f>
        <v>-6.125</v>
      </c>
      <c r="R109" s="47">
        <f t="shared" si="0"/>
        <v>47.225243367303342</v>
      </c>
      <c r="S109" s="47">
        <f>$Q$65+IF(Deck_Mode="uniform",Deck_Uni*($Q$109),Deck_Crown*ABS($Q$109))-Deck_T-($Q$74+Bm_D)</f>
        <v>8.1881559920688574E-2</v>
      </c>
    </row>
    <row r="110" spans="16:19" x14ac:dyDescent="0.45">
      <c r="Q110" s="47">
        <f>Bm1_FL+2/24*(Bm1_FR-Bm1_FL)</f>
        <v>-5.9583333333333339</v>
      </c>
      <c r="R110" s="47">
        <f t="shared" si="0"/>
        <v>47.225243367303342</v>
      </c>
      <c r="S110" s="47">
        <f>$Q$65+IF(Deck_Mode="uniform",Deck_Uni*($Q$110),Deck_Crown*ABS($Q$110))-Deck_T-($Q$74+Bm_D)</f>
        <v>8.5214893254025981E-2</v>
      </c>
    </row>
    <row r="111" spans="16:19" x14ac:dyDescent="0.45">
      <c r="Q111" s="47">
        <f>Bm1_FL+3/24*(Bm1_FR-Bm1_FL)</f>
        <v>-5.791666666666667</v>
      </c>
      <c r="R111" s="47">
        <f t="shared" si="0"/>
        <v>47.225243367303342</v>
      </c>
      <c r="S111" s="47">
        <f>$Q$65+IF(Deck_Mode="uniform",Deck_Uni*($Q$111),Deck_Crown*ABS($Q$111))-Deck_T-($Q$74+Bm_D)</f>
        <v>8.8548226587356282E-2</v>
      </c>
    </row>
    <row r="112" spans="16:19" x14ac:dyDescent="0.45">
      <c r="Q112" s="47">
        <f>Bm1_FL+4/24*(Bm1_FR-Bm1_FL)</f>
        <v>-5.625</v>
      </c>
      <c r="R112" s="47">
        <f t="shared" si="0"/>
        <v>47.225243367303342</v>
      </c>
      <c r="S112" s="47">
        <f>$Q$65+IF(Deck_Mode="uniform",Deck_Uni*($Q$112),Deck_Crown*ABS($Q$112))-Deck_T-($Q$74+Bm_D)</f>
        <v>9.1881559920693689E-2</v>
      </c>
    </row>
    <row r="113" spans="17:19" x14ac:dyDescent="0.45">
      <c r="Q113" s="47">
        <f>Bm1_FL+5/24*(Bm1_FR-Bm1_FL)</f>
        <v>-5.4583333333333339</v>
      </c>
      <c r="R113" s="47">
        <f t="shared" si="0"/>
        <v>47.225243367303342</v>
      </c>
      <c r="S113" s="47">
        <f>$Q$65+IF(Deck_Mode="uniform",Deck_Uni*($Q$113),Deck_Crown*ABS($Q$113))-Deck_T-($Q$74+Bm_D)</f>
        <v>9.5214893254023991E-2</v>
      </c>
    </row>
    <row r="114" spans="17:19" x14ac:dyDescent="0.45">
      <c r="Q114" s="47">
        <f>Bm1_FL+6/24*(Bm1_FR-Bm1_FL)</f>
        <v>-5.291666666666667</v>
      </c>
      <c r="R114" s="47">
        <f t="shared" si="0"/>
        <v>47.225243367303342</v>
      </c>
      <c r="S114" s="47">
        <f>$Q$65+IF(Deck_Mode="uniform",Deck_Uni*($Q$114),Deck_Crown*ABS($Q$114))-Deck_T-($Q$74+Bm_D)</f>
        <v>9.8548226587354293E-2</v>
      </c>
    </row>
    <row r="115" spans="17:19" x14ac:dyDescent="0.45">
      <c r="Q115" s="47">
        <f>Bm1_FL+7/24*(Bm1_FR-Bm1_FL)</f>
        <v>-5.125</v>
      </c>
      <c r="R115" s="47">
        <f t="shared" si="0"/>
        <v>47.225243367303342</v>
      </c>
      <c r="S115" s="47">
        <f>$Q$65+IF(Deck_Mode="uniform",Deck_Uni*($Q$115),Deck_Crown*ABS($Q$115))-Deck_T-($Q$74+Bm_D)</f>
        <v>0.1018815599206917</v>
      </c>
    </row>
    <row r="116" spans="17:19" x14ac:dyDescent="0.45">
      <c r="Q116" s="47">
        <f>Bm1_FL+8/24*(Bm1_FR-Bm1_FL)</f>
        <v>-4.9583333333333339</v>
      </c>
      <c r="R116" s="47">
        <f t="shared" si="0"/>
        <v>47.225243367303342</v>
      </c>
      <c r="S116" s="47">
        <f>$Q$65+IF(Deck_Mode="uniform",Deck_Uni*($Q$116),Deck_Crown*ABS($Q$116))-Deck_T-($Q$74+Bm_D)</f>
        <v>0.105214893254022</v>
      </c>
    </row>
    <row r="117" spans="17:19" x14ac:dyDescent="0.45">
      <c r="Q117" s="47">
        <f>Bm1_FL+9/24*(Bm1_FR-Bm1_FL)</f>
        <v>-4.791666666666667</v>
      </c>
      <c r="R117" s="47">
        <f t="shared" si="0"/>
        <v>47.225243367303342</v>
      </c>
      <c r="S117" s="47">
        <f>$Q$65+IF(Deck_Mode="uniform",Deck_Uni*($Q$117),Deck_Crown*ABS($Q$117))-Deck_T-($Q$74+Bm_D)</f>
        <v>0.10854822658735941</v>
      </c>
    </row>
    <row r="118" spans="17:19" x14ac:dyDescent="0.45">
      <c r="Q118" s="47">
        <f>Bm1_FL+10/24*(Bm1_FR-Bm1_FL)</f>
        <v>-4.625</v>
      </c>
      <c r="R118" s="47">
        <f t="shared" si="0"/>
        <v>47.225243367303342</v>
      </c>
      <c r="S118" s="47">
        <f>$Q$65+IF(Deck_Mode="uniform",Deck_Uni*($Q$118),Deck_Crown*ABS($Q$118))-Deck_T-($Q$74+Bm_D)</f>
        <v>0.11188155992068971</v>
      </c>
    </row>
    <row r="119" spans="17:19" x14ac:dyDescent="0.45">
      <c r="Q119" s="47">
        <f>Bm1_FL+11/24*(Bm1_FR-Bm1_FL)</f>
        <v>-4.4583333333333339</v>
      </c>
      <c r="R119" s="47">
        <f t="shared" si="0"/>
        <v>47.225243367303342</v>
      </c>
      <c r="S119" s="47">
        <f>$Q$65+IF(Deck_Mode="uniform",Deck_Uni*($Q$119),Deck_Crown*ABS($Q$119))-Deck_T-($Q$74+Bm_D)</f>
        <v>0.11521489325402712</v>
      </c>
    </row>
    <row r="120" spans="17:19" x14ac:dyDescent="0.45">
      <c r="Q120" s="47">
        <f>Bm1_FL+12/24*(Bm1_FR-Bm1_FL)</f>
        <v>-4.291666666666667</v>
      </c>
      <c r="R120" s="47">
        <f t="shared" si="0"/>
        <v>47.225243367303342</v>
      </c>
      <c r="S120" s="47">
        <f>$Q$65+IF(Deck_Mode="uniform",Deck_Uni*($Q$120),Deck_Crown*ABS($Q$120))-Deck_T-($Q$74+Bm_D)</f>
        <v>0.11854822658735742</v>
      </c>
    </row>
    <row r="121" spans="17:19" x14ac:dyDescent="0.45">
      <c r="Q121" s="47">
        <f>Bm1_FL+13/24*(Bm1_FR-Bm1_FL)</f>
        <v>-4.125</v>
      </c>
      <c r="R121" s="47">
        <f t="shared" si="0"/>
        <v>47.225243367303342</v>
      </c>
      <c r="S121" s="47">
        <f>$Q$65+IF(Deck_Mode="uniform",Deck_Uni*($Q$121),Deck_Crown*ABS($Q$121))-Deck_T-($Q$74+Bm_D)</f>
        <v>0.12188155992068772</v>
      </c>
    </row>
    <row r="122" spans="17:19" x14ac:dyDescent="0.45">
      <c r="Q122" s="47">
        <f>Bm1_FL+14/24*(Bm1_FR-Bm1_FL)</f>
        <v>-3.9583333333333335</v>
      </c>
      <c r="R122" s="47">
        <f t="shared" si="0"/>
        <v>47.225243367303342</v>
      </c>
      <c r="S122" s="47">
        <f>$Q$65+IF(Deck_Mode="uniform",Deck_Uni*($Q$122),Deck_Crown*ABS($Q$122))-Deck_T-($Q$74+Bm_D)</f>
        <v>0.12521489325402513</v>
      </c>
    </row>
    <row r="123" spans="17:19" x14ac:dyDescent="0.45">
      <c r="Q123" s="47">
        <f>Bm1_FL+15/24*(Bm1_FR-Bm1_FL)</f>
        <v>-3.791666666666667</v>
      </c>
      <c r="R123" s="47">
        <f t="shared" si="0"/>
        <v>47.225243367303342</v>
      </c>
      <c r="S123" s="47">
        <f>$Q$65+IF(Deck_Mode="uniform",Deck_Uni*($Q$123),Deck_Crown*ABS($Q$123))-Deck_T-($Q$74+Bm_D)</f>
        <v>0.12854822658735543</v>
      </c>
    </row>
    <row r="124" spans="17:19" x14ac:dyDescent="0.45">
      <c r="Q124" s="47">
        <f>Bm1_FL+16/24*(Bm1_FR-Bm1_FL)</f>
        <v>-3.6250000000000004</v>
      </c>
      <c r="R124" s="47">
        <f t="shared" si="0"/>
        <v>47.225243367303342</v>
      </c>
      <c r="S124" s="47">
        <f>$Q$65+IF(Deck_Mode="uniform",Deck_Uni*($Q$124),Deck_Crown*ABS($Q$124))-Deck_T-($Q$74+Bm_D)</f>
        <v>0.13188155992069284</v>
      </c>
    </row>
    <row r="125" spans="17:19" x14ac:dyDescent="0.45">
      <c r="Q125" s="47">
        <f>Bm1_FL+17/24*(Bm1_FR-Bm1_FL)</f>
        <v>-3.4583333333333335</v>
      </c>
      <c r="R125" s="47">
        <f t="shared" si="0"/>
        <v>47.225243367303342</v>
      </c>
      <c r="S125" s="47">
        <f>$Q$65+IF(Deck_Mode="uniform",Deck_Uni*($Q$125),Deck_Crown*ABS($Q$125))-Deck_T-($Q$74+Bm_D)</f>
        <v>0.13521489325402314</v>
      </c>
    </row>
    <row r="126" spans="17:19" x14ac:dyDescent="0.45">
      <c r="Q126" s="47">
        <f>Bm1_FL+18/24*(Bm1_FR-Bm1_FL)</f>
        <v>-3.291666666666667</v>
      </c>
      <c r="R126" s="47">
        <f t="shared" si="0"/>
        <v>47.225243367303342</v>
      </c>
      <c r="S126" s="47">
        <f>$Q$65+IF(Deck_Mode="uniform",Deck_Uni*($Q$126),Deck_Crown*ABS($Q$126))-Deck_T-($Q$74+Bm_D)</f>
        <v>0.13854822658736055</v>
      </c>
    </row>
    <row r="127" spans="17:19" x14ac:dyDescent="0.45">
      <c r="Q127" s="47">
        <f>Bm1_FL+19/24*(Bm1_FR-Bm1_FL)</f>
        <v>-3.1250000000000004</v>
      </c>
      <c r="R127" s="47">
        <f t="shared" si="0"/>
        <v>47.225243367303342</v>
      </c>
      <c r="S127" s="47">
        <f>$Q$65+IF(Deck_Mode="uniform",Deck_Uni*($Q$127),Deck_Crown*ABS($Q$127))-Deck_T-($Q$74+Bm_D)</f>
        <v>0.14188155992069085</v>
      </c>
    </row>
    <row r="128" spans="17:19" x14ac:dyDescent="0.45">
      <c r="Q128" s="47">
        <f>Bm1_FL+20/24*(Bm1_FR-Bm1_FL)</f>
        <v>-2.9583333333333335</v>
      </c>
      <c r="R128" s="47">
        <f t="shared" si="0"/>
        <v>47.225243367303342</v>
      </c>
      <c r="S128" s="47">
        <f>$Q$65+IF(Deck_Mode="uniform",Deck_Uni*($Q$128),Deck_Crown*ABS($Q$128))-Deck_T-($Q$74+Bm_D)</f>
        <v>0.14521489325402115</v>
      </c>
    </row>
    <row r="129" spans="16:19" x14ac:dyDescent="0.45">
      <c r="Q129" s="47">
        <f>Bm1_FL+21/24*(Bm1_FR-Bm1_FL)</f>
        <v>-2.791666666666667</v>
      </c>
      <c r="R129" s="47">
        <f t="shared" si="0"/>
        <v>47.225243367303342</v>
      </c>
      <c r="S129" s="47">
        <f>$Q$65+IF(Deck_Mode="uniform",Deck_Uni*($Q$129),Deck_Crown*ABS($Q$129))-Deck_T-($Q$74+Bm_D)</f>
        <v>0.14854822658735856</v>
      </c>
    </row>
    <row r="130" spans="16:19" x14ac:dyDescent="0.45">
      <c r="Q130" s="47">
        <f>Bm1_FL+22/24*(Bm1_FR-Bm1_FL)</f>
        <v>-2.6250000000000004</v>
      </c>
      <c r="R130" s="47">
        <f t="shared" si="0"/>
        <v>47.225243367303342</v>
      </c>
      <c r="S130" s="47">
        <f>$Q$65+IF(Deck_Mode="uniform",Deck_Uni*($Q$130),Deck_Crown*ABS($Q$130))-Deck_T-($Q$74+Bm_D)</f>
        <v>0.15188155992068886</v>
      </c>
    </row>
    <row r="131" spans="16:19" x14ac:dyDescent="0.45">
      <c r="Q131" s="47">
        <f>Bm1_FL+23/24*(Bm1_FR-Bm1_FL)</f>
        <v>-2.4583333333333335</v>
      </c>
      <c r="R131" s="47">
        <f t="shared" si="0"/>
        <v>47.225243367303342</v>
      </c>
      <c r="S131" s="47">
        <f>$Q$65+IF(Deck_Mode="uniform",Deck_Uni*($Q$131),Deck_Crown*ABS($Q$131))-Deck_T-($Q$74+Bm_D)</f>
        <v>0.15521489325402626</v>
      </c>
    </row>
    <row r="132" spans="16:19" x14ac:dyDescent="0.45">
      <c r="Q132" s="47">
        <f>Bm1_FL+24/24*(Bm1_FR-Bm1_FL)</f>
        <v>-2.291666666666667</v>
      </c>
      <c r="R132" s="47">
        <f t="shared" si="0"/>
        <v>47.225243367303342</v>
      </c>
      <c r="S132" s="47">
        <f>$Q$65+IF(Deck_Mode="uniform",Deck_Uni*($Q$132),Deck_Crown*ABS($Q$132))-Deck_T-($Q$74+Bm_D)</f>
        <v>0.15854822658735657</v>
      </c>
    </row>
    <row r="134" spans="16:19" x14ac:dyDescent="0.45">
      <c r="P134" s="44" t="s">
        <v>831</v>
      </c>
      <c r="Q134" s="47">
        <f>Bm2_FL+0/24*(Bm2_FR-Bm2_FL)</f>
        <v>2.291666666666667</v>
      </c>
      <c r="R134" s="47">
        <f t="shared" ref="R134:R158" si="1">$Q$75+Bm_D</f>
        <v>47.225243367303342</v>
      </c>
      <c r="S134" s="47">
        <f>$Q$65+IF(Deck_Mode="uniform",Deck_Uni*($Q$134),Deck_Crown*ABS($Q$134))-Deck_T-($Q$75+Bm_D)</f>
        <v>0.15854822658735657</v>
      </c>
    </row>
    <row r="135" spans="16:19" x14ac:dyDescent="0.45">
      <c r="Q135" s="47">
        <f>Bm2_FL+1/24*(Bm2_FR-Bm2_FL)</f>
        <v>2.4583333333333335</v>
      </c>
      <c r="R135" s="47">
        <f t="shared" si="1"/>
        <v>47.225243367303342</v>
      </c>
      <c r="S135" s="47">
        <f>$Q$65+IF(Deck_Mode="uniform",Deck_Uni*($Q$135),Deck_Crown*ABS($Q$135))-Deck_T-($Q$75+Bm_D)</f>
        <v>0.15521489325402626</v>
      </c>
    </row>
    <row r="136" spans="16:19" x14ac:dyDescent="0.45">
      <c r="Q136" s="47">
        <f>Bm2_FL+2/24*(Bm2_FR-Bm2_FL)</f>
        <v>2.6250000000000004</v>
      </c>
      <c r="R136" s="47">
        <f t="shared" si="1"/>
        <v>47.225243367303342</v>
      </c>
      <c r="S136" s="47">
        <f>$Q$65+IF(Deck_Mode="uniform",Deck_Uni*($Q$136),Deck_Crown*ABS($Q$136))-Deck_T-($Q$75+Bm_D)</f>
        <v>0.15188155992068886</v>
      </c>
    </row>
    <row r="137" spans="16:19" x14ac:dyDescent="0.45">
      <c r="Q137" s="47">
        <f>Bm2_FL+3/24*(Bm2_FR-Bm2_FL)</f>
        <v>2.791666666666667</v>
      </c>
      <c r="R137" s="47">
        <f t="shared" si="1"/>
        <v>47.225243367303342</v>
      </c>
      <c r="S137" s="47">
        <f>$Q$65+IF(Deck_Mode="uniform",Deck_Uni*($Q$137),Deck_Crown*ABS($Q$137))-Deck_T-($Q$75+Bm_D)</f>
        <v>0.14854822658735856</v>
      </c>
    </row>
    <row r="138" spans="16:19" x14ac:dyDescent="0.45">
      <c r="Q138" s="47">
        <f>Bm2_FL+4/24*(Bm2_FR-Bm2_FL)</f>
        <v>2.9583333333333335</v>
      </c>
      <c r="R138" s="47">
        <f t="shared" si="1"/>
        <v>47.225243367303342</v>
      </c>
      <c r="S138" s="47">
        <f>$Q$65+IF(Deck_Mode="uniform",Deck_Uni*($Q$138),Deck_Crown*ABS($Q$138))-Deck_T-($Q$75+Bm_D)</f>
        <v>0.14521489325402115</v>
      </c>
    </row>
    <row r="139" spans="16:19" x14ac:dyDescent="0.45">
      <c r="Q139" s="47">
        <f>Bm2_FL+5/24*(Bm2_FR-Bm2_FL)</f>
        <v>3.1250000000000004</v>
      </c>
      <c r="R139" s="47">
        <f t="shared" si="1"/>
        <v>47.225243367303342</v>
      </c>
      <c r="S139" s="47">
        <f>$Q$65+IF(Deck_Mode="uniform",Deck_Uni*($Q$139),Deck_Crown*ABS($Q$139))-Deck_T-($Q$75+Bm_D)</f>
        <v>0.14188155992069085</v>
      </c>
    </row>
    <row r="140" spans="16:19" x14ac:dyDescent="0.45">
      <c r="Q140" s="47">
        <f>Bm2_FL+6/24*(Bm2_FR-Bm2_FL)</f>
        <v>3.291666666666667</v>
      </c>
      <c r="R140" s="47">
        <f t="shared" si="1"/>
        <v>47.225243367303342</v>
      </c>
      <c r="S140" s="47">
        <f>$Q$65+IF(Deck_Mode="uniform",Deck_Uni*($Q$140),Deck_Crown*ABS($Q$140))-Deck_T-($Q$75+Bm_D)</f>
        <v>0.13854822658736055</v>
      </c>
    </row>
    <row r="141" spans="16:19" x14ac:dyDescent="0.45">
      <c r="Q141" s="47">
        <f>Bm2_FL+7/24*(Bm2_FR-Bm2_FL)</f>
        <v>3.4583333333333339</v>
      </c>
      <c r="R141" s="47">
        <f t="shared" si="1"/>
        <v>47.225243367303342</v>
      </c>
      <c r="S141" s="47">
        <f>$Q$65+IF(Deck_Mode="uniform",Deck_Uni*($Q$141),Deck_Crown*ABS($Q$141))-Deck_T-($Q$75+Bm_D)</f>
        <v>0.13521489325402314</v>
      </c>
    </row>
    <row r="142" spans="16:19" x14ac:dyDescent="0.45">
      <c r="Q142" s="47">
        <f>Bm2_FL+8/24*(Bm2_FR-Bm2_FL)</f>
        <v>3.625</v>
      </c>
      <c r="R142" s="47">
        <f t="shared" si="1"/>
        <v>47.225243367303342</v>
      </c>
      <c r="S142" s="47">
        <f>$Q$65+IF(Deck_Mode="uniform",Deck_Uni*($Q$142),Deck_Crown*ABS($Q$142))-Deck_T-($Q$75+Bm_D)</f>
        <v>0.13188155992069284</v>
      </c>
    </row>
    <row r="143" spans="16:19" x14ac:dyDescent="0.45">
      <c r="Q143" s="47">
        <f>Bm2_FL+9/24*(Bm2_FR-Bm2_FL)</f>
        <v>3.791666666666667</v>
      </c>
      <c r="R143" s="47">
        <f t="shared" si="1"/>
        <v>47.225243367303342</v>
      </c>
      <c r="S143" s="47">
        <f>$Q$65+IF(Deck_Mode="uniform",Deck_Uni*($Q$143),Deck_Crown*ABS($Q$143))-Deck_T-($Q$75+Bm_D)</f>
        <v>0.12854822658735543</v>
      </c>
    </row>
    <row r="144" spans="16:19" x14ac:dyDescent="0.45">
      <c r="Q144" s="47">
        <f>Bm2_FL+10/24*(Bm2_FR-Bm2_FL)</f>
        <v>3.9583333333333339</v>
      </c>
      <c r="R144" s="47">
        <f t="shared" si="1"/>
        <v>47.225243367303342</v>
      </c>
      <c r="S144" s="47">
        <f>$Q$65+IF(Deck_Mode="uniform",Deck_Uni*($Q$144),Deck_Crown*ABS($Q$144))-Deck_T-($Q$75+Bm_D)</f>
        <v>0.12521489325402513</v>
      </c>
    </row>
    <row r="145" spans="16:19" x14ac:dyDescent="0.45">
      <c r="Q145" s="47">
        <f>Bm2_FL+11/24*(Bm2_FR-Bm2_FL)</f>
        <v>4.125</v>
      </c>
      <c r="R145" s="47">
        <f t="shared" si="1"/>
        <v>47.225243367303342</v>
      </c>
      <c r="S145" s="47">
        <f>$Q$65+IF(Deck_Mode="uniform",Deck_Uni*($Q$145),Deck_Crown*ABS($Q$145))-Deck_T-($Q$75+Bm_D)</f>
        <v>0.12188155992068772</v>
      </c>
    </row>
    <row r="146" spans="16:19" x14ac:dyDescent="0.45">
      <c r="Q146" s="47">
        <f>Bm2_FL+12/24*(Bm2_FR-Bm2_FL)</f>
        <v>4.291666666666667</v>
      </c>
      <c r="R146" s="47">
        <f t="shared" si="1"/>
        <v>47.225243367303342</v>
      </c>
      <c r="S146" s="47">
        <f>$Q$65+IF(Deck_Mode="uniform",Deck_Uni*($Q$146),Deck_Crown*ABS($Q$146))-Deck_T-($Q$75+Bm_D)</f>
        <v>0.11854822658735742</v>
      </c>
    </row>
    <row r="147" spans="16:19" x14ac:dyDescent="0.45">
      <c r="Q147" s="47">
        <f>Bm2_FL+13/24*(Bm2_FR-Bm2_FL)</f>
        <v>4.4583333333333339</v>
      </c>
      <c r="R147" s="47">
        <f t="shared" si="1"/>
        <v>47.225243367303342</v>
      </c>
      <c r="S147" s="47">
        <f>$Q$65+IF(Deck_Mode="uniform",Deck_Uni*($Q$147),Deck_Crown*ABS($Q$147))-Deck_T-($Q$75+Bm_D)</f>
        <v>0.11521489325402712</v>
      </c>
    </row>
    <row r="148" spans="16:19" x14ac:dyDescent="0.45">
      <c r="Q148" s="47">
        <f>Bm2_FL+14/24*(Bm2_FR-Bm2_FL)</f>
        <v>4.625</v>
      </c>
      <c r="R148" s="47">
        <f t="shared" si="1"/>
        <v>47.225243367303342</v>
      </c>
      <c r="S148" s="47">
        <f>$Q$65+IF(Deck_Mode="uniform",Deck_Uni*($Q$148),Deck_Crown*ABS($Q$148))-Deck_T-($Q$75+Bm_D)</f>
        <v>0.11188155992068971</v>
      </c>
    </row>
    <row r="149" spans="16:19" x14ac:dyDescent="0.45">
      <c r="Q149" s="47">
        <f>Bm2_FL+15/24*(Bm2_FR-Bm2_FL)</f>
        <v>4.791666666666667</v>
      </c>
      <c r="R149" s="47">
        <f t="shared" si="1"/>
        <v>47.225243367303342</v>
      </c>
      <c r="S149" s="47">
        <f>$Q$65+IF(Deck_Mode="uniform",Deck_Uni*($Q$149),Deck_Crown*ABS($Q$149))-Deck_T-($Q$75+Bm_D)</f>
        <v>0.10854822658735941</v>
      </c>
    </row>
    <row r="150" spans="16:19" x14ac:dyDescent="0.45">
      <c r="Q150" s="47">
        <f>Bm2_FL+16/24*(Bm2_FR-Bm2_FL)</f>
        <v>4.9583333333333339</v>
      </c>
      <c r="R150" s="47">
        <f t="shared" si="1"/>
        <v>47.225243367303342</v>
      </c>
      <c r="S150" s="47">
        <f>$Q$65+IF(Deck_Mode="uniform",Deck_Uni*($Q$150),Deck_Crown*ABS($Q$150))-Deck_T-($Q$75+Bm_D)</f>
        <v>0.105214893254022</v>
      </c>
    </row>
    <row r="151" spans="16:19" x14ac:dyDescent="0.45">
      <c r="Q151" s="47">
        <f>Bm2_FL+17/24*(Bm2_FR-Bm2_FL)</f>
        <v>5.125</v>
      </c>
      <c r="R151" s="47">
        <f t="shared" si="1"/>
        <v>47.225243367303342</v>
      </c>
      <c r="S151" s="47">
        <f>$Q$65+IF(Deck_Mode="uniform",Deck_Uni*($Q$151),Deck_Crown*ABS($Q$151))-Deck_T-($Q$75+Bm_D)</f>
        <v>0.1018815599206917</v>
      </c>
    </row>
    <row r="152" spans="16:19" x14ac:dyDescent="0.45">
      <c r="Q152" s="47">
        <f>Bm2_FL+18/24*(Bm2_FR-Bm2_FL)</f>
        <v>5.291666666666667</v>
      </c>
      <c r="R152" s="47">
        <f t="shared" si="1"/>
        <v>47.225243367303342</v>
      </c>
      <c r="S152" s="47">
        <f>$Q$65+IF(Deck_Mode="uniform",Deck_Uni*($Q$152),Deck_Crown*ABS($Q$152))-Deck_T-($Q$75+Bm_D)</f>
        <v>9.8548226587354293E-2</v>
      </c>
    </row>
    <row r="153" spans="16:19" x14ac:dyDescent="0.45">
      <c r="Q153" s="47">
        <f>Bm2_FL+19/24*(Bm2_FR-Bm2_FL)</f>
        <v>5.4583333333333339</v>
      </c>
      <c r="R153" s="47">
        <f t="shared" si="1"/>
        <v>47.225243367303342</v>
      </c>
      <c r="S153" s="47">
        <f>$Q$65+IF(Deck_Mode="uniform",Deck_Uni*($Q$153),Deck_Crown*ABS($Q$153))-Deck_T-($Q$75+Bm_D)</f>
        <v>9.5214893254023991E-2</v>
      </c>
    </row>
    <row r="154" spans="16:19" x14ac:dyDescent="0.45">
      <c r="Q154" s="47">
        <f>Bm2_FL+20/24*(Bm2_FR-Bm2_FL)</f>
        <v>5.625</v>
      </c>
      <c r="R154" s="47">
        <f t="shared" si="1"/>
        <v>47.225243367303342</v>
      </c>
      <c r="S154" s="47">
        <f>$Q$65+IF(Deck_Mode="uniform",Deck_Uni*($Q$154),Deck_Crown*ABS($Q$154))-Deck_T-($Q$75+Bm_D)</f>
        <v>9.1881559920693689E-2</v>
      </c>
    </row>
    <row r="155" spans="16:19" x14ac:dyDescent="0.45">
      <c r="Q155" s="47">
        <f>Bm2_FL+21/24*(Bm2_FR-Bm2_FL)</f>
        <v>5.791666666666667</v>
      </c>
      <c r="R155" s="47">
        <f t="shared" si="1"/>
        <v>47.225243367303342</v>
      </c>
      <c r="S155" s="47">
        <f>$Q$65+IF(Deck_Mode="uniform",Deck_Uni*($Q$155),Deck_Crown*ABS($Q$155))-Deck_T-($Q$75+Bm_D)</f>
        <v>8.8548226587356282E-2</v>
      </c>
    </row>
    <row r="156" spans="16:19" x14ac:dyDescent="0.45">
      <c r="Q156" s="47">
        <f>Bm2_FL+22/24*(Bm2_FR-Bm2_FL)</f>
        <v>5.9583333333333339</v>
      </c>
      <c r="R156" s="47">
        <f t="shared" si="1"/>
        <v>47.225243367303342</v>
      </c>
      <c r="S156" s="47">
        <f>$Q$65+IF(Deck_Mode="uniform",Deck_Uni*($Q$156),Deck_Crown*ABS($Q$156))-Deck_T-($Q$75+Bm_D)</f>
        <v>8.5214893254025981E-2</v>
      </c>
    </row>
    <row r="157" spans="16:19" x14ac:dyDescent="0.45">
      <c r="Q157" s="47">
        <f>Bm2_FL+23/24*(Bm2_FR-Bm2_FL)</f>
        <v>6.125</v>
      </c>
      <c r="R157" s="47">
        <f t="shared" si="1"/>
        <v>47.225243367303342</v>
      </c>
      <c r="S157" s="47">
        <f>$Q$65+IF(Deck_Mode="uniform",Deck_Uni*($Q$157),Deck_Crown*ABS($Q$157))-Deck_T-($Q$75+Bm_D)</f>
        <v>8.1881559920688574E-2</v>
      </c>
    </row>
    <row r="158" spans="16:19" x14ac:dyDescent="0.45">
      <c r="Q158" s="47">
        <f>Bm2_FL+24/24*(Bm2_FR-Bm2_FL)</f>
        <v>6.291666666666667</v>
      </c>
      <c r="R158" s="47">
        <f t="shared" si="1"/>
        <v>47.225243367303342</v>
      </c>
      <c r="S158" s="47">
        <f>$Q$65+IF(Deck_Mode="uniform",Deck_Uni*($Q$158),Deck_Crown*ABS($Q$158))-Deck_T-($Q$75+Bm_D)</f>
        <v>7.8548226587358272E-2</v>
      </c>
    </row>
    <row r="160" spans="16:19" x14ac:dyDescent="0.45">
      <c r="P160" s="44" t="s">
        <v>832</v>
      </c>
      <c r="Q160" s="47">
        <f>Bm1_FL</f>
        <v>-6.291666666666667</v>
      </c>
      <c r="R160" s="47">
        <f>$Q$74+Bm_D</f>
        <v>47.225243367303342</v>
      </c>
    </row>
    <row r="161" spans="16:18" x14ac:dyDescent="0.45">
      <c r="Q161" s="47">
        <f>Bm1_Off</f>
        <v>-4.291666666666667</v>
      </c>
      <c r="R161" s="47">
        <f>$Q$74+Bm_D</f>
        <v>47.225243367303342</v>
      </c>
    </row>
    <row r="162" spans="16:18" x14ac:dyDescent="0.45">
      <c r="Q162" s="47">
        <f>Bm1_FR</f>
        <v>-2.291666666666667</v>
      </c>
      <c r="R162" s="47">
        <f>$Q$74+Bm_D</f>
        <v>47.225243367303342</v>
      </c>
    </row>
    <row r="163" spans="16:18" x14ac:dyDescent="0.45">
      <c r="Q163" s="47">
        <f>MAX(Bm1_FL,MIN(0,Bm1_FR))</f>
        <v>-2.291666666666667</v>
      </c>
      <c r="R163" s="47">
        <f>$Q$74+Bm_D</f>
        <v>47.225243367303342</v>
      </c>
    </row>
    <row r="164" spans="16:18" x14ac:dyDescent="0.45">
      <c r="Q164" s="47">
        <f>Bm2_FL</f>
        <v>2.291666666666667</v>
      </c>
      <c r="R164" s="47">
        <f>$Q$75+Bm_D</f>
        <v>47.225243367303342</v>
      </c>
    </row>
    <row r="165" spans="16:18" x14ac:dyDescent="0.45">
      <c r="Q165" s="47">
        <f>Bm2_Off</f>
        <v>4.291666666666667</v>
      </c>
      <c r="R165" s="47">
        <f>$Q$75+Bm_D</f>
        <v>47.225243367303342</v>
      </c>
    </row>
    <row r="166" spans="16:18" x14ac:dyDescent="0.45">
      <c r="Q166" s="47">
        <f>Bm2_FR</f>
        <v>6.291666666666667</v>
      </c>
      <c r="R166" s="47">
        <f>$Q$75+Bm_D</f>
        <v>47.225243367303342</v>
      </c>
    </row>
    <row r="167" spans="16:18" x14ac:dyDescent="0.45">
      <c r="Q167" s="47">
        <f>MAX(Bm2_FL,MIN(0,Bm2_FR))</f>
        <v>2.291666666666667</v>
      </c>
      <c r="R167" s="47">
        <f>$Q$75+Bm_D</f>
        <v>47.225243367303342</v>
      </c>
    </row>
    <row r="169" spans="16:18" x14ac:dyDescent="0.45">
      <c r="P169" s="44" t="s">
        <v>833</v>
      </c>
      <c r="Q169" s="48">
        <f>MIN($Q$74,$Q$75)</f>
        <v>44.225243367303342</v>
      </c>
    </row>
    <row r="170" spans="16:18" x14ac:dyDescent="0.45">
      <c r="P170" s="44" t="s">
        <v>834</v>
      </c>
      <c r="Q170" s="47">
        <f>Bm1_Off</f>
        <v>-4.291666666666667</v>
      </c>
      <c r="R170" s="47">
        <f>$Q$169-0.25</f>
        <v>43.975243367303342</v>
      </c>
    </row>
    <row r="171" spans="16:18" x14ac:dyDescent="0.45">
      <c r="Q171" s="47">
        <f>Bm1_Off</f>
        <v>-4.291666666666667</v>
      </c>
      <c r="R171" s="47">
        <f>$Q$65+IF(Deck_Mode="uniform",Deck_Uni*(Bm1_Off),Deck_Crown*ABS(Bm1_Off))+0.25</f>
        <v>48.0937915938907</v>
      </c>
    </row>
    <row r="173" spans="16:18" x14ac:dyDescent="0.45">
      <c r="Q173" s="47">
        <f>Bm2_Off</f>
        <v>4.291666666666667</v>
      </c>
      <c r="R173" s="47">
        <f>$Q$169-0.25</f>
        <v>43.975243367303342</v>
      </c>
    </row>
    <row r="174" spans="16:18" x14ac:dyDescent="0.45">
      <c r="Q174" s="47">
        <f>Bm2_Off</f>
        <v>4.291666666666667</v>
      </c>
      <c r="R174" s="47">
        <f>$Q$65+IF(Deck_Mode="uniform",Deck_Uni*(Bm2_Off),Deck_Crown*ABS(Bm2_Off))+0.25</f>
        <v>48.0937915938907</v>
      </c>
    </row>
    <row r="176" spans="16:18" x14ac:dyDescent="0.45">
      <c r="P176" s="44" t="s">
        <v>794</v>
      </c>
      <c r="Q176" s="47">
        <f>0</f>
        <v>0</v>
      </c>
      <c r="R176" s="47">
        <f>$Q$169-0.25</f>
        <v>43.975243367303342</v>
      </c>
    </row>
    <row r="177" spans="16:18" x14ac:dyDescent="0.45">
      <c r="Q177" s="47">
        <f>0</f>
        <v>0</v>
      </c>
      <c r="R177" s="47">
        <f>$Q$65+IF(Deck_Mode="uniform",Deck_Uni*(0),Deck_Crown*ABS(0))+0.35</f>
        <v>48.279624927224035</v>
      </c>
    </row>
    <row r="179" spans="16:18" x14ac:dyDescent="0.45">
      <c r="P179" s="44" t="str">
        <f>"CL Beam 1  "&amp;TEXT(Bm1_Off,"+0.0000;-0.0000")&amp;" ft"&amp;CHAR(10)&amp;"haunch @ CL "&amp;TEXT(($Q$65+IF(Deck_Mode="uniform",Deck_Uni*(Bm1_Off),Deck_Crown*ABS(Bm1_Off))-Deck_T-$Q$74-Bm_D)*12,"0.00")&amp;" in"</f>
        <v>CL Beam 1  -4.2917 ft
haunch @ CL 1.42 in</v>
      </c>
      <c r="Q179" s="47">
        <f>Bm1_Off</f>
        <v>-4.291666666666667</v>
      </c>
      <c r="R179" s="47">
        <f>$Q$74</f>
        <v>44.225243367303342</v>
      </c>
    </row>
    <row r="181" spans="16:18" x14ac:dyDescent="0.45">
      <c r="P181" s="44" t="str">
        <f>"CL Beam 2  "&amp;TEXT(Bm2_Off,"+0.0000;-0.0000")&amp;" ft"&amp;CHAR(10)&amp;"haunch @ CL "&amp;TEXT(($Q$65+IF(Deck_Mode="uniform",Deck_Uni*(Bm2_Off),Deck_Crown*ABS(Bm2_Off))-Deck_T-$Q$75-Bm_D)*12,"0.00")&amp;" in"</f>
        <v>CL Beam 2  +4.2917 ft
haunch @ CL 1.42 in</v>
      </c>
      <c r="Q181" s="47">
        <f>Bm2_Off</f>
        <v>4.291666666666667</v>
      </c>
      <c r="R181" s="47">
        <f>$Q$75</f>
        <v>44.225243367303342</v>
      </c>
    </row>
    <row r="183" spans="16:18" x14ac:dyDescent="0.45">
      <c r="P183" s="44" t="str">
        <f>"deck edge"&amp;CHAR(10)&amp;TEXT(Deck_YL,"+0.0000;-0.0000")&amp;" ft"</f>
        <v>deck edge
-6.7917 ft</v>
      </c>
      <c r="Q183" s="47">
        <f>Deck_YL</f>
        <v>-6.7916666666666652</v>
      </c>
      <c r="R183" s="47">
        <f>$Q$65+IF(Deck_Mode="uniform",Deck_Uni*(Deck_YL),Deck_Crown*ABS(Deck_YL))</f>
        <v>47.793791593890703</v>
      </c>
    </row>
    <row r="185" spans="16:18" x14ac:dyDescent="0.45">
      <c r="P185" s="44" t="str">
        <f>"deck edge"&amp;CHAR(10)&amp;TEXT(Deck_YR,"+0.0000;-0.0000")&amp;" ft"</f>
        <v>deck edge
+6.7917 ft</v>
      </c>
      <c r="Q185" s="47">
        <f>Deck_YR</f>
        <v>6.7916666666666652</v>
      </c>
      <c r="R185" s="47">
        <f>$Q$65+IF(Deck_Mode="uniform",Deck_Uni*(Deck_YR),Deck_Crown*ABS(Deck_YR))</f>
        <v>47.793791593890703</v>
      </c>
    </row>
    <row r="187" spans="16:18" x14ac:dyDescent="0.45">
      <c r="P187" s="44" t="str">
        <f>"PGL  EL "&amp;TEXT($Q$65,"0.000")&amp;""&amp;CHAR(10)&amp;"Sta "&amp;TEXT(INT(ROUND(Sp1_Mid*100,0)/10000),"0")&amp;"+"&amp;TEXT(MOD(ROUND(Sp1_Mid*100,0),10000)/100,"00.00")</f>
        <v>PGL  EL 47.930
Sta 16+46.96</v>
      </c>
      <c r="Q187" s="47">
        <f>0</f>
        <v>0</v>
      </c>
      <c r="R187" s="47">
        <f>$Q$65+IF(Deck_Mode="uniform",Deck_Uni*(0),Deck_Crown*ABS(0))+0.35</f>
        <v>48.279624927224035</v>
      </c>
    </row>
    <row r="189" spans="16:18" x14ac:dyDescent="0.45">
      <c r="P189" s="44" t="str">
        <f>TEXT(ABS(IF(Deck_Mode="uniform",Deck_Uni,Deck_Crown))*100,"0.0")&amp;"%"</f>
        <v>2.0%</v>
      </c>
      <c r="Q189" s="47">
        <f>Deck_YL/2</f>
        <v>-3.3958333333333326</v>
      </c>
      <c r="R189" s="47">
        <f>$Q$65+IF(Deck_Mode="uniform",Deck_Uni*(Deck_YL/2),Deck_Crown*ABS(Deck_YL/2))</f>
        <v>47.861708260557364</v>
      </c>
    </row>
    <row r="191" spans="16:18" x14ac:dyDescent="0.45">
      <c r="P191" s="44" t="str">
        <f>TEXT(ABS(IF(Deck_Mode="uniform",Deck_Uni,Deck_Crown))*100,"0.0")&amp;"%"</f>
        <v>2.0%</v>
      </c>
      <c r="Q191" s="47">
        <f>Deck_YR/2</f>
        <v>3.3958333333333326</v>
      </c>
      <c r="R191" s="47">
        <f>$Q$65+IF(Deck_Mode="uniform",Deck_Uni*(Deck_YR/2),Deck_Crown*ABS(Deck_YR/2))</f>
        <v>47.861708260557364</v>
      </c>
    </row>
    <row r="193" spans="16:18" x14ac:dyDescent="0.45">
      <c r="P193" s="44" t="s">
        <v>835</v>
      </c>
      <c r="Q193" s="48">
        <f>$Q$169-0.95</f>
        <v>43.275243367303339</v>
      </c>
    </row>
    <row r="194" spans="16:18" x14ac:dyDescent="0.45">
      <c r="P194" s="44" t="s">
        <v>836</v>
      </c>
      <c r="Q194" s="48">
        <f>$Q$169-1.3</f>
        <v>42.925243367303345</v>
      </c>
    </row>
    <row r="195" spans="16:18" x14ac:dyDescent="0.45">
      <c r="P195" s="44" t="s">
        <v>837</v>
      </c>
      <c r="Q195" s="47">
        <f>Bm1_Off</f>
        <v>-4.291666666666667</v>
      </c>
      <c r="R195" s="47">
        <f>$Q$193</f>
        <v>43.275243367303339</v>
      </c>
    </row>
    <row r="196" spans="16:18" x14ac:dyDescent="0.45">
      <c r="Q196" s="47">
        <f>Bm2_Off</f>
        <v>4.291666666666667</v>
      </c>
      <c r="R196" s="47">
        <f>$Q$193</f>
        <v>43.275243367303339</v>
      </c>
    </row>
    <row r="198" spans="16:18" x14ac:dyDescent="0.45">
      <c r="P198" s="44" t="str">
        <f>"S = "&amp;TEXT(Bm2_Off-Bm1_Off,"0.0000")&amp;" ft"</f>
        <v>S = 8.5833 ft</v>
      </c>
      <c r="Q198" s="47">
        <f>(Bm1_Off+Bm2_Off)/2</f>
        <v>0</v>
      </c>
      <c r="R198" s="47">
        <f>$Q$193</f>
        <v>43.275243367303339</v>
      </c>
    </row>
    <row r="200" spans="16:18" x14ac:dyDescent="0.45">
      <c r="P200" s="44" t="s">
        <v>168</v>
      </c>
      <c r="Q200" s="47">
        <f>Deck_YL</f>
        <v>-6.7916666666666652</v>
      </c>
      <c r="R200" s="47">
        <f>$Q$194</f>
        <v>42.925243367303345</v>
      </c>
    </row>
    <row r="201" spans="16:18" x14ac:dyDescent="0.45">
      <c r="Q201" s="47">
        <f>Deck_YR</f>
        <v>6.7916666666666652</v>
      </c>
      <c r="R201" s="47">
        <f>$Q$194</f>
        <v>42.925243367303345</v>
      </c>
    </row>
    <row r="203" spans="16:18" x14ac:dyDescent="0.45">
      <c r="P203" s="44" t="str">
        <f>"deck width "&amp;TEXT(Deck_W*12,"0.0")&amp;" in ("&amp;TEXT(Deck_W,"0.0000")&amp;" ft)"</f>
        <v>deck width 163.0 in (13.5833 ft)</v>
      </c>
      <c r="Q203" s="47">
        <f>Deck_C</f>
        <v>0</v>
      </c>
      <c r="R203" s="47">
        <f>$Q$194</f>
        <v>42.925243367303345</v>
      </c>
    </row>
    <row r="205" spans="16:18" x14ac:dyDescent="0.45">
      <c r="P205" s="44" t="s">
        <v>802</v>
      </c>
      <c r="Q205" s="47">
        <f>Deck_YL-0.6</f>
        <v>-7.3916666666666648</v>
      </c>
      <c r="R205" s="47">
        <f>$Q$194-0.35</f>
        <v>42.575243367303344</v>
      </c>
    </row>
    <row r="206" spans="16:18" x14ac:dyDescent="0.45">
      <c r="Q206" s="47">
        <f>Deck_YR+0.6</f>
        <v>7.3916666666666648</v>
      </c>
      <c r="R206" s="47">
        <f>$Q$65+IF(Deck_Mode="uniform",Deck_Uni*(0),Deck_Crown*ABS(0))+0.9</f>
        <v>48.829624927224032</v>
      </c>
    </row>
  </sheetData>
  <mergeCells count="40">
    <mergeCell ref="C83:G83"/>
    <mergeCell ref="K84:M84"/>
    <mergeCell ref="B67:M67"/>
    <mergeCell ref="B83"/>
    <mergeCell ref="H79:J79"/>
    <mergeCell ref="H81:J81"/>
    <mergeCell ref="H84:J84"/>
    <mergeCell ref="B81"/>
    <mergeCell ref="C84:G84"/>
    <mergeCell ref="K82:M82"/>
    <mergeCell ref="B84"/>
    <mergeCell ref="K83:M83"/>
    <mergeCell ref="H82:J82"/>
    <mergeCell ref="H78:J78"/>
    <mergeCell ref="B16:M16"/>
    <mergeCell ref="C82:G82"/>
    <mergeCell ref="K80:M80"/>
    <mergeCell ref="H83:J83"/>
    <mergeCell ref="B17:M17"/>
    <mergeCell ref="B80"/>
    <mergeCell ref="B73:M73"/>
    <mergeCell ref="C79:G79"/>
    <mergeCell ref="K77:M77"/>
    <mergeCell ref="B79"/>
    <mergeCell ref="H80:J80"/>
    <mergeCell ref="C80:G80"/>
    <mergeCell ref="H77:J77"/>
    <mergeCell ref="B3:M3"/>
    <mergeCell ref="C81:G81"/>
    <mergeCell ref="B82"/>
    <mergeCell ref="B78"/>
    <mergeCell ref="B39:M39"/>
    <mergeCell ref="K79:M79"/>
    <mergeCell ref="C78:G78"/>
    <mergeCell ref="B6:M6"/>
    <mergeCell ref="B77"/>
    <mergeCell ref="K78:M78"/>
    <mergeCell ref="C77:G77"/>
    <mergeCell ref="K81:M81"/>
    <mergeCell ref="B42:M42"/>
  </mergeCells>
  <conditionalFormatting sqref="B3:M3">
    <cfRule type="expression" dxfId="72" priority="1">
      <formula>Inputs_Edited=0</formula>
    </cfRule>
    <cfRule type="expression" dxfId="71" priority="2">
      <formula>Inputs_Edited&gt;0</formula>
    </cfRule>
  </conditionalFormatting>
  <pageMargins left="0.75" right="0.75" top="1" bottom="1" header="0.5" footer="0.5"/>
  <pageSetup fitToHeight="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2A36"/>
  </sheetPr>
  <dimension ref="A1:U18"/>
  <sheetViews>
    <sheetView showGridLines="0" workbookViewId="0"/>
  </sheetViews>
  <sheetFormatPr defaultRowHeight="14.25" x14ac:dyDescent="0.45"/>
  <cols>
    <col min="1" max="1" width="3" customWidth="1"/>
    <col min="2" max="2" width="9" customWidth="1"/>
    <col min="3" max="4" width="12" customWidth="1"/>
    <col min="5" max="6" width="13" customWidth="1"/>
    <col min="7" max="12" width="12" customWidth="1"/>
    <col min="13" max="14" width="11" customWidth="1"/>
    <col min="15" max="15" width="12" customWidth="1"/>
    <col min="16" max="18" width="11" customWidth="1"/>
    <col min="19" max="19" width="9" customWidth="1"/>
    <col min="20" max="21" width="11" customWidth="1"/>
  </cols>
  <sheetData>
    <row r="1" spans="1:21" ht="17.649999999999999" x14ac:dyDescent="0.5">
      <c r="A1" s="15" t="s">
        <v>32</v>
      </c>
      <c r="O1" s="37" t="s">
        <v>107</v>
      </c>
      <c r="P1" s="2" t="str">
        <f>""&amp;TB_Project</f>
        <v>D2 I-95 Pedestrian Bridge</v>
      </c>
    </row>
    <row r="2" spans="1:21" x14ac:dyDescent="0.45">
      <c r="A2" s="8" t="s">
        <v>838</v>
      </c>
      <c r="O2" s="37" t="s">
        <v>115</v>
      </c>
      <c r="P2" s="2" t="str">
        <f>""&amp;TB_JobNo</f>
        <v/>
      </c>
    </row>
    <row r="3" spans="1:21" x14ac:dyDescent="0.45">
      <c r="O3" s="37" t="s">
        <v>722</v>
      </c>
      <c r="P3" s="2" t="str">
        <f>TB_CalcBy&amp;"  "&amp;TB_CalcDate</f>
        <v xml:space="preserve">  </v>
      </c>
    </row>
    <row r="4" spans="1:21" x14ac:dyDescent="0.45">
      <c r="O4" s="37" t="s">
        <v>723</v>
      </c>
      <c r="P4" s="2" t="str">
        <f>TB_CheckBy&amp;"  "&amp;TB_CheckDate</f>
        <v xml:space="preserve">  </v>
      </c>
    </row>
    <row r="6" spans="1:21" x14ac:dyDescent="0.45">
      <c r="A6" s="17" t="s">
        <v>839</v>
      </c>
      <c r="B6" s="18"/>
      <c r="C6" s="18"/>
      <c r="D6" s="18"/>
      <c r="E6" s="18"/>
      <c r="F6" s="18"/>
      <c r="G6" s="18"/>
      <c r="H6" s="18"/>
      <c r="I6" s="18"/>
      <c r="J6" s="18"/>
      <c r="K6" s="18"/>
      <c r="L6" s="18"/>
      <c r="M6" s="18"/>
      <c r="N6" s="18"/>
      <c r="O6" s="18"/>
      <c r="P6" s="18"/>
      <c r="Q6" s="18"/>
      <c r="R6" s="18"/>
      <c r="S6" s="18"/>
      <c r="T6" s="18"/>
    </row>
    <row r="7" spans="1:21" ht="42" customHeight="1" x14ac:dyDescent="0.45">
      <c r="B7" s="19" t="s">
        <v>840</v>
      </c>
      <c r="C7" s="19" t="s">
        <v>841</v>
      </c>
      <c r="D7" s="19" t="s">
        <v>842</v>
      </c>
      <c r="E7" s="19" t="s">
        <v>843</v>
      </c>
      <c r="F7" s="19" t="s">
        <v>844</v>
      </c>
      <c r="G7" s="19" t="s">
        <v>845</v>
      </c>
      <c r="H7" s="19" t="s">
        <v>846</v>
      </c>
      <c r="I7" s="19" t="s">
        <v>847</v>
      </c>
      <c r="J7" s="19" t="s">
        <v>848</v>
      </c>
      <c r="K7" s="19" t="s">
        <v>849</v>
      </c>
      <c r="L7" s="19" t="s">
        <v>850</v>
      </c>
      <c r="M7" s="19" t="s">
        <v>479</v>
      </c>
      <c r="N7" s="19" t="s">
        <v>851</v>
      </c>
      <c r="O7" s="19" t="s">
        <v>852</v>
      </c>
      <c r="P7" s="19" t="s">
        <v>853</v>
      </c>
      <c r="Q7" s="19" t="s">
        <v>854</v>
      </c>
      <c r="R7" s="19" t="s">
        <v>855</v>
      </c>
      <c r="S7" s="19" t="s">
        <v>856</v>
      </c>
      <c r="T7" s="19" t="s">
        <v>857</v>
      </c>
      <c r="U7" s="19" t="s">
        <v>858</v>
      </c>
    </row>
    <row r="8" spans="1:21" x14ac:dyDescent="0.45">
      <c r="B8" s="11">
        <v>1</v>
      </c>
      <c r="C8" s="40">
        <f>Sp1_Sta0</f>
        <v>1593.22</v>
      </c>
      <c r="D8" s="40">
        <f>Sp1_Sta1</f>
        <v>1700.57</v>
      </c>
      <c r="E8" s="11" t="s">
        <v>859</v>
      </c>
      <c r="F8" s="11" t="s">
        <v>860</v>
      </c>
      <c r="G8" s="41">
        <f>C8+Phys_EndClr/12</f>
        <v>1593.47</v>
      </c>
      <c r="H8" s="41">
        <f>D8-Phys_PierGap/24</f>
        <v>1700.4449999999999</v>
      </c>
      <c r="I8" s="41">
        <f>G8+Phys_Setback/12</f>
        <v>1594.22</v>
      </c>
      <c r="J8" s="41">
        <f>H8-Phys_Setback/12</f>
        <v>1699.6949999999999</v>
      </c>
      <c r="K8" s="41">
        <f>C8+Phys_DeckClr/12</f>
        <v>1593.47</v>
      </c>
      <c r="L8" s="41">
        <f>D8</f>
        <v>1700.57</v>
      </c>
      <c r="M8" s="41">
        <f>H8-G8</f>
        <v>106.97499999999991</v>
      </c>
      <c r="N8" s="41">
        <f>J8-I8</f>
        <v>105.47499999999991</v>
      </c>
      <c r="O8" s="41">
        <f>(I8+J8)/2</f>
        <v>1646.9575</v>
      </c>
      <c r="P8" s="41">
        <f>IF(Prof_Mode="parabolic",Prof_Z0+Prof_G1*((I8)-Prof_Sta0)+Prof_Kq*((I8)-Prof_Sta0)^2,IF((I8)&lt;=Prof_PISta,Prof_Z0+Prof_G1*((I8)-Prof_Sta0),Prof_PIZ+Prof_G2*((I8)-Prof_PISta)))</f>
        <v>47.665998835584539</v>
      </c>
      <c r="Q8" s="41">
        <f>IF(Prof_Mode="parabolic",Prof_Z0+Prof_G1*((J8)-Prof_Sta0)+Prof_Kq*((J8)-Prof_Sta0)^2,IF((J8)&lt;=Prof_PISta,Prof_Z0+Prof_G1*((J8)-Prof_Sta0),Prof_PIZ+Prof_G2*((J8)-Prof_PISta)))</f>
        <v>48.193251018863535</v>
      </c>
      <c r="R8" s="49">
        <f>(Q8-P8)/N8</f>
        <v>4.9988355845365885E-3</v>
      </c>
      <c r="S8" s="42" t="str">
        <f>IF(AND(C8&lt;=G8,G8&lt;I8,I8&lt;J8,J8&lt;H8,H8&lt;=D8,K8&lt;L8),"PASS","FAIL")</f>
        <v>PASS</v>
      </c>
      <c r="T8" s="40">
        <f>MC1_Lbeam</f>
        <v>106.97499999999999</v>
      </c>
      <c r="U8" s="41">
        <f>M8-T8</f>
        <v>0</v>
      </c>
    </row>
    <row r="9" spans="1:21" x14ac:dyDescent="0.45">
      <c r="B9" s="11">
        <v>2</v>
      </c>
      <c r="C9" s="40">
        <f>Sp2_Sta0</f>
        <v>1700.57</v>
      </c>
      <c r="D9" s="40">
        <f>Sp2_Sta1</f>
        <v>1805.47</v>
      </c>
      <c r="E9" s="11" t="s">
        <v>860</v>
      </c>
      <c r="F9" s="11" t="s">
        <v>861</v>
      </c>
      <c r="G9" s="41">
        <f>C9+Phys_PierGap/24</f>
        <v>1700.6949999999999</v>
      </c>
      <c r="H9" s="41">
        <f>D9-Phys_EndClr/12</f>
        <v>1805.22</v>
      </c>
      <c r="I9" s="41">
        <f>G9+Phys_Setback/12</f>
        <v>1701.4449999999999</v>
      </c>
      <c r="J9" s="41">
        <f>H9-Phys_Setback/12</f>
        <v>1804.47</v>
      </c>
      <c r="K9" s="41">
        <f>C9</f>
        <v>1700.57</v>
      </c>
      <c r="L9" s="41">
        <f>D9-Phys_DeckClr/12</f>
        <v>1805.22</v>
      </c>
      <c r="M9" s="41">
        <f>H9-G9</f>
        <v>104.52500000000009</v>
      </c>
      <c r="N9" s="41">
        <f>J9-I9</f>
        <v>103.02500000000009</v>
      </c>
      <c r="O9" s="41">
        <f>(I9+J9)/2</f>
        <v>1752.9575</v>
      </c>
      <c r="P9" s="41">
        <f>IF(Prof_Mode="parabolic",Prof_Z0+Prof_G1*((I9)-Prof_Sta0)+Prof_Kq*((I9)-Prof_Sta0)^2,IF((I9)&lt;=Prof_PISta,Prof_Z0+Prof_G1*((I9)-Prof_Sta0),Prof_PIZ+Prof_G2*((I9)-Prof_PISta)))</f>
        <v>48.193248957340323</v>
      </c>
      <c r="Q9" s="41">
        <f>IF(Prof_Mode="parabolic",Prof_Z0+Prof_G1*((J9)-Prof_Sta0)+Prof_Kq*((J9)-Prof_Sta0)^2,IF((J9)&lt;=Prof_PISta,Prof_Z0+Prof_G1*((J9)-Prof_Sta0),Prof_PIZ+Prof_G2*((J9)-Prof_PISta)))</f>
        <v>47.67800119161106</v>
      </c>
      <c r="R9" s="49">
        <f>(Q9-P9)/N9</f>
        <v>-5.0011916110581228E-3</v>
      </c>
      <c r="S9" s="42" t="str">
        <f>IF(AND(C9&lt;=G9,G9&lt;I9,I9&lt;J9,J9&lt;H9,H9&lt;=D9,K9&lt;L9),"PASS","FAIL")</f>
        <v>PASS</v>
      </c>
      <c r="T9" s="40">
        <f>MC2_Lbeam</f>
        <v>104.52500000000001</v>
      </c>
      <c r="U9" s="41">
        <f>M9-T9</f>
        <v>0</v>
      </c>
    </row>
    <row r="11" spans="1:21" x14ac:dyDescent="0.45">
      <c r="A11" s="17" t="s">
        <v>862</v>
      </c>
      <c r="B11" s="18"/>
      <c r="C11" s="18"/>
      <c r="D11" s="18"/>
      <c r="E11" s="18"/>
      <c r="F11" s="18"/>
      <c r="G11" s="18"/>
      <c r="H11" s="18"/>
      <c r="I11" s="18"/>
      <c r="J11" s="18"/>
      <c r="K11" s="18"/>
      <c r="L11" s="18"/>
      <c r="M11" s="18"/>
      <c r="N11" s="18"/>
      <c r="O11" s="18"/>
      <c r="P11" s="18"/>
      <c r="Q11" s="18"/>
      <c r="R11" s="18"/>
      <c r="S11" s="18"/>
      <c r="T11" s="18"/>
    </row>
    <row r="12" spans="1:21" ht="42" customHeight="1" x14ac:dyDescent="0.45">
      <c r="B12" s="19" t="s">
        <v>765</v>
      </c>
      <c r="C12" s="19" t="s">
        <v>840</v>
      </c>
      <c r="D12" s="19" t="s">
        <v>863</v>
      </c>
      <c r="E12" s="19" t="s">
        <v>864</v>
      </c>
      <c r="F12" s="19" t="s">
        <v>865</v>
      </c>
      <c r="G12" s="19" t="s">
        <v>866</v>
      </c>
      <c r="H12" s="19" t="s">
        <v>867</v>
      </c>
      <c r="I12" s="19" t="s">
        <v>868</v>
      </c>
      <c r="J12" s="19" t="s">
        <v>869</v>
      </c>
      <c r="K12" s="19" t="s">
        <v>870</v>
      </c>
      <c r="L12" s="19" t="s">
        <v>871</v>
      </c>
      <c r="M12" s="19" t="s">
        <v>872</v>
      </c>
      <c r="N12" s="19" t="s">
        <v>873</v>
      </c>
      <c r="O12" s="19" t="s">
        <v>874</v>
      </c>
      <c r="P12" s="19" t="s">
        <v>875</v>
      </c>
      <c r="Q12" s="19" t="s">
        <v>876</v>
      </c>
      <c r="R12" s="19" t="s">
        <v>877</v>
      </c>
      <c r="S12" s="19" t="s">
        <v>878</v>
      </c>
      <c r="T12" s="19" t="s">
        <v>879</v>
      </c>
      <c r="U12" s="19" t="s">
        <v>880</v>
      </c>
    </row>
    <row r="13" spans="1:21" x14ac:dyDescent="0.45">
      <c r="B13" s="11" t="s">
        <v>881</v>
      </c>
      <c r="C13" s="11">
        <v>1</v>
      </c>
      <c r="D13" s="40">
        <f>Bm1_Off</f>
        <v>-4.291666666666667</v>
      </c>
      <c r="E13" s="2">
        <f>Bm1_Raise</f>
        <v>0</v>
      </c>
      <c r="F13" s="41">
        <f>Sp1_LBeam</f>
        <v>106.97499999999991</v>
      </c>
      <c r="G13" s="41">
        <f>F13*SQRT(1+Sp1_Gc^2)</f>
        <v>106.97633655640617</v>
      </c>
      <c r="H13" s="2">
        <f>MC1_Skew</f>
        <v>0</v>
      </c>
      <c r="I13" s="11">
        <f>90-H13</f>
        <v>90</v>
      </c>
      <c r="J13" s="11">
        <f>90-H13</f>
        <v>90</v>
      </c>
      <c r="K13" s="50">
        <f>Phys_Setback</f>
        <v>9</v>
      </c>
      <c r="L13" s="50">
        <f>(Sp1_BrgA-Sp1_Sta0)*12</f>
        <v>12</v>
      </c>
      <c r="M13" s="50">
        <f>(Sp1_Sta1-Sp1_BrgB)*12</f>
        <v>10.5</v>
      </c>
      <c r="N13" s="50">
        <f>IF(ABS(Sp1_Gc*Bm_D*12)&lt;Des_DimP,0,-Sp1_Gc*Bm_D*12)</f>
        <v>0</v>
      </c>
      <c r="O13" s="11">
        <f>IF(N13&lt;0,2,IF(N13&gt;0,3,1))</f>
        <v>1</v>
      </c>
      <c r="P13" s="50">
        <f>MC1_NStr*MC1_Pj+MC1_NTop*MC1_PTop</f>
        <v>1753.7575000000002</v>
      </c>
      <c r="Q13" s="41">
        <f>1+MC1_Psi</f>
        <v>1.9583197042305542</v>
      </c>
      <c r="R13" s="51">
        <f>Q13*P13*G13*12/(MC1_Eci*Bm_Area)+ABS(MC1_Esh)*G13*12</f>
        <v>1.522958354318249</v>
      </c>
      <c r="S13" s="41">
        <f>G13+R13/12</f>
        <v>107.10324975259935</v>
      </c>
      <c r="T13" s="52">
        <f>ROUNDDOWN(S13,0)</f>
        <v>107</v>
      </c>
      <c r="U13" s="50">
        <f>(S13-T13)*12</f>
        <v>1.2389970311922411</v>
      </c>
    </row>
    <row r="14" spans="1:21" x14ac:dyDescent="0.45">
      <c r="B14" s="11" t="s">
        <v>882</v>
      </c>
      <c r="C14" s="11">
        <v>1</v>
      </c>
      <c r="D14" s="40">
        <f>Bm2_Off</f>
        <v>4.291666666666667</v>
      </c>
      <c r="E14" s="2">
        <f>Bm2_Raise</f>
        <v>0</v>
      </c>
      <c r="F14" s="41">
        <f>Sp1_LBeam</f>
        <v>106.97499999999991</v>
      </c>
      <c r="G14" s="41">
        <f>F14*SQRT(1+Sp1_Gc^2)</f>
        <v>106.97633655640617</v>
      </c>
      <c r="H14" s="2">
        <f>MC1_Skew</f>
        <v>0</v>
      </c>
      <c r="I14" s="11">
        <f>90-H14</f>
        <v>90</v>
      </c>
      <c r="J14" s="11">
        <f>90-H14</f>
        <v>90</v>
      </c>
      <c r="K14" s="50">
        <f>Phys_Setback</f>
        <v>9</v>
      </c>
      <c r="L14" s="50">
        <f>(Sp1_BrgA-Sp1_Sta0)*12</f>
        <v>12</v>
      </c>
      <c r="M14" s="50">
        <f>(Sp1_Sta1-Sp1_BrgB)*12</f>
        <v>10.5</v>
      </c>
      <c r="N14" s="50">
        <f>IF(ABS(Sp1_Gc*Bm_D*12)&lt;Des_DimP,0,-Sp1_Gc*Bm_D*12)</f>
        <v>0</v>
      </c>
      <c r="O14" s="11">
        <f>IF(N14&lt;0,2,IF(N14&gt;0,3,1))</f>
        <v>1</v>
      </c>
      <c r="P14" s="50">
        <f>MC1_NStr*MC1_Pj+MC1_NTop*MC1_PTop</f>
        <v>1753.7575000000002</v>
      </c>
      <c r="Q14" s="41">
        <f>1+MC1_Psi</f>
        <v>1.9583197042305542</v>
      </c>
      <c r="R14" s="51">
        <f>Q14*P14*G14*12/(MC1_Eci*Bm_Area)+ABS(MC1_Esh)*G14*12</f>
        <v>1.522958354318249</v>
      </c>
      <c r="S14" s="41">
        <f>G14+R14/12</f>
        <v>107.10324975259935</v>
      </c>
      <c r="T14" s="52">
        <f>ROUNDDOWN(S14,0)</f>
        <v>107</v>
      </c>
      <c r="U14" s="50">
        <f>(S14-T14)*12</f>
        <v>1.2389970311922411</v>
      </c>
    </row>
    <row r="15" spans="1:21" x14ac:dyDescent="0.45">
      <c r="B15" s="11" t="s">
        <v>883</v>
      </c>
      <c r="C15" s="11">
        <v>2</v>
      </c>
      <c r="D15" s="40">
        <f>Bm1_Off</f>
        <v>-4.291666666666667</v>
      </c>
      <c r="E15" s="2">
        <f>Bm1_Raise</f>
        <v>0</v>
      </c>
      <c r="F15" s="41">
        <f>Sp2_LBeam</f>
        <v>104.52500000000009</v>
      </c>
      <c r="G15" s="41">
        <f>F15*SQRT(1+Sp2_Gc^2)</f>
        <v>104.52630717716632</v>
      </c>
      <c r="H15" s="2">
        <f>MC2_Skew</f>
        <v>0</v>
      </c>
      <c r="I15" s="11">
        <f>90-H15</f>
        <v>90</v>
      </c>
      <c r="J15" s="11">
        <f>90-H15</f>
        <v>90</v>
      </c>
      <c r="K15" s="50">
        <f>Phys_Setback</f>
        <v>9</v>
      </c>
      <c r="L15" s="50">
        <f>(Sp2_BrgA-Sp2_Sta0)*12</f>
        <v>10.5</v>
      </c>
      <c r="M15" s="50">
        <f>(Sp2_Sta1-Sp2_BrgB)*12</f>
        <v>12</v>
      </c>
      <c r="N15" s="50">
        <f>IF(ABS(Sp2_Gc*Bm_D*12)&lt;Des_DimP,0,-Sp2_Gc*Bm_D*12)</f>
        <v>0</v>
      </c>
      <c r="O15" s="11">
        <f>IF(N15&lt;0,2,IF(N15&gt;0,3,1))</f>
        <v>1</v>
      </c>
      <c r="P15" s="50">
        <f>MC2_NStr*MC2_Pj+MC2_NTop*MC2_PTop</f>
        <v>1753.7575000000002</v>
      </c>
      <c r="Q15" s="41">
        <f>1+MC2_Psi</f>
        <v>1.9583197042305542</v>
      </c>
      <c r="R15" s="51">
        <f>Q15*P15*G15*12/(MC2_Eci*Bm_Area)+ABS(MC2_Esh)*G15*12</f>
        <v>1.4880787460651559</v>
      </c>
      <c r="S15" s="41">
        <f>G15+R15/12</f>
        <v>104.65031373933842</v>
      </c>
      <c r="T15" s="52">
        <f>ROUNDDOWN(S15,0)</f>
        <v>104</v>
      </c>
      <c r="U15" s="50">
        <f>(S15-T15)*12</f>
        <v>7.8037648720609809</v>
      </c>
    </row>
    <row r="16" spans="1:21" x14ac:dyDescent="0.45">
      <c r="B16" s="11" t="s">
        <v>884</v>
      </c>
      <c r="C16" s="11">
        <v>2</v>
      </c>
      <c r="D16" s="40">
        <f>Bm2_Off</f>
        <v>4.291666666666667</v>
      </c>
      <c r="E16" s="2">
        <f>Bm2_Raise</f>
        <v>0</v>
      </c>
      <c r="F16" s="41">
        <f>Sp2_LBeam</f>
        <v>104.52500000000009</v>
      </c>
      <c r="G16" s="41">
        <f>F16*SQRT(1+Sp2_Gc^2)</f>
        <v>104.52630717716632</v>
      </c>
      <c r="H16" s="2">
        <f>MC2_Skew</f>
        <v>0</v>
      </c>
      <c r="I16" s="11">
        <f>90-H16</f>
        <v>90</v>
      </c>
      <c r="J16" s="11">
        <f>90-H16</f>
        <v>90</v>
      </c>
      <c r="K16" s="50">
        <f>Phys_Setback</f>
        <v>9</v>
      </c>
      <c r="L16" s="50">
        <f>(Sp2_BrgA-Sp2_Sta0)*12</f>
        <v>10.5</v>
      </c>
      <c r="M16" s="50">
        <f>(Sp2_Sta1-Sp2_BrgB)*12</f>
        <v>12</v>
      </c>
      <c r="N16" s="50">
        <f>IF(ABS(Sp2_Gc*Bm_D*12)&lt;Des_DimP,0,-Sp2_Gc*Bm_D*12)</f>
        <v>0</v>
      </c>
      <c r="O16" s="11">
        <f>IF(N16&lt;0,2,IF(N16&gt;0,3,1))</f>
        <v>1</v>
      </c>
      <c r="P16" s="50">
        <f>MC2_NStr*MC2_Pj+MC2_NTop*MC2_PTop</f>
        <v>1753.7575000000002</v>
      </c>
      <c r="Q16" s="41">
        <f>1+MC2_Psi</f>
        <v>1.9583197042305542</v>
      </c>
      <c r="R16" s="51">
        <f>Q16*P16*G16*12/(MC2_Eci*Bm_Area)+ABS(MC2_Esh)*G16*12</f>
        <v>1.4880787460651559</v>
      </c>
      <c r="S16" s="41">
        <f>G16+R16/12</f>
        <v>104.65031373933842</v>
      </c>
      <c r="T16" s="52">
        <f>ROUNDDOWN(S16,0)</f>
        <v>104</v>
      </c>
      <c r="U16" s="50">
        <f>(S16-T16)*12</f>
        <v>7.8037648720609809</v>
      </c>
    </row>
    <row r="18" spans="2:2" x14ac:dyDescent="0.45">
      <c r="B18" s="53" t="s">
        <v>885</v>
      </c>
    </row>
  </sheetData>
  <conditionalFormatting sqref="S8:S9">
    <cfRule type="cellIs" dxfId="70" priority="1" operator="equal">
      <formula>"PASS"</formula>
    </cfRule>
    <cfRule type="cellIs" dxfId="69" priority="2" operator="equal">
      <formula>"FAIL"</formula>
    </cfRule>
    <cfRule type="cellIs" dxfId="68" priority="3" operator="equal">
      <formula>"CHECK"</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A96A3"/>
    <pageSetUpPr fitToPage="1"/>
  </sheetPr>
  <dimension ref="B1:M74"/>
  <sheetViews>
    <sheetView showGridLines="0" workbookViewId="0"/>
  </sheetViews>
  <sheetFormatPr defaultRowHeight="14.25" x14ac:dyDescent="0.45"/>
  <cols>
    <col min="1" max="1" width="2" customWidth="1"/>
    <col min="2" max="13" width="11.46484375" customWidth="1"/>
  </cols>
  <sheetData>
    <row r="1" spans="2:13" ht="20.65" x14ac:dyDescent="0.6">
      <c r="B1" s="35" t="s">
        <v>886</v>
      </c>
    </row>
    <row r="2" spans="2:13" x14ac:dyDescent="0.45">
      <c r="B2" s="8" t="s">
        <v>887</v>
      </c>
    </row>
    <row r="3" spans="2:13"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5" spans="2:13" ht="18" customHeight="1" x14ac:dyDescent="0.45">
      <c r="B5" s="36" t="s">
        <v>888</v>
      </c>
      <c r="C5" s="18"/>
      <c r="D5" s="18"/>
      <c r="E5" s="18"/>
      <c r="F5" s="18"/>
      <c r="G5" s="18"/>
      <c r="H5" s="18"/>
      <c r="I5" s="18"/>
      <c r="J5" s="18"/>
      <c r="K5" s="18"/>
      <c r="L5" s="18"/>
      <c r="M5" s="18"/>
    </row>
    <row r="6" spans="2:13" ht="42.6" customHeight="1" x14ac:dyDescent="0.45">
      <c r="B6" s="85" t="s">
        <v>889</v>
      </c>
      <c r="C6" s="83"/>
      <c r="D6" s="83"/>
      <c r="E6" s="83"/>
      <c r="F6" s="83"/>
      <c r="G6" s="83"/>
      <c r="H6" s="83"/>
      <c r="I6" s="83"/>
      <c r="J6" s="83"/>
      <c r="K6" s="83"/>
      <c r="L6" s="83"/>
      <c r="M6" s="83"/>
    </row>
    <row r="7" spans="2:13" ht="15" customHeight="1" x14ac:dyDescent="0.45"/>
    <row r="8" spans="2:13" ht="15" customHeight="1" x14ac:dyDescent="0.45"/>
    <row r="9" spans="2:13" ht="15" customHeight="1" x14ac:dyDescent="0.45"/>
    <row r="10" spans="2:13" ht="55.8" customHeight="1" x14ac:dyDescent="0.45">
      <c r="B10" s="85" t="str">
        <f>"Current: e = "&amp;TEXT(Phys_EndClr,"General")&amp;" in, g = "&amp;TEXT(Phys_PierGap,"General")&amp;" in, j = "&amp;TEXT(Phys_Setback,"General")&amp;" in, cd = "&amp;TEXT(Phys_DeckClr,"General")&amp;" in. Span 1 bearings "&amp;TEXT(INT(ROUND(Sp1_BrgA*100,0)/10000),"0")&amp;"+"&amp;TEXT(MOD(ROUND(Sp1_BrgA*100,0),10000)/100,"00.00")&amp;" to "&amp;TEXT(INT(ROUND(Sp1_BrgB*100,0)/10000),"0")&amp;"+"&amp;TEXT(MOD(ROUND(Sp1_BrgB*100,0),10000)/100,"00.00")&amp;"; Span 2 bearings "&amp;TEXT(INT(ROUND(Sp2_BrgA*100,0)/10000),"0")&amp;"+"&amp;TEXT(MOD(ROUND(Sp2_BrgA*100,0),10000)/100,"00.00")&amp;" to "&amp;TEXT(INT(ROUND(Sp2_BrgB*100,0)/10000),"0")&amp;"+"&amp;TEXT(MOD(ROUND(Sp2_BrgB*100,0),10000)/100,"00.00")&amp;"."</f>
        <v>Current: e = 3 in, g = 3 in, j = 9 in, cd = 3 in. Span 1 bearings 15+94.22 to 16+99.70; Span 2 bearings 17+01.45 to 18+04.47.</v>
      </c>
      <c r="C10" s="83"/>
      <c r="D10" s="83"/>
      <c r="E10" s="83"/>
      <c r="F10" s="83"/>
      <c r="G10" s="83"/>
      <c r="H10" s="83"/>
      <c r="I10" s="83"/>
      <c r="J10" s="83"/>
      <c r="K10" s="83"/>
      <c r="L10" s="83"/>
      <c r="M10" s="83"/>
    </row>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6.25" customHeight="1" x14ac:dyDescent="0.45">
      <c r="B25" s="82" t="s">
        <v>890</v>
      </c>
      <c r="C25" s="83"/>
      <c r="D25" s="83"/>
      <c r="E25" s="83"/>
      <c r="F25" s="83"/>
      <c r="G25" s="83"/>
      <c r="H25" s="83"/>
      <c r="I25" s="83"/>
      <c r="J25" s="83"/>
      <c r="K25" s="83"/>
      <c r="L25" s="83"/>
      <c r="M25" s="83"/>
    </row>
    <row r="26" spans="2:13" x14ac:dyDescent="0.45">
      <c r="B26" s="86" t="s">
        <v>102</v>
      </c>
      <c r="C26" s="86" t="s">
        <v>699</v>
      </c>
      <c r="D26" s="87"/>
      <c r="E26" s="87"/>
      <c r="F26" s="87"/>
      <c r="G26" s="87"/>
      <c r="H26" s="86" t="s">
        <v>700</v>
      </c>
      <c r="I26" s="87"/>
      <c r="J26" s="87"/>
      <c r="K26" s="86" t="s">
        <v>701</v>
      </c>
      <c r="L26" s="87"/>
      <c r="M26" s="87"/>
    </row>
    <row r="27" spans="2:13" ht="15.2" customHeight="1" x14ac:dyDescent="0.45">
      <c r="B27" s="85" t="s">
        <v>891</v>
      </c>
      <c r="C27" s="85" t="s">
        <v>892</v>
      </c>
      <c r="D27" s="83"/>
      <c r="E27" s="83"/>
      <c r="F27" s="83"/>
      <c r="G27" s="83"/>
      <c r="H27" s="85" t="s">
        <v>250</v>
      </c>
      <c r="I27" s="83"/>
      <c r="J27" s="83"/>
      <c r="K27" s="85" t="str">
        <f>TEXT(Phys_EndClr,"General")&amp;" in"</f>
        <v>3 in</v>
      </c>
      <c r="L27" s="83"/>
      <c r="M27" s="83"/>
    </row>
    <row r="28" spans="2:13" ht="15.2" customHeight="1" x14ac:dyDescent="0.45">
      <c r="B28" s="85" t="s">
        <v>685</v>
      </c>
      <c r="C28" s="85" t="s">
        <v>893</v>
      </c>
      <c r="D28" s="83"/>
      <c r="E28" s="83"/>
      <c r="F28" s="83"/>
      <c r="G28" s="83"/>
      <c r="H28" s="85" t="s">
        <v>256</v>
      </c>
      <c r="I28" s="83"/>
      <c r="J28" s="83"/>
      <c r="K28" s="85" t="str">
        <f>TEXT(Phys_Setback,"General")&amp;" in"</f>
        <v>9 in</v>
      </c>
      <c r="L28" s="83"/>
      <c r="M28" s="83"/>
    </row>
    <row r="29" spans="2:13" ht="15.2" customHeight="1" x14ac:dyDescent="0.45">
      <c r="B29" s="85" t="s">
        <v>894</v>
      </c>
      <c r="C29" s="85" t="s">
        <v>895</v>
      </c>
      <c r="D29" s="83"/>
      <c r="E29" s="83"/>
      <c r="F29" s="83"/>
      <c r="G29" s="83"/>
      <c r="H29" s="85" t="s">
        <v>896</v>
      </c>
      <c r="I29" s="83"/>
      <c r="J29" s="83"/>
      <c r="K29" s="85" t="str">
        <f>TEXT(Phys_EndClr+Phys_Setback,"General")&amp;" in"</f>
        <v>12 in</v>
      </c>
      <c r="L29" s="83"/>
      <c r="M29" s="83"/>
    </row>
    <row r="30" spans="2:13" ht="15.2" customHeight="1" x14ac:dyDescent="0.45">
      <c r="B30" s="85" t="s">
        <v>155</v>
      </c>
      <c r="C30" s="85" t="s">
        <v>897</v>
      </c>
      <c r="D30" s="83"/>
      <c r="E30" s="83"/>
      <c r="F30" s="83"/>
      <c r="G30" s="83"/>
      <c r="H30" s="85" t="s">
        <v>253</v>
      </c>
      <c r="I30" s="83"/>
      <c r="J30" s="83"/>
      <c r="K30" s="85" t="str">
        <f>TEXT(Phys_PierGap,"General")&amp;" in"</f>
        <v>3 in</v>
      </c>
      <c r="L30" s="83"/>
      <c r="M30" s="83"/>
    </row>
    <row r="31" spans="2:13" ht="15.2" customHeight="1" x14ac:dyDescent="0.45">
      <c r="B31" s="85" t="s">
        <v>898</v>
      </c>
      <c r="C31" s="85" t="s">
        <v>899</v>
      </c>
      <c r="D31" s="83"/>
      <c r="E31" s="83"/>
      <c r="F31" s="83"/>
      <c r="G31" s="83"/>
      <c r="H31" s="85" t="s">
        <v>896</v>
      </c>
      <c r="I31" s="83"/>
      <c r="J31" s="83"/>
      <c r="K31" s="85" t="str">
        <f>TEXT(Phys_PierGap/2+Phys_Setback,"General")&amp;" in"</f>
        <v>10.5 in</v>
      </c>
      <c r="L31" s="83"/>
      <c r="M31" s="83"/>
    </row>
    <row r="34" spans="2:13" ht="18" customHeight="1" x14ac:dyDescent="0.45">
      <c r="B34" s="36" t="s">
        <v>900</v>
      </c>
      <c r="C34" s="18"/>
      <c r="D34" s="18"/>
      <c r="E34" s="18"/>
      <c r="F34" s="18"/>
      <c r="G34" s="18"/>
      <c r="H34" s="18"/>
      <c r="I34" s="18"/>
      <c r="J34" s="18"/>
      <c r="K34" s="18"/>
      <c r="L34" s="18"/>
      <c r="M34" s="18"/>
    </row>
    <row r="35" spans="2:13" ht="15" customHeight="1" x14ac:dyDescent="0.45"/>
    <row r="36" spans="2:13" ht="15" customHeight="1" x14ac:dyDescent="0.45"/>
    <row r="37" spans="2:13" ht="15" customHeight="1" x14ac:dyDescent="0.45"/>
    <row r="38" spans="2:13" ht="29.45" customHeight="1" x14ac:dyDescent="0.45">
      <c r="B38" s="85" t="s">
        <v>901</v>
      </c>
      <c r="C38" s="83"/>
      <c r="D38" s="83"/>
      <c r="E38" s="83"/>
      <c r="F38" s="83"/>
      <c r="G38" s="83"/>
      <c r="H38" s="83"/>
      <c r="I38" s="83"/>
      <c r="J38" s="83"/>
      <c r="K38" s="83"/>
      <c r="L38" s="83"/>
      <c r="M38" s="83"/>
    </row>
    <row r="40" spans="2:13" ht="18" customHeight="1" x14ac:dyDescent="0.45">
      <c r="B40" s="36" t="s">
        <v>902</v>
      </c>
      <c r="C40" s="18"/>
      <c r="D40" s="18"/>
      <c r="E40" s="18"/>
      <c r="F40" s="18"/>
      <c r="G40" s="18"/>
      <c r="H40" s="18"/>
      <c r="I40" s="18"/>
      <c r="J40" s="18"/>
      <c r="K40" s="18"/>
      <c r="L40" s="18"/>
      <c r="M40" s="18"/>
    </row>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6.25" customHeight="1" x14ac:dyDescent="0.45">
      <c r="B47" s="85" t="s">
        <v>903</v>
      </c>
      <c r="C47" s="83"/>
      <c r="D47" s="83"/>
      <c r="E47" s="83"/>
      <c r="F47" s="83"/>
      <c r="G47" s="83"/>
      <c r="H47" s="83"/>
      <c r="I47" s="83"/>
      <c r="J47" s="83"/>
      <c r="K47" s="83"/>
      <c r="L47" s="83"/>
      <c r="M47" s="83"/>
    </row>
    <row r="48" spans="2:13" ht="15" customHeight="1" x14ac:dyDescent="0.45"/>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29.45" customHeight="1" x14ac:dyDescent="0.45">
      <c r="B54" s="88" t="s">
        <v>904</v>
      </c>
      <c r="C54" s="89"/>
      <c r="D54" s="89"/>
      <c r="E54" s="89"/>
      <c r="F54" s="89"/>
      <c r="G54" s="89"/>
      <c r="H54" s="89"/>
      <c r="I54" s="89"/>
      <c r="J54" s="89"/>
      <c r="K54" s="89"/>
      <c r="L54" s="89"/>
      <c r="M54" s="89"/>
    </row>
    <row r="55" spans="2:13" ht="15" customHeight="1" x14ac:dyDescent="0.45"/>
    <row r="56" spans="2:13" ht="15" customHeight="1" x14ac:dyDescent="0.45"/>
    <row r="57" spans="2:13" ht="15" customHeight="1" x14ac:dyDescent="0.45"/>
    <row r="58" spans="2:13" ht="15" customHeight="1" x14ac:dyDescent="0.45"/>
    <row r="59" spans="2:13" ht="15" customHeight="1" x14ac:dyDescent="0.45"/>
    <row r="60" spans="2:13" ht="15" customHeight="1" x14ac:dyDescent="0.45"/>
    <row r="61" spans="2:13" ht="15" customHeight="1" x14ac:dyDescent="0.45"/>
    <row r="62" spans="2:13" ht="15" customHeight="1" x14ac:dyDescent="0.45"/>
    <row r="63" spans="2:13" ht="15" customHeight="1" x14ac:dyDescent="0.45"/>
    <row r="64" spans="2:13" ht="15" customHeight="1" x14ac:dyDescent="0.45"/>
    <row r="65" spans="2:13" ht="15" customHeight="1" x14ac:dyDescent="0.45"/>
    <row r="66" spans="2:13" ht="15" customHeight="1" x14ac:dyDescent="0.45"/>
    <row r="67" spans="2:13" ht="15" customHeight="1" x14ac:dyDescent="0.45"/>
    <row r="68" spans="2:13" ht="16.25" customHeight="1" x14ac:dyDescent="0.45">
      <c r="B68" s="82" t="s">
        <v>905</v>
      </c>
      <c r="C68" s="83"/>
      <c r="D68" s="83"/>
      <c r="E68" s="83"/>
      <c r="F68" s="83"/>
      <c r="G68" s="83"/>
      <c r="H68" s="83"/>
      <c r="I68" s="83"/>
      <c r="J68" s="83"/>
      <c r="K68" s="83"/>
      <c r="L68" s="83"/>
      <c r="M68" s="83"/>
    </row>
    <row r="69" spans="2:13" x14ac:dyDescent="0.45">
      <c r="B69" s="86" t="s">
        <v>102</v>
      </c>
      <c r="C69" s="86" t="s">
        <v>699</v>
      </c>
      <c r="D69" s="87"/>
      <c r="E69" s="87"/>
      <c r="F69" s="87"/>
      <c r="G69" s="87"/>
      <c r="H69" s="86" t="s">
        <v>700</v>
      </c>
      <c r="I69" s="87"/>
      <c r="J69" s="87"/>
      <c r="K69" s="86" t="s">
        <v>701</v>
      </c>
      <c r="L69" s="87"/>
      <c r="M69" s="87"/>
    </row>
    <row r="70" spans="2:13" ht="15.2" customHeight="1" x14ac:dyDescent="0.45">
      <c r="B70" s="85" t="s">
        <v>906</v>
      </c>
      <c r="C70" s="85" t="s">
        <v>907</v>
      </c>
      <c r="D70" s="83"/>
      <c r="E70" s="83"/>
      <c r="F70" s="83"/>
      <c r="G70" s="83"/>
      <c r="H70" s="85" t="s">
        <v>908</v>
      </c>
      <c r="I70" s="83"/>
      <c r="J70" s="83"/>
      <c r="K70" s="85" t="s">
        <v>135</v>
      </c>
      <c r="L70" s="83"/>
      <c r="M70" s="83"/>
    </row>
    <row r="71" spans="2:13" ht="15.2" customHeight="1" x14ac:dyDescent="0.45">
      <c r="B71" s="85" t="s">
        <v>909</v>
      </c>
      <c r="C71" s="85" t="s">
        <v>910</v>
      </c>
      <c r="D71" s="83"/>
      <c r="E71" s="83"/>
      <c r="F71" s="83"/>
      <c r="G71" s="83"/>
      <c r="H71" s="85" t="s">
        <v>911</v>
      </c>
      <c r="I71" s="83"/>
      <c r="J71" s="83"/>
      <c r="K71" s="85" t="s">
        <v>135</v>
      </c>
      <c r="L71" s="83"/>
      <c r="M71" s="83"/>
    </row>
    <row r="72" spans="2:13" ht="15.2" customHeight="1" x14ac:dyDescent="0.45">
      <c r="B72" s="85" t="s">
        <v>912</v>
      </c>
      <c r="C72" s="85" t="s">
        <v>913</v>
      </c>
      <c r="D72" s="83"/>
      <c r="E72" s="83"/>
      <c r="F72" s="83"/>
      <c r="G72" s="83"/>
      <c r="H72" s="85" t="s">
        <v>914</v>
      </c>
      <c r="I72" s="83"/>
      <c r="J72" s="83"/>
      <c r="K72" s="85" t="s">
        <v>915</v>
      </c>
      <c r="L72" s="83"/>
      <c r="M72" s="83"/>
    </row>
    <row r="73" spans="2:13" ht="15.2" customHeight="1" x14ac:dyDescent="0.45">
      <c r="B73" s="85" t="s">
        <v>916</v>
      </c>
      <c r="C73" s="85" t="s">
        <v>917</v>
      </c>
      <c r="D73" s="83"/>
      <c r="E73" s="83"/>
      <c r="F73" s="83"/>
      <c r="G73" s="83"/>
      <c r="H73" s="85" t="s">
        <v>918</v>
      </c>
      <c r="I73" s="83"/>
      <c r="J73" s="83"/>
      <c r="K73" s="85" t="s">
        <v>534</v>
      </c>
      <c r="L73" s="83"/>
      <c r="M73" s="83"/>
    </row>
    <row r="74" spans="2:13" ht="15.2" customHeight="1" x14ac:dyDescent="0.45">
      <c r="B74" s="85" t="s">
        <v>919</v>
      </c>
      <c r="C74" s="85" t="s">
        <v>920</v>
      </c>
      <c r="D74" s="83"/>
      <c r="E74" s="83"/>
      <c r="F74" s="83"/>
      <c r="G74" s="83"/>
      <c r="H74" s="85" t="s">
        <v>921</v>
      </c>
      <c r="I74" s="83"/>
      <c r="J74" s="83"/>
      <c r="K74" s="85" t="s">
        <v>922</v>
      </c>
      <c r="L74" s="83"/>
      <c r="M74" s="83"/>
    </row>
  </sheetData>
  <mergeCells count="56">
    <mergeCell ref="B74"/>
    <mergeCell ref="B30"/>
    <mergeCell ref="K31:M31"/>
    <mergeCell ref="H70:J70"/>
    <mergeCell ref="C74:G74"/>
    <mergeCell ref="H69:J69"/>
    <mergeCell ref="B25:M25"/>
    <mergeCell ref="C26:G26"/>
    <mergeCell ref="B38:M38"/>
    <mergeCell ref="C29:G29"/>
    <mergeCell ref="C73:G73"/>
    <mergeCell ref="K71:M71"/>
    <mergeCell ref="K73:M73"/>
    <mergeCell ref="B73"/>
    <mergeCell ref="H73:J73"/>
    <mergeCell ref="K72:M72"/>
    <mergeCell ref="C30:G30"/>
    <mergeCell ref="H27:J27"/>
    <mergeCell ref="C31:G31"/>
    <mergeCell ref="B72"/>
    <mergeCell ref="B68:M68"/>
    <mergeCell ref="B31"/>
    <mergeCell ref="B27"/>
    <mergeCell ref="B54:M54"/>
    <mergeCell ref="H74:J74"/>
    <mergeCell ref="K28:M28"/>
    <mergeCell ref="B70"/>
    <mergeCell ref="H30:J30"/>
    <mergeCell ref="C27:G27"/>
    <mergeCell ref="C71:G71"/>
    <mergeCell ref="K69:M69"/>
    <mergeCell ref="K74:M74"/>
    <mergeCell ref="C70:G70"/>
    <mergeCell ref="H29:J29"/>
    <mergeCell ref="K30:M30"/>
    <mergeCell ref="B47:M47"/>
    <mergeCell ref="H72:J72"/>
    <mergeCell ref="H28:J28"/>
    <mergeCell ref="K27:M27"/>
    <mergeCell ref="K70:M70"/>
    <mergeCell ref="B3:M3"/>
    <mergeCell ref="C72:G72"/>
    <mergeCell ref="B29"/>
    <mergeCell ref="C28:G28"/>
    <mergeCell ref="H31:J31"/>
    <mergeCell ref="B69"/>
    <mergeCell ref="B28"/>
    <mergeCell ref="K26:M26"/>
    <mergeCell ref="C69:G69"/>
    <mergeCell ref="K29:M29"/>
    <mergeCell ref="B6:M6"/>
    <mergeCell ref="B71"/>
    <mergeCell ref="H71:J71"/>
    <mergeCell ref="H26:J26"/>
    <mergeCell ref="B10:M10"/>
    <mergeCell ref="B26"/>
  </mergeCells>
  <conditionalFormatting sqref="B3:M3">
    <cfRule type="expression" dxfId="67" priority="1">
      <formula>Inputs_Edited=0</formula>
    </cfRule>
    <cfRule type="expression" dxfId="66" priority="2">
      <formula>Inputs_Edited&gt;0</formula>
    </cfRule>
  </conditionalFormatting>
  <pageMargins left="0.75" right="0.75" top="1" bottom="1" header="0.5" footer="0.5"/>
  <pageSetup fitToHeight="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2A36"/>
  </sheetPr>
  <dimension ref="A1:M46"/>
  <sheetViews>
    <sheetView showGridLines="0" workbookViewId="0"/>
  </sheetViews>
  <sheetFormatPr defaultRowHeight="14.25" x14ac:dyDescent="0.45"/>
  <cols>
    <col min="1" max="1" width="3" customWidth="1"/>
    <col min="2" max="2" width="12" customWidth="1"/>
    <col min="3" max="3" width="14" customWidth="1"/>
    <col min="4" max="14" width="13" customWidth="1"/>
  </cols>
  <sheetData>
    <row r="1" spans="1:13" ht="17.649999999999999" x14ac:dyDescent="0.5">
      <c r="A1" s="15" t="s">
        <v>36</v>
      </c>
      <c r="L1" s="37" t="s">
        <v>107</v>
      </c>
      <c r="M1" s="2" t="str">
        <f>""&amp;TB_Project</f>
        <v>D2 I-95 Pedestrian Bridge</v>
      </c>
    </row>
    <row r="2" spans="1:13" x14ac:dyDescent="0.45">
      <c r="A2" s="8" t="s">
        <v>923</v>
      </c>
      <c r="L2" s="37" t="s">
        <v>115</v>
      </c>
      <c r="M2" s="2" t="str">
        <f>""&amp;TB_JobNo</f>
        <v/>
      </c>
    </row>
    <row r="3" spans="1:13" x14ac:dyDescent="0.45">
      <c r="L3" s="37" t="s">
        <v>722</v>
      </c>
      <c r="M3" s="2" t="str">
        <f>TB_CalcBy&amp;"  "&amp;TB_CalcDate</f>
        <v xml:space="preserve">  </v>
      </c>
    </row>
    <row r="4" spans="1:13" x14ac:dyDescent="0.45">
      <c r="L4" s="37" t="s">
        <v>723</v>
      </c>
      <c r="M4" s="2" t="str">
        <f>TB_CheckBy&amp;"  "&amp;TB_CheckDate</f>
        <v xml:space="preserve">  </v>
      </c>
    </row>
    <row r="6" spans="1:13" x14ac:dyDescent="0.45">
      <c r="A6" s="17" t="s">
        <v>924</v>
      </c>
      <c r="B6" s="18"/>
      <c r="C6" s="18"/>
      <c r="D6" s="18"/>
      <c r="E6" s="18"/>
      <c r="F6" s="18"/>
      <c r="G6" s="18"/>
      <c r="H6" s="18"/>
      <c r="I6" s="18"/>
      <c r="J6" s="18"/>
      <c r="K6" s="18"/>
      <c r="L6" s="18"/>
    </row>
    <row r="7" spans="1:13" ht="32" customHeight="1" x14ac:dyDescent="0.45">
      <c r="B7" s="19" t="s">
        <v>840</v>
      </c>
      <c r="C7" s="19" t="s">
        <v>925</v>
      </c>
      <c r="D7" s="19" t="s">
        <v>926</v>
      </c>
      <c r="E7" s="19" t="s">
        <v>927</v>
      </c>
      <c r="F7" s="19" t="s">
        <v>928</v>
      </c>
      <c r="G7" s="19" t="s">
        <v>929</v>
      </c>
      <c r="H7" s="19" t="s">
        <v>930</v>
      </c>
      <c r="I7" s="19" t="s">
        <v>931</v>
      </c>
      <c r="J7" s="19" t="s">
        <v>932</v>
      </c>
    </row>
    <row r="8" spans="1:13" x14ac:dyDescent="0.45">
      <c r="B8" s="11">
        <v>1</v>
      </c>
      <c r="C8" s="54">
        <f>Sp1_C</f>
        <v>0.124592744006574</v>
      </c>
      <c r="D8" s="40">
        <f>Sp1_Lb</f>
        <v>105.47499999999991</v>
      </c>
      <c r="E8" s="49">
        <f>(Sp1_Bm0-Sp1_BrgA)/Sp1_Lb</f>
        <v>-7.1106897369044861E-3</v>
      </c>
      <c r="F8" s="49">
        <f>(Sp1_Bm1-Sp1_BrgA)/Sp1_Lb</f>
        <v>1.0071106897369044</v>
      </c>
      <c r="G8" s="55">
        <f>Prof_Kq*Sp1_Lb^2+Sp1_C/3</f>
        <v>4.1530914668857999E-2</v>
      </c>
      <c r="H8" s="55">
        <f>MAX(G8/4,G8*E8*(1-E8),G8*F8*(1-F8))</f>
        <v>1.03827286672145E-2</v>
      </c>
      <c r="I8" s="54">
        <f>MC1_Net</f>
        <v>0.124592744006574</v>
      </c>
      <c r="J8" s="56">
        <f>C8-I8</f>
        <v>0</v>
      </c>
    </row>
    <row r="9" spans="1:13" x14ac:dyDescent="0.45">
      <c r="B9" s="11">
        <v>2</v>
      </c>
      <c r="C9" s="54">
        <f>Sp2_C</f>
        <v>0.56717146305500721</v>
      </c>
      <c r="D9" s="40">
        <f>Sp2_Lb</f>
        <v>103.02500000000009</v>
      </c>
      <c r="E9" s="49">
        <f>(Sp2_Bm0-Sp2_BrgA)/Sp2_Lb</f>
        <v>-7.2797864595971788E-3</v>
      </c>
      <c r="F9" s="49">
        <f>(Sp2_Bm1-Sp2_BrgA)/Sp2_Lb</f>
        <v>1.0072797864595973</v>
      </c>
      <c r="G9" s="55">
        <f>Prof_Kq*Sp2_Lb^2+Sp2_C/3</f>
        <v>0.18905715435166906</v>
      </c>
      <c r="H9" s="55">
        <f>MAX(G9/4,G9*E9*(1-E9),G9*F9*(1-F9))</f>
        <v>4.7264288587917265E-2</v>
      </c>
      <c r="I9" s="54">
        <f>MC2_Net</f>
        <v>0.56717146305500721</v>
      </c>
      <c r="J9" s="56">
        <f>C9-I9</f>
        <v>0</v>
      </c>
    </row>
    <row r="11" spans="1:13" x14ac:dyDescent="0.45">
      <c r="A11" s="17" t="s">
        <v>933</v>
      </c>
      <c r="B11" s="18"/>
      <c r="C11" s="18"/>
      <c r="D11" s="18"/>
      <c r="E11" s="18"/>
      <c r="F11" s="18"/>
      <c r="G11" s="18"/>
      <c r="H11" s="18"/>
      <c r="I11" s="18"/>
      <c r="J11" s="18"/>
      <c r="K11" s="18"/>
      <c r="L11" s="18"/>
    </row>
    <row r="12" spans="1:13" ht="32" customHeight="1" x14ac:dyDescent="0.45">
      <c r="B12" s="19" t="s">
        <v>765</v>
      </c>
      <c r="C12" s="19" t="s">
        <v>775</v>
      </c>
      <c r="D12" s="19" t="s">
        <v>864</v>
      </c>
      <c r="E12" s="19" t="s">
        <v>934</v>
      </c>
      <c r="F12" s="19" t="s">
        <v>935</v>
      </c>
    </row>
    <row r="13" spans="1:13" x14ac:dyDescent="0.45">
      <c r="B13" s="11" t="s">
        <v>881</v>
      </c>
      <c r="C13" s="40">
        <f>Bm1_dMin</f>
        <v>-0.12583333333333335</v>
      </c>
      <c r="D13" s="2">
        <f>Bm1_Raise</f>
        <v>0</v>
      </c>
      <c r="E13" s="41">
        <f>C13-Deck_T-D13/12-Bm_D-Sp1_W</f>
        <v>-3.6362160620005479</v>
      </c>
      <c r="F13" s="51">
        <f>(E13+Sup_Drop)*12</f>
        <v>0.94257871904843249</v>
      </c>
    </row>
    <row r="14" spans="1:13" x14ac:dyDescent="0.45">
      <c r="B14" s="11" t="s">
        <v>882</v>
      </c>
      <c r="C14" s="40">
        <f>Bm2_dMin</f>
        <v>-0.12583333333333335</v>
      </c>
      <c r="D14" s="2">
        <f>Bm2_Raise</f>
        <v>0</v>
      </c>
      <c r="E14" s="41">
        <f>C14-Deck_T-D14/12-Bm_D-Sp1_W</f>
        <v>-3.6362160620005479</v>
      </c>
      <c r="F14" s="51">
        <f>(E14+Sup_Drop)*12</f>
        <v>0.94257871904843249</v>
      </c>
    </row>
    <row r="15" spans="1:13" x14ac:dyDescent="0.45">
      <c r="B15" s="11" t="s">
        <v>883</v>
      </c>
      <c r="C15" s="40">
        <f>Bm1_dMin</f>
        <v>-0.12583333333333335</v>
      </c>
      <c r="D15" s="2">
        <f>Bm1_Raise</f>
        <v>0</v>
      </c>
      <c r="E15" s="41">
        <f>C15-Deck_T-D15/12-Bm_D-Sp2_W</f>
        <v>-3.6730976219212508</v>
      </c>
      <c r="F15" s="51">
        <f>(E15+Sup_Drop)*12</f>
        <v>0.49999999999999822</v>
      </c>
    </row>
    <row r="16" spans="1:13" x14ac:dyDescent="0.45">
      <c r="B16" s="11" t="s">
        <v>884</v>
      </c>
      <c r="C16" s="40">
        <f>Bm2_dMin</f>
        <v>-0.12583333333333335</v>
      </c>
      <c r="D16" s="2">
        <f>Bm2_Raise</f>
        <v>0</v>
      </c>
      <c r="E16" s="41">
        <f>C16-Deck_T-D16/12-Bm_D-Sp2_W</f>
        <v>-3.6730976219212508</v>
      </c>
      <c r="F16" s="51">
        <f>(E16+Sup_Drop)*12</f>
        <v>0.49999999999999822</v>
      </c>
    </row>
    <row r="18" spans="1:13" x14ac:dyDescent="0.45">
      <c r="B18" s="7" t="s">
        <v>936</v>
      </c>
      <c r="E18" s="57">
        <f>Bm_Hmin/12-MIN(E13:E16)</f>
        <v>3.7147642885879173</v>
      </c>
      <c r="G18" s="8" t="s">
        <v>937</v>
      </c>
    </row>
    <row r="19" spans="1:13" x14ac:dyDescent="0.45">
      <c r="B19" s="7" t="s">
        <v>938</v>
      </c>
      <c r="E19" s="58">
        <f>MIN(F13:F16)</f>
        <v>0.49999999999999822</v>
      </c>
      <c r="F19" s="42" t="str">
        <f>IF(E19&gt;=Bm_Hmin-0.00000001,"PASS","FAIL")</f>
        <v>PASS</v>
      </c>
    </row>
    <row r="21" spans="1:13" x14ac:dyDescent="0.45">
      <c r="A21" s="17" t="s">
        <v>939</v>
      </c>
      <c r="B21" s="18"/>
      <c r="C21" s="18"/>
      <c r="D21" s="18"/>
      <c r="E21" s="18"/>
      <c r="F21" s="18"/>
      <c r="G21" s="18"/>
      <c r="H21" s="18"/>
      <c r="I21" s="18"/>
      <c r="J21" s="18"/>
      <c r="K21" s="18"/>
      <c r="L21" s="18"/>
      <c r="M21" s="18"/>
    </row>
    <row r="22" spans="1:13" ht="32" customHeight="1" x14ac:dyDescent="0.45">
      <c r="B22" s="19" t="s">
        <v>765</v>
      </c>
      <c r="C22" s="19" t="s">
        <v>940</v>
      </c>
      <c r="D22" s="19" t="s">
        <v>941</v>
      </c>
      <c r="E22" s="19" t="s">
        <v>942</v>
      </c>
      <c r="F22" s="19" t="s">
        <v>748</v>
      </c>
      <c r="G22" s="19" t="s">
        <v>943</v>
      </c>
      <c r="H22" s="19" t="s">
        <v>944</v>
      </c>
      <c r="I22" s="19" t="s">
        <v>945</v>
      </c>
      <c r="J22" s="19" t="s">
        <v>946</v>
      </c>
      <c r="K22" s="19" t="s">
        <v>947</v>
      </c>
      <c r="L22" s="19" t="s">
        <v>948</v>
      </c>
      <c r="M22" s="19" t="s">
        <v>935</v>
      </c>
    </row>
    <row r="23" spans="1:13" x14ac:dyDescent="0.45">
      <c r="B23" s="11" t="s">
        <v>881</v>
      </c>
      <c r="C23" s="11" t="s">
        <v>949</v>
      </c>
      <c r="D23" s="40">
        <f>Sp1_BrgA</f>
        <v>1594.22</v>
      </c>
      <c r="E23" s="49">
        <f t="shared" ref="E23:E28" si="0">(D23-Sp1_BrgA)/Sp1_Lb</f>
        <v>0</v>
      </c>
      <c r="F23" s="41">
        <f t="shared" ref="F23:F34" si="1">IF(Prof_Mode="parabolic",Prof_Z0+Prof_G1*((D23)-Prof_Sta0)+Prof_Kq*((D23)-Prof_Sta0)^2,IF((D23)&lt;=Prof_PISta,Prof_Z0+Prof_G1*((D23)-Prof_Sta0),Prof_PIZ+Prof_G2*((D23)-Prof_PISta)))</f>
        <v>47.665998835584539</v>
      </c>
      <c r="G23" s="41">
        <f t="shared" ref="G23:G28" si="2">Sp1_ZA+(Sp1_ZB-Sp1_ZA)*E23</f>
        <v>47.665998835584539</v>
      </c>
      <c r="H23" s="49">
        <f t="shared" ref="H23:H28" si="3">Sp1_C/3*E23*(1-E23)</f>
        <v>0</v>
      </c>
      <c r="I23" s="41">
        <f>G23-Sup_Drop+H23+Bm1_Raise/12</f>
        <v>43.951234546996623</v>
      </c>
      <c r="J23" s="41">
        <f t="shared" ref="J23:J34" si="4">I23+Bm_D</f>
        <v>46.951234546996623</v>
      </c>
      <c r="K23" s="41">
        <f>F23+Bm1_dCL</f>
        <v>47.580165502251205</v>
      </c>
      <c r="L23" s="51">
        <f t="shared" ref="L23:L34" si="5">(K23-Deck_T-J23)*12</f>
        <v>1.5471714630549798</v>
      </c>
      <c r="M23" s="51">
        <f>(F23+Bm1_dMin-Deck_T-J23)*12</f>
        <v>1.06717146305499</v>
      </c>
    </row>
    <row r="24" spans="1:13" x14ac:dyDescent="0.45">
      <c r="B24" s="11" t="s">
        <v>881</v>
      </c>
      <c r="C24" s="11" t="s">
        <v>950</v>
      </c>
      <c r="D24" s="40">
        <f>Sp1_Mid</f>
        <v>1646.9575</v>
      </c>
      <c r="E24" s="49">
        <f t="shared" si="0"/>
        <v>0.5</v>
      </c>
      <c r="F24" s="41">
        <f t="shared" si="1"/>
        <v>47.929624927224033</v>
      </c>
      <c r="G24" s="41">
        <f t="shared" si="2"/>
        <v>47.92962492722404</v>
      </c>
      <c r="H24" s="49">
        <f t="shared" si="3"/>
        <v>1.03827286672145E-2</v>
      </c>
      <c r="I24" s="41">
        <f>G24-Sup_Drop+H24+Bm1_Raise/12</f>
        <v>44.225243367303342</v>
      </c>
      <c r="J24" s="41">
        <f t="shared" si="4"/>
        <v>47.225243367303342</v>
      </c>
      <c r="K24" s="41">
        <f>F24+Bm1_dCL</f>
        <v>47.8437915938907</v>
      </c>
      <c r="L24" s="51">
        <f t="shared" si="5"/>
        <v>1.422578719048289</v>
      </c>
      <c r="M24" s="51">
        <f>(F24+Bm1_dMin-Deck_T-J24)*12</f>
        <v>0.94257871904829926</v>
      </c>
    </row>
    <row r="25" spans="1:13" x14ac:dyDescent="0.45">
      <c r="B25" s="11" t="s">
        <v>881</v>
      </c>
      <c r="C25" s="11" t="s">
        <v>951</v>
      </c>
      <c r="D25" s="40">
        <f>Sp1_BrgB</f>
        <v>1699.6949999999999</v>
      </c>
      <c r="E25" s="49">
        <f t="shared" si="0"/>
        <v>1</v>
      </c>
      <c r="F25" s="41">
        <f t="shared" si="1"/>
        <v>48.193251018863535</v>
      </c>
      <c r="G25" s="41">
        <f t="shared" si="2"/>
        <v>48.193251018863535</v>
      </c>
      <c r="H25" s="49">
        <f t="shared" si="3"/>
        <v>0</v>
      </c>
      <c r="I25" s="41">
        <f>G25-Sup_Drop+H25+Bm1_Raise/12</f>
        <v>44.47848673027562</v>
      </c>
      <c r="J25" s="41">
        <f t="shared" si="4"/>
        <v>47.47848673027562</v>
      </c>
      <c r="K25" s="41">
        <f>F25+Bm1_dCL</f>
        <v>48.107417685530201</v>
      </c>
      <c r="L25" s="51">
        <f t="shared" si="5"/>
        <v>1.5471714630549798</v>
      </c>
      <c r="M25" s="51">
        <f>(F25+Bm1_dMin-Deck_T-J25)*12</f>
        <v>1.06717146305499</v>
      </c>
    </row>
    <row r="26" spans="1:13" x14ac:dyDescent="0.45">
      <c r="B26" s="11" t="s">
        <v>882</v>
      </c>
      <c r="C26" s="11" t="s">
        <v>949</v>
      </c>
      <c r="D26" s="40">
        <f>Sp1_BrgA</f>
        <v>1594.22</v>
      </c>
      <c r="E26" s="49">
        <f t="shared" si="0"/>
        <v>0</v>
      </c>
      <c r="F26" s="41">
        <f t="shared" si="1"/>
        <v>47.665998835584539</v>
      </c>
      <c r="G26" s="41">
        <f t="shared" si="2"/>
        <v>47.665998835584539</v>
      </c>
      <c r="H26" s="49">
        <f t="shared" si="3"/>
        <v>0</v>
      </c>
      <c r="I26" s="41">
        <f>G26-Sup_Drop+H26+Bm2_Raise/12</f>
        <v>43.951234546996623</v>
      </c>
      <c r="J26" s="41">
        <f t="shared" si="4"/>
        <v>46.951234546996623</v>
      </c>
      <c r="K26" s="41">
        <f>F26+Bm2_dCL</f>
        <v>47.580165502251205</v>
      </c>
      <c r="L26" s="51">
        <f t="shared" si="5"/>
        <v>1.5471714630549798</v>
      </c>
      <c r="M26" s="51">
        <f>(F26+Bm2_dMin-Deck_T-J26)*12</f>
        <v>1.06717146305499</v>
      </c>
    </row>
    <row r="27" spans="1:13" x14ac:dyDescent="0.45">
      <c r="B27" s="11" t="s">
        <v>882</v>
      </c>
      <c r="C27" s="11" t="s">
        <v>950</v>
      </c>
      <c r="D27" s="40">
        <f>Sp1_Mid</f>
        <v>1646.9575</v>
      </c>
      <c r="E27" s="49">
        <f t="shared" si="0"/>
        <v>0.5</v>
      </c>
      <c r="F27" s="41">
        <f t="shared" si="1"/>
        <v>47.929624927224033</v>
      </c>
      <c r="G27" s="41">
        <f t="shared" si="2"/>
        <v>47.92962492722404</v>
      </c>
      <c r="H27" s="49">
        <f t="shared" si="3"/>
        <v>1.03827286672145E-2</v>
      </c>
      <c r="I27" s="41">
        <f>G27-Sup_Drop+H27+Bm2_Raise/12</f>
        <v>44.225243367303342</v>
      </c>
      <c r="J27" s="41">
        <f t="shared" si="4"/>
        <v>47.225243367303342</v>
      </c>
      <c r="K27" s="41">
        <f>F27+Bm2_dCL</f>
        <v>47.8437915938907</v>
      </c>
      <c r="L27" s="51">
        <f t="shared" si="5"/>
        <v>1.422578719048289</v>
      </c>
      <c r="M27" s="51">
        <f>(F27+Bm2_dMin-Deck_T-J27)*12</f>
        <v>0.94257871904829926</v>
      </c>
    </row>
    <row r="28" spans="1:13" x14ac:dyDescent="0.45">
      <c r="B28" s="11" t="s">
        <v>882</v>
      </c>
      <c r="C28" s="11" t="s">
        <v>951</v>
      </c>
      <c r="D28" s="40">
        <f>Sp1_BrgB</f>
        <v>1699.6949999999999</v>
      </c>
      <c r="E28" s="49">
        <f t="shared" si="0"/>
        <v>1</v>
      </c>
      <c r="F28" s="41">
        <f t="shared" si="1"/>
        <v>48.193251018863535</v>
      </c>
      <c r="G28" s="41">
        <f t="shared" si="2"/>
        <v>48.193251018863535</v>
      </c>
      <c r="H28" s="49">
        <f t="shared" si="3"/>
        <v>0</v>
      </c>
      <c r="I28" s="41">
        <f>G28-Sup_Drop+H28+Bm2_Raise/12</f>
        <v>44.47848673027562</v>
      </c>
      <c r="J28" s="41">
        <f t="shared" si="4"/>
        <v>47.47848673027562</v>
      </c>
      <c r="K28" s="41">
        <f>F28+Bm2_dCL</f>
        <v>48.107417685530201</v>
      </c>
      <c r="L28" s="51">
        <f t="shared" si="5"/>
        <v>1.5471714630549798</v>
      </c>
      <c r="M28" s="51">
        <f>(F28+Bm2_dMin-Deck_T-J28)*12</f>
        <v>1.06717146305499</v>
      </c>
    </row>
    <row r="29" spans="1:13" x14ac:dyDescent="0.45">
      <c r="B29" s="11" t="s">
        <v>883</v>
      </c>
      <c r="C29" s="11" t="s">
        <v>949</v>
      </c>
      <c r="D29" s="40">
        <f>Sp2_BrgA</f>
        <v>1701.4449999999999</v>
      </c>
      <c r="E29" s="49">
        <f t="shared" ref="E29:E34" si="6">(D29-Sp2_BrgA)/Sp2_Lb</f>
        <v>0</v>
      </c>
      <c r="F29" s="41">
        <f t="shared" si="1"/>
        <v>48.193248957340323</v>
      </c>
      <c r="G29" s="41">
        <f t="shared" ref="G29:G34" si="7">Sp2_ZA+(Sp2_ZB-Sp2_ZA)*E29</f>
        <v>48.193248957340323</v>
      </c>
      <c r="H29" s="49">
        <f t="shared" ref="H29:H34" si="8">Sp2_C/3*E29*(1-E29)</f>
        <v>0</v>
      </c>
      <c r="I29" s="41">
        <f>G29-Sup_Drop+H29+Bm1_Raise/12</f>
        <v>44.478484668752408</v>
      </c>
      <c r="J29" s="41">
        <f t="shared" si="4"/>
        <v>47.478484668752408</v>
      </c>
      <c r="K29" s="41">
        <f>F29+Bm1_dCL</f>
        <v>48.10741562400699</v>
      </c>
      <c r="L29" s="51">
        <f t="shared" si="5"/>
        <v>1.5471714630549798</v>
      </c>
      <c r="M29" s="51">
        <f>(F29+Bm1_dMin-Deck_T-J29)*12</f>
        <v>1.06717146305499</v>
      </c>
    </row>
    <row r="30" spans="1:13" x14ac:dyDescent="0.45">
      <c r="B30" s="11" t="s">
        <v>883</v>
      </c>
      <c r="C30" s="11" t="s">
        <v>950</v>
      </c>
      <c r="D30" s="40">
        <f>Sp2_Mid</f>
        <v>1752.9575</v>
      </c>
      <c r="E30" s="49">
        <f t="shared" si="6"/>
        <v>0.5</v>
      </c>
      <c r="F30" s="41">
        <f t="shared" si="1"/>
        <v>47.935625074475695</v>
      </c>
      <c r="G30" s="41">
        <f t="shared" si="7"/>
        <v>47.935625074475695</v>
      </c>
      <c r="H30" s="49">
        <f t="shared" si="8"/>
        <v>4.7264288587917265E-2</v>
      </c>
      <c r="I30" s="41">
        <f>G30-Sup_Drop+H30+Bm1_Raise/12</f>
        <v>44.268125074475698</v>
      </c>
      <c r="J30" s="41">
        <f t="shared" si="4"/>
        <v>47.268125074475698</v>
      </c>
      <c r="K30" s="41">
        <f>F30+Bm1_dCL</f>
        <v>47.849791741142361</v>
      </c>
      <c r="L30" s="51">
        <f t="shared" si="5"/>
        <v>0.97999999999996135</v>
      </c>
      <c r="M30" s="51">
        <f>(F30+Bm1_dMin-Deck_T-J30)*12</f>
        <v>0.49999999999997158</v>
      </c>
    </row>
    <row r="31" spans="1:13" x14ac:dyDescent="0.45">
      <c r="B31" s="11" t="s">
        <v>883</v>
      </c>
      <c r="C31" s="11" t="s">
        <v>951</v>
      </c>
      <c r="D31" s="40">
        <f>Sp2_BrgB</f>
        <v>1804.47</v>
      </c>
      <c r="E31" s="49">
        <f t="shared" si="6"/>
        <v>1</v>
      </c>
      <c r="F31" s="41">
        <f t="shared" si="1"/>
        <v>47.67800119161106</v>
      </c>
      <c r="G31" s="41">
        <f t="shared" si="7"/>
        <v>47.67800119161106</v>
      </c>
      <c r="H31" s="49">
        <f t="shared" si="8"/>
        <v>0</v>
      </c>
      <c r="I31" s="41">
        <f>G31-Sup_Drop+H31+Bm1_Raise/12</f>
        <v>43.963236903023144</v>
      </c>
      <c r="J31" s="41">
        <f t="shared" si="4"/>
        <v>46.963236903023144</v>
      </c>
      <c r="K31" s="41">
        <f>F31+Bm1_dCL</f>
        <v>47.592167858277726</v>
      </c>
      <c r="L31" s="51">
        <f t="shared" si="5"/>
        <v>1.5471714630549798</v>
      </c>
      <c r="M31" s="51">
        <f>(F31+Bm1_dMin-Deck_T-J31)*12</f>
        <v>1.06717146305499</v>
      </c>
    </row>
    <row r="32" spans="1:13" x14ac:dyDescent="0.45">
      <c r="B32" s="11" t="s">
        <v>884</v>
      </c>
      <c r="C32" s="11" t="s">
        <v>949</v>
      </c>
      <c r="D32" s="40">
        <f>Sp2_BrgA</f>
        <v>1701.4449999999999</v>
      </c>
      <c r="E32" s="49">
        <f t="shared" si="6"/>
        <v>0</v>
      </c>
      <c r="F32" s="41">
        <f t="shared" si="1"/>
        <v>48.193248957340323</v>
      </c>
      <c r="G32" s="41">
        <f t="shared" si="7"/>
        <v>48.193248957340323</v>
      </c>
      <c r="H32" s="49">
        <f t="shared" si="8"/>
        <v>0</v>
      </c>
      <c r="I32" s="41">
        <f>G32-Sup_Drop+H32+Bm2_Raise/12</f>
        <v>44.478484668752408</v>
      </c>
      <c r="J32" s="41">
        <f t="shared" si="4"/>
        <v>47.478484668752408</v>
      </c>
      <c r="K32" s="41">
        <f>F32+Bm2_dCL</f>
        <v>48.10741562400699</v>
      </c>
      <c r="L32" s="51">
        <f t="shared" si="5"/>
        <v>1.5471714630549798</v>
      </c>
      <c r="M32" s="51">
        <f>(F32+Bm2_dMin-Deck_T-J32)*12</f>
        <v>1.06717146305499</v>
      </c>
    </row>
    <row r="33" spans="1:13" x14ac:dyDescent="0.45">
      <c r="B33" s="11" t="s">
        <v>884</v>
      </c>
      <c r="C33" s="11" t="s">
        <v>950</v>
      </c>
      <c r="D33" s="40">
        <f>Sp2_Mid</f>
        <v>1752.9575</v>
      </c>
      <c r="E33" s="49">
        <f t="shared" si="6"/>
        <v>0.5</v>
      </c>
      <c r="F33" s="41">
        <f t="shared" si="1"/>
        <v>47.935625074475695</v>
      </c>
      <c r="G33" s="41">
        <f t="shared" si="7"/>
        <v>47.935625074475695</v>
      </c>
      <c r="H33" s="49">
        <f t="shared" si="8"/>
        <v>4.7264288587917265E-2</v>
      </c>
      <c r="I33" s="41">
        <f>G33-Sup_Drop+H33+Bm2_Raise/12</f>
        <v>44.268125074475698</v>
      </c>
      <c r="J33" s="41">
        <f t="shared" si="4"/>
        <v>47.268125074475698</v>
      </c>
      <c r="K33" s="41">
        <f>F33+Bm2_dCL</f>
        <v>47.849791741142361</v>
      </c>
      <c r="L33" s="51">
        <f t="shared" si="5"/>
        <v>0.97999999999996135</v>
      </c>
      <c r="M33" s="51">
        <f>(F33+Bm2_dMin-Deck_T-J33)*12</f>
        <v>0.49999999999997158</v>
      </c>
    </row>
    <row r="34" spans="1:13" x14ac:dyDescent="0.45">
      <c r="B34" s="11" t="s">
        <v>884</v>
      </c>
      <c r="C34" s="11" t="s">
        <v>951</v>
      </c>
      <c r="D34" s="40">
        <f>Sp2_BrgB</f>
        <v>1804.47</v>
      </c>
      <c r="E34" s="49">
        <f t="shared" si="6"/>
        <v>1</v>
      </c>
      <c r="F34" s="41">
        <f t="shared" si="1"/>
        <v>47.67800119161106</v>
      </c>
      <c r="G34" s="41">
        <f t="shared" si="7"/>
        <v>47.67800119161106</v>
      </c>
      <c r="H34" s="49">
        <f t="shared" si="8"/>
        <v>0</v>
      </c>
      <c r="I34" s="41">
        <f>G34-Sup_Drop+H34+Bm2_Raise/12</f>
        <v>43.963236903023144</v>
      </c>
      <c r="J34" s="41">
        <f t="shared" si="4"/>
        <v>46.963236903023144</v>
      </c>
      <c r="K34" s="41">
        <f>F34+Bm2_dCL</f>
        <v>47.592167858277726</v>
      </c>
      <c r="L34" s="51">
        <f t="shared" si="5"/>
        <v>1.5471714630549798</v>
      </c>
      <c r="M34" s="51">
        <f>(F34+Bm2_dMin-Deck_T-J34)*12</f>
        <v>1.06717146305499</v>
      </c>
    </row>
    <row r="36" spans="1:13" x14ac:dyDescent="0.45">
      <c r="A36" s="17" t="s">
        <v>952</v>
      </c>
      <c r="B36" s="18"/>
      <c r="C36" s="18"/>
      <c r="D36" s="18"/>
      <c r="E36" s="18"/>
      <c r="F36" s="18"/>
      <c r="G36" s="18"/>
      <c r="H36" s="18"/>
      <c r="I36" s="18"/>
      <c r="J36" s="18"/>
      <c r="K36" s="18"/>
      <c r="L36" s="18"/>
    </row>
    <row r="37" spans="1:13" ht="32" customHeight="1" x14ac:dyDescent="0.45">
      <c r="B37" s="19" t="s">
        <v>765</v>
      </c>
      <c r="C37" s="19" t="s">
        <v>953</v>
      </c>
      <c r="D37" s="19" t="s">
        <v>954</v>
      </c>
      <c r="E37" s="19" t="s">
        <v>955</v>
      </c>
      <c r="F37" s="19" t="s">
        <v>956</v>
      </c>
      <c r="G37" s="19" t="s">
        <v>957</v>
      </c>
      <c r="H37" s="19" t="s">
        <v>958</v>
      </c>
    </row>
    <row r="38" spans="1:13" x14ac:dyDescent="0.45">
      <c r="B38" s="11" t="s">
        <v>881</v>
      </c>
      <c r="C38" s="51">
        <f>L23</f>
        <v>1.5471714630549798</v>
      </c>
      <c r="D38" s="51">
        <f>L24</f>
        <v>1.422578719048289</v>
      </c>
      <c r="E38" s="51">
        <f>L25</f>
        <v>1.5471714630549798</v>
      </c>
      <c r="F38" s="49">
        <f>(K24-(K23+K25)/2)*12</f>
        <v>0</v>
      </c>
      <c r="G38" s="59">
        <f>Sp1_C</f>
        <v>0.124592744006574</v>
      </c>
      <c r="H38" s="11" t="str">
        <f>IF(ROUND(F38,6)&lt;0,"Case 2",IF(ROUND(F38,6)&gt;G38,"Case 4",IF(ROUND(F38,6)&gt;0,"Case 3","Case 1")))</f>
        <v>Case 1</v>
      </c>
    </row>
    <row r="39" spans="1:13" x14ac:dyDescent="0.45">
      <c r="B39" s="11" t="s">
        <v>882</v>
      </c>
      <c r="C39" s="51">
        <f>L26</f>
        <v>1.5471714630549798</v>
      </c>
      <c r="D39" s="51">
        <f>L27</f>
        <v>1.422578719048289</v>
      </c>
      <c r="E39" s="51">
        <f>L28</f>
        <v>1.5471714630549798</v>
      </c>
      <c r="F39" s="49">
        <f>(K27-(K26+K28)/2)*12</f>
        <v>0</v>
      </c>
      <c r="G39" s="59">
        <f>Sp1_C</f>
        <v>0.124592744006574</v>
      </c>
      <c r="H39" s="11" t="str">
        <f>IF(ROUND(F39,6)&lt;0,"Case 2",IF(ROUND(F39,6)&gt;G39,"Case 4",IF(ROUND(F39,6)&gt;0,"Case 3","Case 1")))</f>
        <v>Case 1</v>
      </c>
    </row>
    <row r="40" spans="1:13" x14ac:dyDescent="0.45">
      <c r="B40" s="11" t="s">
        <v>883</v>
      </c>
      <c r="C40" s="51">
        <f>L29</f>
        <v>1.5471714630549798</v>
      </c>
      <c r="D40" s="51">
        <f>L30</f>
        <v>0.97999999999996135</v>
      </c>
      <c r="E40" s="51">
        <f>L31</f>
        <v>1.5471714630549798</v>
      </c>
      <c r="F40" s="49">
        <f>(K30-(K29+K31)/2)*12</f>
        <v>8.5265128291212022E-14</v>
      </c>
      <c r="G40" s="59">
        <f>Sp2_C</f>
        <v>0.56717146305500721</v>
      </c>
      <c r="H40" s="11" t="str">
        <f>IF(ROUND(F40,6)&lt;0,"Case 2",IF(ROUND(F40,6)&gt;G40,"Case 4",IF(ROUND(F40,6)&gt;0,"Case 3","Case 1")))</f>
        <v>Case 1</v>
      </c>
    </row>
    <row r="41" spans="1:13" x14ac:dyDescent="0.45">
      <c r="B41" s="11" t="s">
        <v>884</v>
      </c>
      <c r="C41" s="51">
        <f>L32</f>
        <v>1.5471714630549798</v>
      </c>
      <c r="D41" s="51">
        <f>L33</f>
        <v>0.97999999999996135</v>
      </c>
      <c r="E41" s="51">
        <f>L34</f>
        <v>1.5471714630549798</v>
      </c>
      <c r="F41" s="49">
        <f>(K33-(K32+K34)/2)*12</f>
        <v>8.5265128291212022E-14</v>
      </c>
      <c r="G41" s="59">
        <f>Sp2_C</f>
        <v>0.56717146305500721</v>
      </c>
      <c r="H41" s="11" t="str">
        <f>IF(ROUND(F41,6)&lt;0,"Case 2",IF(ROUND(F41,6)&gt;G41,"Case 4",IF(ROUND(F41,6)&gt;0,"Case 3","Case 1")))</f>
        <v>Case 1</v>
      </c>
    </row>
    <row r="43" spans="1:13" x14ac:dyDescent="0.45">
      <c r="A43" s="17" t="s">
        <v>959</v>
      </c>
      <c r="B43" s="18"/>
      <c r="C43" s="18"/>
      <c r="D43" s="18"/>
      <c r="E43" s="18"/>
      <c r="F43" s="18"/>
      <c r="G43" s="18"/>
      <c r="H43" s="18"/>
      <c r="I43" s="18"/>
      <c r="J43" s="18"/>
      <c r="K43" s="18"/>
      <c r="L43" s="18"/>
    </row>
    <row r="44" spans="1:13" ht="32" customHeight="1" x14ac:dyDescent="0.45">
      <c r="B44" s="19" t="s">
        <v>840</v>
      </c>
      <c r="C44" s="19" t="s">
        <v>960</v>
      </c>
      <c r="D44" s="19" t="s">
        <v>961</v>
      </c>
      <c r="E44" s="19" t="s">
        <v>962</v>
      </c>
      <c r="F44" s="19" t="s">
        <v>963</v>
      </c>
      <c r="G44" s="19" t="s">
        <v>964</v>
      </c>
      <c r="H44" s="19" t="s">
        <v>965</v>
      </c>
      <c r="I44" s="19" t="s">
        <v>966</v>
      </c>
      <c r="J44" s="19" t="s">
        <v>967</v>
      </c>
    </row>
    <row r="45" spans="1:13" x14ac:dyDescent="0.45">
      <c r="B45" s="11">
        <v>1</v>
      </c>
      <c r="C45" s="40">
        <f>MC1_Drel</f>
        <v>1.3711621824106019</v>
      </c>
      <c r="D45" s="40">
        <f>MC1_D120</f>
        <v>3.3554492587274489</v>
      </c>
      <c r="E45" s="40">
        <f>MC1_Dnc</f>
        <v>-2.4716060425989741</v>
      </c>
      <c r="F45" s="40">
        <f>MC1_Dc</f>
        <v>-0.75925047212190155</v>
      </c>
      <c r="G45" s="49">
        <f>D45+E45+F45</f>
        <v>0.12459274400657327</v>
      </c>
      <c r="H45" s="54">
        <f>MC1_Net</f>
        <v>0.124592744006574</v>
      </c>
      <c r="I45" s="54">
        <f>Sp1_C</f>
        <v>0.124592744006574</v>
      </c>
      <c r="J45" s="42" t="str">
        <f>IF(AND(ABS(G45-H45)&lt;0.000000001,ABS(H45-I45)&lt;0.000000001),"PASS","FAIL")</f>
        <v>PASS</v>
      </c>
    </row>
    <row r="46" spans="1:13" x14ac:dyDescent="0.45">
      <c r="B46" s="11">
        <v>2</v>
      </c>
      <c r="C46" s="40">
        <f>MC2_Drel</f>
        <v>1.4647225816175331</v>
      </c>
      <c r="D46" s="40">
        <f>MC2_D120</f>
        <v>3.5081217611761781</v>
      </c>
      <c r="E46" s="40">
        <f>MC2_Dnc</f>
        <v>-2.2498277075689281</v>
      </c>
      <c r="F46" s="40">
        <f>MC2_Dc</f>
        <v>-0.6911225905522429</v>
      </c>
      <c r="G46" s="49">
        <f>D46+E46+F46</f>
        <v>0.5671714630550071</v>
      </c>
      <c r="H46" s="54">
        <f>MC2_Net</f>
        <v>0.56717146305500721</v>
      </c>
      <c r="I46" s="54">
        <f>Sp2_C</f>
        <v>0.56717146305500721</v>
      </c>
      <c r="J46" s="42" t="str">
        <f>IF(AND(ABS(G46-H46)&lt;0.000000001,ABS(H46-I46)&lt;0.000000001),"PASS","FAIL")</f>
        <v>PASS</v>
      </c>
    </row>
  </sheetData>
  <conditionalFormatting sqref="F19">
    <cfRule type="cellIs" dxfId="65" priority="1" operator="equal">
      <formula>"PASS"</formula>
    </cfRule>
    <cfRule type="cellIs" dxfId="64" priority="2" operator="equal">
      <formula>"FAIL"</formula>
    </cfRule>
    <cfRule type="cellIs" dxfId="63" priority="3" operator="equal">
      <formula>"CHECK"</formula>
    </cfRule>
  </conditionalFormatting>
  <conditionalFormatting sqref="J45:J46">
    <cfRule type="cellIs" dxfId="62" priority="4" operator="equal">
      <formula>"PASS"</formula>
    </cfRule>
    <cfRule type="cellIs" dxfId="61" priority="5" operator="equal">
      <formula>"FAIL"</formula>
    </cfRule>
    <cfRule type="cellIs" dxfId="60" priority="6" operator="equal">
      <formula>"CHECK"</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A96A3"/>
    <pageSetUpPr fitToPage="1"/>
  </sheetPr>
  <dimension ref="B1:S231"/>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968</v>
      </c>
      <c r="P1" s="43" t="s">
        <v>785</v>
      </c>
    </row>
    <row r="2" spans="2:19" x14ac:dyDescent="0.45">
      <c r="B2" s="8" t="s">
        <v>969</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970</v>
      </c>
    </row>
    <row r="5" spans="2:19" ht="18" customHeight="1" x14ac:dyDescent="0.45">
      <c r="B5" s="36" t="s">
        <v>971</v>
      </c>
      <c r="C5" s="18"/>
      <c r="D5" s="18"/>
      <c r="E5" s="18"/>
      <c r="F5" s="18"/>
      <c r="G5" s="18"/>
      <c r="H5" s="18"/>
      <c r="I5" s="18"/>
      <c r="J5" s="18"/>
      <c r="K5" s="18"/>
      <c r="L5" s="18"/>
      <c r="M5" s="18"/>
      <c r="P5" s="46" t="s">
        <v>790</v>
      </c>
      <c r="Q5" s="46" t="s">
        <v>791</v>
      </c>
      <c r="R5" s="46" t="s">
        <v>792</v>
      </c>
      <c r="S5" s="46" t="s">
        <v>793</v>
      </c>
    </row>
    <row r="6" spans="2:19" ht="29.45" customHeight="1" x14ac:dyDescent="0.45">
      <c r="B6" s="85" t="s">
        <v>972</v>
      </c>
      <c r="C6" s="83"/>
      <c r="D6" s="83"/>
      <c r="E6" s="83"/>
      <c r="F6" s="83"/>
      <c r="G6" s="83"/>
      <c r="H6" s="83"/>
      <c r="I6" s="83"/>
      <c r="J6" s="83"/>
      <c r="K6" s="83"/>
      <c r="L6" s="83"/>
      <c r="M6" s="83"/>
      <c r="P6" s="44" t="s">
        <v>973</v>
      </c>
      <c r="Q6" s="44">
        <f>40</f>
        <v>40</v>
      </c>
    </row>
    <row r="7" spans="2:19" ht="15" customHeight="1" x14ac:dyDescent="0.45">
      <c r="P7" s="44" t="s">
        <v>974</v>
      </c>
      <c r="Q7" s="47">
        <f>Sp2_Bm0+0/40*(Sp2_Bm1-Sp2_Bm0)</f>
        <v>1700.6949999999999</v>
      </c>
      <c r="R7" s="47">
        <f>((IF(Prof_Mode="parabolic",Prof_Z0+Prof_G1*(($Q$7)-Prof_Sta0)+Prof_Kq*(($Q$7)-Prof_Sta0)^2,IF(($Q$7)&lt;=Prof_PISta,Prof_Z0+Prof_G1*(($Q$7)-Prof_Sta0),Prof_PIZ+Prof_G2*(($Q$7)-Prof_PISta)))+Bm1_dCL-Deck_T)-((Sp2_ZA+(Sp2_ZB-Sp2_ZA)*(($Q$7)-Sp2_BrgA)/Sp2_Lb)-Sup_Drop+Bm_D+Bm1_Raise/12))*$Q$6</f>
        <v>5.1572382101832659</v>
      </c>
    </row>
    <row r="8" spans="2:19" ht="15" customHeight="1" x14ac:dyDescent="0.45">
      <c r="Q8" s="47">
        <f>Sp2_Bm0+1/40*(Sp2_Bm1-Sp2_Bm0)</f>
        <v>1703.308125</v>
      </c>
      <c r="R8" s="47">
        <f>((IF(Prof_Mode="parabolic",Prof_Z0+Prof_G1*(($Q$8)-Prof_Sta0)+Prof_Kq*(($Q$8)-Prof_Sta0)^2,IF(($Q$8)&lt;=Prof_PISta,Prof_Z0+Prof_G1*(($Q$8)-Prof_Sta0),Prof_PIZ+Prof_G2*(($Q$8)-Prof_PISta)))+Bm1_dCL-Deck_T)-((Sp2_ZA+(Sp2_ZB-Sp2_ZA)*(($Q$8)-Sp2_BrgA)/Sp2_Lb)-Sup_Drop+Bm_D+Bm1_Raise/12))*$Q$6</f>
        <v>5.1572382101832659</v>
      </c>
    </row>
    <row r="9" spans="2:19" ht="15" customHeight="1" x14ac:dyDescent="0.45">
      <c r="Q9" s="47">
        <f>Sp2_Bm0+2/40*(Sp2_Bm1-Sp2_Bm0)</f>
        <v>1705.9212499999999</v>
      </c>
      <c r="R9" s="47">
        <f>((IF(Prof_Mode="parabolic",Prof_Z0+Prof_G1*(($Q$9)-Prof_Sta0)+Prof_Kq*(($Q$9)-Prof_Sta0)^2,IF(($Q$9)&lt;=Prof_PISta,Prof_Z0+Prof_G1*(($Q$9)-Prof_Sta0),Prof_PIZ+Prof_G2*(($Q$9)-Prof_PISta)))+Bm1_dCL-Deck_T)-((Sp2_ZA+(Sp2_ZB-Sp2_ZA)*(($Q$9)-Sp2_BrgA)/Sp2_Lb)-Sup_Drop+Bm_D+Bm1_Raise/12))*$Q$6</f>
        <v>5.1572382101835501</v>
      </c>
    </row>
    <row r="10" spans="2:19" ht="15" customHeight="1" x14ac:dyDescent="0.45">
      <c r="Q10" s="47">
        <f>Sp2_Bm0+3/40*(Sp2_Bm1-Sp2_Bm0)</f>
        <v>1708.534375</v>
      </c>
      <c r="R10" s="47">
        <f>((IF(Prof_Mode="parabolic",Prof_Z0+Prof_G1*(($Q$10)-Prof_Sta0)+Prof_Kq*(($Q$10)-Prof_Sta0)^2,IF(($Q$10)&lt;=Prof_PISta,Prof_Z0+Prof_G1*(($Q$10)-Prof_Sta0),Prof_PIZ+Prof_G2*(($Q$10)-Prof_PISta)))+Bm1_dCL-Deck_T)-((Sp2_ZA+(Sp2_ZB-Sp2_ZA)*(($Q$10)-Sp2_BrgA)/Sp2_Lb)-Sup_Drop+Bm_D+Bm1_Raise/12))*$Q$6</f>
        <v>5.1572382101832659</v>
      </c>
    </row>
    <row r="11" spans="2:19" ht="15" customHeight="1" x14ac:dyDescent="0.45">
      <c r="Q11" s="47">
        <f>Sp2_Bm0+4/40*(Sp2_Bm1-Sp2_Bm0)</f>
        <v>1711.1475</v>
      </c>
      <c r="R11" s="47">
        <f>((IF(Prof_Mode="parabolic",Prof_Z0+Prof_G1*(($Q$11)-Prof_Sta0)+Prof_Kq*(($Q$11)-Prof_Sta0)^2,IF(($Q$11)&lt;=Prof_PISta,Prof_Z0+Prof_G1*(($Q$11)-Prof_Sta0),Prof_PIZ+Prof_G2*(($Q$11)-Prof_PISta)))+Bm1_dCL-Deck_T)-((Sp2_ZA+(Sp2_ZB-Sp2_ZA)*(($Q$11)-Sp2_BrgA)/Sp2_Lb)-Sup_Drop+Bm_D+Bm1_Raise/12))*$Q$6</f>
        <v>5.1572382101835501</v>
      </c>
    </row>
    <row r="12" spans="2:19" ht="15" customHeight="1" x14ac:dyDescent="0.45">
      <c r="Q12" s="47">
        <f>Sp2_Bm0+5/40*(Sp2_Bm1-Sp2_Bm0)</f>
        <v>1713.7606249999999</v>
      </c>
      <c r="R12" s="47">
        <f>((IF(Prof_Mode="parabolic",Prof_Z0+Prof_G1*(($Q$12)-Prof_Sta0)+Prof_Kq*(($Q$12)-Prof_Sta0)^2,IF(($Q$12)&lt;=Prof_PISta,Prof_Z0+Prof_G1*(($Q$12)-Prof_Sta0),Prof_PIZ+Prof_G2*(($Q$12)-Prof_PISta)))+Bm1_dCL-Deck_T)-((Sp2_ZA+(Sp2_ZB-Sp2_ZA)*(($Q$12)-Sp2_BrgA)/Sp2_Lb)-Sup_Drop+Bm_D+Bm1_Raise/12))*$Q$6</f>
        <v>5.1572382101832659</v>
      </c>
    </row>
    <row r="13" spans="2:19" x14ac:dyDescent="0.45">
      <c r="Q13" s="47">
        <f>Sp2_Bm0+6/40*(Sp2_Bm1-Sp2_Bm0)</f>
        <v>1716.37375</v>
      </c>
      <c r="R13" s="47">
        <f>((IF(Prof_Mode="parabolic",Prof_Z0+Prof_G1*(($Q$13)-Prof_Sta0)+Prof_Kq*(($Q$13)-Prof_Sta0)^2,IF(($Q$13)&lt;=Prof_PISta,Prof_Z0+Prof_G1*(($Q$13)-Prof_Sta0),Prof_PIZ+Prof_G2*(($Q$13)-Prof_PISta)))+Bm1_dCL-Deck_T)-((Sp2_ZA+(Sp2_ZB-Sp2_ZA)*(($Q$13)-Sp2_BrgA)/Sp2_Lb)-Sup_Drop+Bm_D+Bm1_Raise/12))*$Q$6</f>
        <v>5.1572382101835501</v>
      </c>
    </row>
    <row r="14" spans="2:19" ht="18" customHeight="1" x14ac:dyDescent="0.45">
      <c r="B14" s="36" t="s">
        <v>975</v>
      </c>
      <c r="C14" s="18"/>
      <c r="D14" s="18"/>
      <c r="E14" s="18"/>
      <c r="F14" s="18"/>
      <c r="G14" s="18"/>
      <c r="H14" s="18"/>
      <c r="I14" s="18"/>
      <c r="J14" s="18"/>
      <c r="K14" s="18"/>
      <c r="L14" s="18"/>
      <c r="M14" s="18"/>
      <c r="Q14" s="47">
        <f>Sp2_Bm0+7/40*(Sp2_Bm1-Sp2_Bm0)</f>
        <v>1718.9868750000001</v>
      </c>
      <c r="R14" s="47">
        <f>((IF(Prof_Mode="parabolic",Prof_Z0+Prof_G1*(($Q$14)-Prof_Sta0)+Prof_Kq*(($Q$14)-Prof_Sta0)^2,IF(($Q$14)&lt;=Prof_PISta,Prof_Z0+Prof_G1*(($Q$14)-Prof_Sta0),Prof_PIZ+Prof_G2*(($Q$14)-Prof_PISta)))+Bm1_dCL-Deck_T)-((Sp2_ZA+(Sp2_ZB-Sp2_ZA)*(($Q$14)-Sp2_BrgA)/Sp2_Lb)-Sup_Drop+Bm_D+Bm1_Raise/12))*$Q$6</f>
        <v>5.1572382101832659</v>
      </c>
    </row>
    <row r="15" spans="2:19" ht="15" customHeight="1" x14ac:dyDescent="0.45">
      <c r="Q15" s="47">
        <f>Sp2_Bm0+8/40*(Sp2_Bm1-Sp2_Bm0)</f>
        <v>1721.6</v>
      </c>
      <c r="R15" s="47">
        <f>((IF(Prof_Mode="parabolic",Prof_Z0+Prof_G1*(($Q$15)-Prof_Sta0)+Prof_Kq*(($Q$15)-Prof_Sta0)^2,IF(($Q$15)&lt;=Prof_PISta,Prof_Z0+Prof_G1*(($Q$15)-Prof_Sta0),Prof_PIZ+Prof_G2*(($Q$15)-Prof_PISta)))+Bm1_dCL-Deck_T)-((Sp2_ZA+(Sp2_ZB-Sp2_ZA)*(($Q$15)-Sp2_BrgA)/Sp2_Lb)-Sup_Drop+Bm_D+Bm1_Raise/12))*$Q$6</f>
        <v>5.1572382101832659</v>
      </c>
    </row>
    <row r="16" spans="2:19" ht="15" customHeight="1" x14ac:dyDescent="0.45">
      <c r="Q16" s="47">
        <f>Sp2_Bm0+9/40*(Sp2_Bm1-Sp2_Bm0)</f>
        <v>1724.213125</v>
      </c>
      <c r="R16" s="47">
        <f>((IF(Prof_Mode="parabolic",Prof_Z0+Prof_G1*(($Q$16)-Prof_Sta0)+Prof_Kq*(($Q$16)-Prof_Sta0)^2,IF(($Q$16)&lt;=Prof_PISta,Prof_Z0+Prof_G1*(($Q$16)-Prof_Sta0),Prof_PIZ+Prof_G2*(($Q$16)-Prof_PISta)))+Bm1_dCL-Deck_T)-((Sp2_ZA+(Sp2_ZB-Sp2_ZA)*(($Q$16)-Sp2_BrgA)/Sp2_Lb)-Sup_Drop+Bm_D+Bm1_Raise/12))*$Q$6</f>
        <v>5.1572382101835501</v>
      </c>
    </row>
    <row r="17" spans="2:18" ht="15" customHeight="1" x14ac:dyDescent="0.45">
      <c r="Q17" s="47">
        <f>Sp2_Bm0+10/40*(Sp2_Bm1-Sp2_Bm0)</f>
        <v>1726.8262500000001</v>
      </c>
      <c r="R17" s="47">
        <f>((IF(Prof_Mode="parabolic",Prof_Z0+Prof_G1*(($Q$17)-Prof_Sta0)+Prof_Kq*(($Q$17)-Prof_Sta0)^2,IF(($Q$17)&lt;=Prof_PISta,Prof_Z0+Prof_G1*(($Q$17)-Prof_Sta0),Prof_PIZ+Prof_G2*(($Q$17)-Prof_PISta)))+Bm1_dCL-Deck_T)-((Sp2_ZA+(Sp2_ZB-Sp2_ZA)*(($Q$17)-Sp2_BrgA)/Sp2_Lb)-Sup_Drop+Bm_D+Bm1_Raise/12))*$Q$6</f>
        <v>5.1572382101832659</v>
      </c>
    </row>
    <row r="18" spans="2:18" ht="29.45" customHeight="1" x14ac:dyDescent="0.45">
      <c r="B18" s="85" t="s">
        <v>976</v>
      </c>
      <c r="C18" s="83"/>
      <c r="D18" s="83"/>
      <c r="E18" s="83"/>
      <c r="F18" s="83"/>
      <c r="G18" s="83"/>
      <c r="H18" s="83"/>
      <c r="I18" s="83"/>
      <c r="J18" s="83"/>
      <c r="K18" s="83"/>
      <c r="L18" s="83"/>
      <c r="M18" s="83"/>
      <c r="Q18" s="47">
        <f>Sp2_Bm0+11/40*(Sp2_Bm1-Sp2_Bm0)</f>
        <v>1729.4393749999999</v>
      </c>
      <c r="R18" s="47">
        <f>((IF(Prof_Mode="parabolic",Prof_Z0+Prof_G1*(($Q$18)-Prof_Sta0)+Prof_Kq*(($Q$18)-Prof_Sta0)^2,IF(($Q$18)&lt;=Prof_PISta,Prof_Z0+Prof_G1*(($Q$18)-Prof_Sta0),Prof_PIZ+Prof_G2*(($Q$18)-Prof_PISta)))+Bm1_dCL-Deck_T)-((Sp2_ZA+(Sp2_ZB-Sp2_ZA)*(($Q$18)-Sp2_BrgA)/Sp2_Lb)-Sup_Drop+Bm_D+Bm1_Raise/12))*$Q$6</f>
        <v>5.1572382101835501</v>
      </c>
    </row>
    <row r="19" spans="2:18" ht="15" customHeight="1" x14ac:dyDescent="0.45">
      <c r="Q19" s="47">
        <f>Sp2_Bm0+12/40*(Sp2_Bm1-Sp2_Bm0)</f>
        <v>1732.0525</v>
      </c>
      <c r="R19" s="47">
        <f>((IF(Prof_Mode="parabolic",Prof_Z0+Prof_G1*(($Q$19)-Prof_Sta0)+Prof_Kq*(($Q$19)-Prof_Sta0)^2,IF(($Q$19)&lt;=Prof_PISta,Prof_Z0+Prof_G1*(($Q$19)-Prof_Sta0),Prof_PIZ+Prof_G2*(($Q$19)-Prof_PISta)))+Bm1_dCL-Deck_T)-((Sp2_ZA+(Sp2_ZB-Sp2_ZA)*(($Q$19)-Sp2_BrgA)/Sp2_Lb)-Sup_Drop+Bm_D+Bm1_Raise/12))*$Q$6</f>
        <v>5.1572382101832659</v>
      </c>
    </row>
    <row r="20" spans="2:18" ht="15" customHeight="1" x14ac:dyDescent="0.45">
      <c r="Q20" s="47">
        <f>Sp2_Bm0+13/40*(Sp2_Bm1-Sp2_Bm0)</f>
        <v>1734.6656249999999</v>
      </c>
      <c r="R20" s="47">
        <f>((IF(Prof_Mode="parabolic",Prof_Z0+Prof_G1*(($Q$20)-Prof_Sta0)+Prof_Kq*(($Q$20)-Prof_Sta0)^2,IF(($Q$20)&lt;=Prof_PISta,Prof_Z0+Prof_G1*(($Q$20)-Prof_Sta0),Prof_PIZ+Prof_G2*(($Q$20)-Prof_PISta)))+Bm1_dCL-Deck_T)-((Sp2_ZA+(Sp2_ZB-Sp2_ZA)*(($Q$20)-Sp2_BrgA)/Sp2_Lb)-Sup_Drop+Bm_D+Bm1_Raise/12))*$Q$6</f>
        <v>5.1572382101832659</v>
      </c>
    </row>
    <row r="21" spans="2:18" ht="15" customHeight="1" x14ac:dyDescent="0.45">
      <c r="Q21" s="47">
        <f>Sp2_Bm0+14/40*(Sp2_Bm1-Sp2_Bm0)</f>
        <v>1737.2787499999999</v>
      </c>
      <c r="R21" s="47">
        <f>((IF(Prof_Mode="parabolic",Prof_Z0+Prof_G1*(($Q$21)-Prof_Sta0)+Prof_Kq*(($Q$21)-Prof_Sta0)^2,IF(($Q$21)&lt;=Prof_PISta,Prof_Z0+Prof_G1*(($Q$21)-Prof_Sta0),Prof_PIZ+Prof_G2*(($Q$21)-Prof_PISta)))+Bm1_dCL-Deck_T)-((Sp2_ZA+(Sp2_ZB-Sp2_ZA)*(($Q$21)-Sp2_BrgA)/Sp2_Lb)-Sup_Drop+Bm_D+Bm1_Raise/12))*$Q$6</f>
        <v>5.1572382101832659</v>
      </c>
    </row>
    <row r="22" spans="2:18" ht="15" customHeight="1" x14ac:dyDescent="0.45">
      <c r="Q22" s="47">
        <f>Sp2_Bm0+15/40*(Sp2_Bm1-Sp2_Bm0)</f>
        <v>1739.891875</v>
      </c>
      <c r="R22" s="47">
        <f>((IF(Prof_Mode="parabolic",Prof_Z0+Prof_G1*(($Q$22)-Prof_Sta0)+Prof_Kq*(($Q$22)-Prof_Sta0)^2,IF(($Q$22)&lt;=Prof_PISta,Prof_Z0+Prof_G1*(($Q$22)-Prof_Sta0),Prof_PIZ+Prof_G2*(($Q$22)-Prof_PISta)))+Bm1_dCL-Deck_T)-((Sp2_ZA+(Sp2_ZB-Sp2_ZA)*(($Q$22)-Sp2_BrgA)/Sp2_Lb)-Sup_Drop+Bm_D+Bm1_Raise/12))*$Q$6</f>
        <v>5.1572382101832659</v>
      </c>
    </row>
    <row r="23" spans="2:18" ht="15" customHeight="1" x14ac:dyDescent="0.45">
      <c r="Q23" s="47">
        <f>Sp2_Bm0+16/40*(Sp2_Bm1-Sp2_Bm0)</f>
        <v>1742.5049999999999</v>
      </c>
      <c r="R23" s="47">
        <f>((IF(Prof_Mode="parabolic",Prof_Z0+Prof_G1*(($Q$23)-Prof_Sta0)+Prof_Kq*(($Q$23)-Prof_Sta0)^2,IF(($Q$23)&lt;=Prof_PISta,Prof_Z0+Prof_G1*(($Q$23)-Prof_Sta0),Prof_PIZ+Prof_G2*(($Q$23)-Prof_PISta)))+Bm1_dCL-Deck_T)-((Sp2_ZA+(Sp2_ZB-Sp2_ZA)*(($Q$23)-Sp2_BrgA)/Sp2_Lb)-Sup_Drop+Bm_D+Bm1_Raise/12))*$Q$6</f>
        <v>5.1572382101835501</v>
      </c>
    </row>
    <row r="24" spans="2:18" ht="15" customHeight="1" x14ac:dyDescent="0.45">
      <c r="Q24" s="47">
        <f>Sp2_Bm0+17/40*(Sp2_Bm1-Sp2_Bm0)</f>
        <v>1745.118125</v>
      </c>
      <c r="R24" s="47">
        <f>((IF(Prof_Mode="parabolic",Prof_Z0+Prof_G1*(($Q$24)-Prof_Sta0)+Prof_Kq*(($Q$24)-Prof_Sta0)^2,IF(($Q$24)&lt;=Prof_PISta,Prof_Z0+Prof_G1*(($Q$24)-Prof_Sta0),Prof_PIZ+Prof_G2*(($Q$24)-Prof_PISta)))+Bm1_dCL-Deck_T)-((Sp2_ZA+(Sp2_ZB-Sp2_ZA)*(($Q$24)-Sp2_BrgA)/Sp2_Lb)-Sup_Drop+Bm_D+Bm1_Raise/12))*$Q$6</f>
        <v>5.1572382101832659</v>
      </c>
    </row>
    <row r="25" spans="2:18" ht="29.45" customHeight="1" x14ac:dyDescent="0.45">
      <c r="B25" s="85" t="s">
        <v>977</v>
      </c>
      <c r="C25" s="83"/>
      <c r="D25" s="83"/>
      <c r="E25" s="83"/>
      <c r="F25" s="83"/>
      <c r="G25" s="83"/>
      <c r="H25" s="83"/>
      <c r="I25" s="83"/>
      <c r="J25" s="83"/>
      <c r="K25" s="83"/>
      <c r="L25" s="83"/>
      <c r="M25" s="83"/>
      <c r="Q25" s="47">
        <f>Sp2_Bm0+18/40*(Sp2_Bm1-Sp2_Bm0)</f>
        <v>1747.73125</v>
      </c>
      <c r="R25" s="47">
        <f>((IF(Prof_Mode="parabolic",Prof_Z0+Prof_G1*(($Q$25)-Prof_Sta0)+Prof_Kq*(($Q$25)-Prof_Sta0)^2,IF(($Q$25)&lt;=Prof_PISta,Prof_Z0+Prof_G1*(($Q$25)-Prof_Sta0),Prof_PIZ+Prof_G2*(($Q$25)-Prof_PISta)))+Bm1_dCL-Deck_T)-((Sp2_ZA+(Sp2_ZB-Sp2_ZA)*(($Q$25)-Sp2_BrgA)/Sp2_Lb)-Sup_Drop+Bm_D+Bm1_Raise/12))*$Q$6</f>
        <v>5.1572382101835501</v>
      </c>
    </row>
    <row r="26" spans="2:18" ht="15" customHeight="1" x14ac:dyDescent="0.45">
      <c r="Q26" s="47">
        <f>Sp2_Bm0+19/40*(Sp2_Bm1-Sp2_Bm0)</f>
        <v>1750.3443749999999</v>
      </c>
      <c r="R26" s="47">
        <f>((IF(Prof_Mode="parabolic",Prof_Z0+Prof_G1*(($Q$26)-Prof_Sta0)+Prof_Kq*(($Q$26)-Prof_Sta0)^2,IF(($Q$26)&lt;=Prof_PISta,Prof_Z0+Prof_G1*(($Q$26)-Prof_Sta0),Prof_PIZ+Prof_G2*(($Q$26)-Prof_PISta)))+Bm1_dCL-Deck_T)-((Sp2_ZA+(Sp2_ZB-Sp2_ZA)*(($Q$26)-Sp2_BrgA)/Sp2_Lb)-Sup_Drop+Bm_D+Bm1_Raise/12))*$Q$6</f>
        <v>5.1572382101832659</v>
      </c>
    </row>
    <row r="27" spans="2:18" ht="15" customHeight="1" x14ac:dyDescent="0.45">
      <c r="Q27" s="47">
        <f>Sp2_Bm0+20/40*(Sp2_Bm1-Sp2_Bm0)</f>
        <v>1752.9575</v>
      </c>
      <c r="R27" s="47">
        <f>((IF(Prof_Mode="parabolic",Prof_Z0+Prof_G1*(($Q$27)-Prof_Sta0)+Prof_Kq*(($Q$27)-Prof_Sta0)^2,IF(($Q$27)&lt;=Prof_PISta,Prof_Z0+Prof_G1*(($Q$27)-Prof_Sta0),Prof_PIZ+Prof_G2*(($Q$27)-Prof_PISta)))+Bm1_dCL-Deck_T)-((Sp2_ZA+(Sp2_ZB-Sp2_ZA)*(($Q$27)-Sp2_BrgA)/Sp2_Lb)-Sup_Drop+Bm_D+Bm1_Raise/12))*$Q$6</f>
        <v>5.1572382101832659</v>
      </c>
    </row>
    <row r="28" spans="2:18" ht="15" customHeight="1" x14ac:dyDescent="0.45">
      <c r="Q28" s="47">
        <f>Sp2_Bm0+21/40*(Sp2_Bm1-Sp2_Bm0)</f>
        <v>1755.5706250000001</v>
      </c>
      <c r="R28" s="47">
        <f>((IF(Prof_Mode="parabolic",Prof_Z0+Prof_G1*(($Q$28)-Prof_Sta0)+Prof_Kq*(($Q$28)-Prof_Sta0)^2,IF(($Q$28)&lt;=Prof_PISta,Prof_Z0+Prof_G1*(($Q$28)-Prof_Sta0),Prof_PIZ+Prof_G2*(($Q$28)-Prof_PISta)))+Bm1_dCL-Deck_T)-((Sp2_ZA+(Sp2_ZB-Sp2_ZA)*(($Q$28)-Sp2_BrgA)/Sp2_Lb)-Sup_Drop+Bm_D+Bm1_Raise/12))*$Q$6</f>
        <v>5.1572382101832659</v>
      </c>
    </row>
    <row r="29" spans="2:18" ht="29.45" customHeight="1" x14ac:dyDescent="0.45">
      <c r="B29" s="85" t="str">
        <f>"Current: D = "&amp;TEXT(Sup_Drop,"0.0000000000")&amp;" ft. The minimum flange haunch "&amp;TEXT(Haunch_Min,"0.000000")&amp;" in (required "&amp;TEXT(Bm_Hmin,"General")&amp;" in) is on beam "&amp;INDEX('Camber &amp; Haunch'!$B$13:$B$16,MATCH(Haunch_Min,'Camber &amp; Haunch'!$F$13:$F$16,0))&amp;"."</f>
        <v>Current: D = 3.7147642886 ft. The minimum flange haunch 0.500000 in (required 0.5 in) is on beam 2-1.</v>
      </c>
      <c r="C29" s="83"/>
      <c r="D29" s="83"/>
      <c r="E29" s="83"/>
      <c r="F29" s="83"/>
      <c r="G29" s="83"/>
      <c r="H29" s="83"/>
      <c r="I29" s="83"/>
      <c r="J29" s="83"/>
      <c r="K29" s="83"/>
      <c r="L29" s="83"/>
      <c r="M29" s="83"/>
      <c r="Q29" s="47">
        <f>Sp2_Bm0+22/40*(Sp2_Bm1-Sp2_Bm0)</f>
        <v>1758.1837499999999</v>
      </c>
      <c r="R29" s="47">
        <f>((IF(Prof_Mode="parabolic",Prof_Z0+Prof_G1*(($Q$29)-Prof_Sta0)+Prof_Kq*(($Q$29)-Prof_Sta0)^2,IF(($Q$29)&lt;=Prof_PISta,Prof_Z0+Prof_G1*(($Q$29)-Prof_Sta0),Prof_PIZ+Prof_G2*(($Q$29)-Prof_PISta)))+Bm1_dCL-Deck_T)-((Sp2_ZA+(Sp2_ZB-Sp2_ZA)*(($Q$29)-Sp2_BrgA)/Sp2_Lb)-Sup_Drop+Bm_D+Bm1_Raise/12))*$Q$6</f>
        <v>5.1572382101832659</v>
      </c>
    </row>
    <row r="30" spans="2:18" ht="15" customHeight="1" x14ac:dyDescent="0.45">
      <c r="Q30" s="47">
        <f>Sp2_Bm0+23/40*(Sp2_Bm1-Sp2_Bm0)</f>
        <v>1760.796875</v>
      </c>
      <c r="R30" s="47">
        <f>((IF(Prof_Mode="parabolic",Prof_Z0+Prof_G1*(($Q$30)-Prof_Sta0)+Prof_Kq*(($Q$30)-Prof_Sta0)^2,IF(($Q$30)&lt;=Prof_PISta,Prof_Z0+Prof_G1*(($Q$30)-Prof_Sta0),Prof_PIZ+Prof_G2*(($Q$30)-Prof_PISta)))+Bm1_dCL-Deck_T)-((Sp2_ZA+(Sp2_ZB-Sp2_ZA)*(($Q$30)-Sp2_BrgA)/Sp2_Lb)-Sup_Drop+Bm_D+Bm1_Raise/12))*$Q$6</f>
        <v>5.1572382101832659</v>
      </c>
    </row>
    <row r="31" spans="2:18" ht="15" customHeight="1" x14ac:dyDescent="0.45">
      <c r="Q31" s="47">
        <f>Sp2_Bm0+24/40*(Sp2_Bm1-Sp2_Bm0)</f>
        <v>1763.41</v>
      </c>
      <c r="R31" s="47">
        <f>((IF(Prof_Mode="parabolic",Prof_Z0+Prof_G1*(($Q$31)-Prof_Sta0)+Prof_Kq*(($Q$31)-Prof_Sta0)^2,IF(($Q$31)&lt;=Prof_PISta,Prof_Z0+Prof_G1*(($Q$31)-Prof_Sta0),Prof_PIZ+Prof_G2*(($Q$31)-Prof_PISta)))+Bm1_dCL-Deck_T)-((Sp2_ZA+(Sp2_ZB-Sp2_ZA)*(($Q$31)-Sp2_BrgA)/Sp2_Lb)-Sup_Drop+Bm_D+Bm1_Raise/12))*$Q$6</f>
        <v>5.1572382101832659</v>
      </c>
    </row>
    <row r="32" spans="2:18" ht="15" customHeight="1" x14ac:dyDescent="0.45">
      <c r="Q32" s="47">
        <f>Sp2_Bm0+25/40*(Sp2_Bm1-Sp2_Bm0)</f>
        <v>1766.0231249999999</v>
      </c>
      <c r="R32" s="47">
        <f>((IF(Prof_Mode="parabolic",Prof_Z0+Prof_G1*(($Q$32)-Prof_Sta0)+Prof_Kq*(($Q$32)-Prof_Sta0)^2,IF(($Q$32)&lt;=Prof_PISta,Prof_Z0+Prof_G1*(($Q$32)-Prof_Sta0),Prof_PIZ+Prof_G2*(($Q$32)-Prof_PISta)))+Bm1_dCL-Deck_T)-((Sp2_ZA+(Sp2_ZB-Sp2_ZA)*(($Q$32)-Sp2_BrgA)/Sp2_Lb)-Sup_Drop+Bm_D+Bm1_Raise/12))*$Q$6</f>
        <v>5.1572382101835501</v>
      </c>
    </row>
    <row r="33" spans="2:18" ht="15" customHeight="1" x14ac:dyDescent="0.45">
      <c r="Q33" s="47">
        <f>Sp2_Bm0+26/40*(Sp2_Bm1-Sp2_Bm0)</f>
        <v>1768.63625</v>
      </c>
      <c r="R33" s="47">
        <f>((IF(Prof_Mode="parabolic",Prof_Z0+Prof_G1*(($Q$33)-Prof_Sta0)+Prof_Kq*(($Q$33)-Prof_Sta0)^2,IF(($Q$33)&lt;=Prof_PISta,Prof_Z0+Prof_G1*(($Q$33)-Prof_Sta0),Prof_PIZ+Prof_G2*(($Q$33)-Prof_PISta)))+Bm1_dCL-Deck_T)-((Sp2_ZA+(Sp2_ZB-Sp2_ZA)*(($Q$33)-Sp2_BrgA)/Sp2_Lb)-Sup_Drop+Bm_D+Bm1_Raise/12))*$Q$6</f>
        <v>5.1572382101832659</v>
      </c>
    </row>
    <row r="34" spans="2:18" ht="15" customHeight="1" x14ac:dyDescent="0.45">
      <c r="Q34" s="47">
        <f>Sp2_Bm0+27/40*(Sp2_Bm1-Sp2_Bm0)</f>
        <v>1771.2493750000001</v>
      </c>
      <c r="R34" s="47">
        <f>((IF(Prof_Mode="parabolic",Prof_Z0+Prof_G1*(($Q$34)-Prof_Sta0)+Prof_Kq*(($Q$34)-Prof_Sta0)^2,IF(($Q$34)&lt;=Prof_PISta,Prof_Z0+Prof_G1*(($Q$34)-Prof_Sta0),Prof_PIZ+Prof_G2*(($Q$34)-Prof_PISta)))+Bm1_dCL-Deck_T)-((Sp2_ZA+(Sp2_ZB-Sp2_ZA)*(($Q$34)-Sp2_BrgA)/Sp2_Lb)-Sup_Drop+Bm_D+Bm1_Raise/12))*$Q$6</f>
        <v>5.1572382101835501</v>
      </c>
    </row>
    <row r="35" spans="2:18" ht="15" customHeight="1" x14ac:dyDescent="0.45">
      <c r="Q35" s="47">
        <f>Sp2_Bm0+28/40*(Sp2_Bm1-Sp2_Bm0)</f>
        <v>1773.8625</v>
      </c>
      <c r="R35" s="47">
        <f>((IF(Prof_Mode="parabolic",Prof_Z0+Prof_G1*(($Q$35)-Prof_Sta0)+Prof_Kq*(($Q$35)-Prof_Sta0)^2,IF(($Q$35)&lt;=Prof_PISta,Prof_Z0+Prof_G1*(($Q$35)-Prof_Sta0),Prof_PIZ+Prof_G2*(($Q$35)-Prof_PISta)))+Bm1_dCL-Deck_T)-((Sp2_ZA+(Sp2_ZB-Sp2_ZA)*(($Q$35)-Sp2_BrgA)/Sp2_Lb)-Sup_Drop+Bm_D+Bm1_Raise/12))*$Q$6</f>
        <v>5.1572382101832659</v>
      </c>
    </row>
    <row r="36" spans="2:18" ht="15" customHeight="1" x14ac:dyDescent="0.45">
      <c r="Q36" s="47">
        <f>Sp2_Bm0+29/40*(Sp2_Bm1-Sp2_Bm0)</f>
        <v>1776.475625</v>
      </c>
      <c r="R36" s="47">
        <f>((IF(Prof_Mode="parabolic",Prof_Z0+Prof_G1*(($Q$36)-Prof_Sta0)+Prof_Kq*(($Q$36)-Prof_Sta0)^2,IF(($Q$36)&lt;=Prof_PISta,Prof_Z0+Prof_G1*(($Q$36)-Prof_Sta0),Prof_PIZ+Prof_G2*(($Q$36)-Prof_PISta)))+Bm1_dCL-Deck_T)-((Sp2_ZA+(Sp2_ZB-Sp2_ZA)*(($Q$36)-Sp2_BrgA)/Sp2_Lb)-Sup_Drop+Bm_D+Bm1_Raise/12))*$Q$6</f>
        <v>5.1572382101832659</v>
      </c>
    </row>
    <row r="37" spans="2:18" ht="15" customHeight="1" x14ac:dyDescent="0.45">
      <c r="Q37" s="47">
        <f>Sp2_Bm0+30/40*(Sp2_Bm1-Sp2_Bm0)</f>
        <v>1779.0887499999999</v>
      </c>
      <c r="R37" s="47">
        <f>((IF(Prof_Mode="parabolic",Prof_Z0+Prof_G1*(($Q$37)-Prof_Sta0)+Prof_Kq*(($Q$37)-Prof_Sta0)^2,IF(($Q$37)&lt;=Prof_PISta,Prof_Z0+Prof_G1*(($Q$37)-Prof_Sta0),Prof_PIZ+Prof_G2*(($Q$37)-Prof_PISta)))+Bm1_dCL-Deck_T)-((Sp2_ZA+(Sp2_ZB-Sp2_ZA)*(($Q$37)-Sp2_BrgA)/Sp2_Lb)-Sup_Drop+Bm_D+Bm1_Raise/12))*$Q$6</f>
        <v>5.1572382101832659</v>
      </c>
    </row>
    <row r="38" spans="2:18" ht="15" customHeight="1" x14ac:dyDescent="0.45">
      <c r="Q38" s="47">
        <f>Sp2_Bm0+31/40*(Sp2_Bm1-Sp2_Bm0)</f>
        <v>1781.701875</v>
      </c>
      <c r="R38" s="47">
        <f>((IF(Prof_Mode="parabolic",Prof_Z0+Prof_G1*(($Q$38)-Prof_Sta0)+Prof_Kq*(($Q$38)-Prof_Sta0)^2,IF(($Q$38)&lt;=Prof_PISta,Prof_Z0+Prof_G1*(($Q$38)-Prof_Sta0),Prof_PIZ+Prof_G2*(($Q$38)-Prof_PISta)))+Bm1_dCL-Deck_T)-((Sp2_ZA+(Sp2_ZB-Sp2_ZA)*(($Q$38)-Sp2_BrgA)/Sp2_Lb)-Sup_Drop+Bm_D+Bm1_Raise/12))*$Q$6</f>
        <v>5.1572382101832659</v>
      </c>
    </row>
    <row r="39" spans="2:18" ht="15" customHeight="1" x14ac:dyDescent="0.45">
      <c r="Q39" s="47">
        <f>Sp2_Bm0+32/40*(Sp2_Bm1-Sp2_Bm0)</f>
        <v>1784.3150000000001</v>
      </c>
      <c r="R39" s="47">
        <f>((IF(Prof_Mode="parabolic",Prof_Z0+Prof_G1*(($Q$39)-Prof_Sta0)+Prof_Kq*(($Q$39)-Prof_Sta0)^2,IF(($Q$39)&lt;=Prof_PISta,Prof_Z0+Prof_G1*(($Q$39)-Prof_Sta0),Prof_PIZ+Prof_G2*(($Q$39)-Prof_PISta)))+Bm1_dCL-Deck_T)-((Sp2_ZA+(Sp2_ZB-Sp2_ZA)*(($Q$39)-Sp2_BrgA)/Sp2_Lb)-Sup_Drop+Bm_D+Bm1_Raise/12))*$Q$6</f>
        <v>5.1572382101832659</v>
      </c>
    </row>
    <row r="40" spans="2:18" ht="15" customHeight="1" x14ac:dyDescent="0.45">
      <c r="Q40" s="47">
        <f>Sp2_Bm0+33/40*(Sp2_Bm1-Sp2_Bm0)</f>
        <v>1786.9281249999999</v>
      </c>
      <c r="R40" s="47">
        <f>((IF(Prof_Mode="parabolic",Prof_Z0+Prof_G1*(($Q$40)-Prof_Sta0)+Prof_Kq*(($Q$40)-Prof_Sta0)^2,IF(($Q$40)&lt;=Prof_PISta,Prof_Z0+Prof_G1*(($Q$40)-Prof_Sta0),Prof_PIZ+Prof_G2*(($Q$40)-Prof_PISta)))+Bm1_dCL-Deck_T)-((Sp2_ZA+(Sp2_ZB-Sp2_ZA)*(($Q$40)-Sp2_BrgA)/Sp2_Lb)-Sup_Drop+Bm_D+Bm1_Raise/12))*$Q$6</f>
        <v>5.1572382101832659</v>
      </c>
    </row>
    <row r="41" spans="2:18" ht="15" customHeight="1" x14ac:dyDescent="0.45">
      <c r="Q41" s="47">
        <f>Sp2_Bm0+34/40*(Sp2_Bm1-Sp2_Bm0)</f>
        <v>1789.54125</v>
      </c>
      <c r="R41" s="47">
        <f>((IF(Prof_Mode="parabolic",Prof_Z0+Prof_G1*(($Q$41)-Prof_Sta0)+Prof_Kq*(($Q$41)-Prof_Sta0)^2,IF(($Q$41)&lt;=Prof_PISta,Prof_Z0+Prof_G1*(($Q$41)-Prof_Sta0),Prof_PIZ+Prof_G2*(($Q$41)-Prof_PISta)))+Bm1_dCL-Deck_T)-((Sp2_ZA+(Sp2_ZB-Sp2_ZA)*(($Q$41)-Sp2_BrgA)/Sp2_Lb)-Sup_Drop+Bm_D+Bm1_Raise/12))*$Q$6</f>
        <v>5.1572382101832659</v>
      </c>
    </row>
    <row r="42" spans="2:18" ht="15" customHeight="1" x14ac:dyDescent="0.45">
      <c r="Q42" s="47">
        <f>Sp2_Bm0+35/40*(Sp2_Bm1-Sp2_Bm0)</f>
        <v>1792.1543750000001</v>
      </c>
      <c r="R42" s="47">
        <f>((IF(Prof_Mode="parabolic",Prof_Z0+Prof_G1*(($Q$42)-Prof_Sta0)+Prof_Kq*(($Q$42)-Prof_Sta0)^2,IF(($Q$42)&lt;=Prof_PISta,Prof_Z0+Prof_G1*(($Q$42)-Prof_Sta0),Prof_PIZ+Prof_G2*(($Q$42)-Prof_PISta)))+Bm1_dCL-Deck_T)-((Sp2_ZA+(Sp2_ZB-Sp2_ZA)*(($Q$42)-Sp2_BrgA)/Sp2_Lb)-Sup_Drop+Bm_D+Bm1_Raise/12))*$Q$6</f>
        <v>5.1572382101832659</v>
      </c>
    </row>
    <row r="43" spans="2:18" ht="15" customHeight="1" x14ac:dyDescent="0.45">
      <c r="Q43" s="47">
        <f>Sp2_Bm0+36/40*(Sp2_Bm1-Sp2_Bm0)</f>
        <v>1794.7674999999999</v>
      </c>
      <c r="R43" s="47">
        <f>((IF(Prof_Mode="parabolic",Prof_Z0+Prof_G1*(($Q$43)-Prof_Sta0)+Prof_Kq*(($Q$43)-Prof_Sta0)^2,IF(($Q$43)&lt;=Prof_PISta,Prof_Z0+Prof_G1*(($Q$43)-Prof_Sta0),Prof_PIZ+Prof_G2*(($Q$43)-Prof_PISta)))+Bm1_dCL-Deck_T)-((Sp2_ZA+(Sp2_ZB-Sp2_ZA)*(($Q$43)-Sp2_BrgA)/Sp2_Lb)-Sup_Drop+Bm_D+Bm1_Raise/12))*$Q$6</f>
        <v>5.1572382101832659</v>
      </c>
    </row>
    <row r="44" spans="2:18" ht="15" customHeight="1" x14ac:dyDescent="0.45">
      <c r="Q44" s="47">
        <f>Sp2_Bm0+37/40*(Sp2_Bm1-Sp2_Bm0)</f>
        <v>1797.380625</v>
      </c>
      <c r="R44" s="47">
        <f>((IF(Prof_Mode="parabolic",Prof_Z0+Prof_G1*(($Q$44)-Prof_Sta0)+Prof_Kq*(($Q$44)-Prof_Sta0)^2,IF(($Q$44)&lt;=Prof_PISta,Prof_Z0+Prof_G1*(($Q$44)-Prof_Sta0),Prof_PIZ+Prof_G2*(($Q$44)-Prof_PISta)))+Bm1_dCL-Deck_T)-((Sp2_ZA+(Sp2_ZB-Sp2_ZA)*(($Q$44)-Sp2_BrgA)/Sp2_Lb)-Sup_Drop+Bm_D+Bm1_Raise/12))*$Q$6</f>
        <v>5.1572382101832659</v>
      </c>
    </row>
    <row r="45" spans="2:18" ht="15" customHeight="1" x14ac:dyDescent="0.45">
      <c r="Q45" s="47">
        <f>Sp2_Bm0+38/40*(Sp2_Bm1-Sp2_Bm0)</f>
        <v>1799.9937500000001</v>
      </c>
      <c r="R45" s="47">
        <f>((IF(Prof_Mode="parabolic",Prof_Z0+Prof_G1*(($Q$45)-Prof_Sta0)+Prof_Kq*(($Q$45)-Prof_Sta0)^2,IF(($Q$45)&lt;=Prof_PISta,Prof_Z0+Prof_G1*(($Q$45)-Prof_Sta0),Prof_PIZ+Prof_G2*(($Q$45)-Prof_PISta)))+Bm1_dCL-Deck_T)-((Sp2_ZA+(Sp2_ZB-Sp2_ZA)*(($Q$45)-Sp2_BrgA)/Sp2_Lb)-Sup_Drop+Bm_D+Bm1_Raise/12))*$Q$6</f>
        <v>5.1572382101832659</v>
      </c>
    </row>
    <row r="46" spans="2:18" ht="15" customHeight="1" x14ac:dyDescent="0.45">
      <c r="Q46" s="47">
        <f>Sp2_Bm0+39/40*(Sp2_Bm1-Sp2_Bm0)</f>
        <v>1802.6068749999999</v>
      </c>
      <c r="R46" s="47">
        <f>((IF(Prof_Mode="parabolic",Prof_Z0+Prof_G1*(($Q$46)-Prof_Sta0)+Prof_Kq*(($Q$46)-Prof_Sta0)^2,IF(($Q$46)&lt;=Prof_PISta,Prof_Z0+Prof_G1*(($Q$46)-Prof_Sta0),Prof_PIZ+Prof_G2*(($Q$46)-Prof_PISta)))+Bm1_dCL-Deck_T)-((Sp2_ZA+(Sp2_ZB-Sp2_ZA)*(($Q$46)-Sp2_BrgA)/Sp2_Lb)-Sup_Drop+Bm_D+Bm1_Raise/12))*$Q$6</f>
        <v>5.1572382101832659</v>
      </c>
    </row>
    <row r="47" spans="2:18" ht="29.45" customHeight="1" x14ac:dyDescent="0.45">
      <c r="B47" s="82" t="str">
        <f>"Figure 1. Span 2 over CL beam 1: deck soffit, cambered beam top (C = "&amp;TEXT(Sp2_C,"0.000")&amp;" in) and the haunch between them (shaded), vertical scale x40 about the zero-camber beam top. Dims B, C and D are read from section D."</f>
        <v>Figure 1. Span 2 over CL beam 1: deck soffit, cambered beam top (C = 0.567 in) and the haunch between them (shaded), vertical scale x40 about the zero-camber beam top. Dims B, C and D are read from section D.</v>
      </c>
      <c r="C47" s="83"/>
      <c r="D47" s="83"/>
      <c r="E47" s="83"/>
      <c r="F47" s="83"/>
      <c r="G47" s="83"/>
      <c r="H47" s="83"/>
      <c r="I47" s="83"/>
      <c r="J47" s="83"/>
      <c r="K47" s="83"/>
      <c r="L47" s="83"/>
      <c r="M47" s="83"/>
      <c r="Q47" s="47">
        <f>Sp2_Bm0+40/40*(Sp2_Bm1-Sp2_Bm0)</f>
        <v>1805.22</v>
      </c>
      <c r="R47" s="47">
        <f>((IF(Prof_Mode="parabolic",Prof_Z0+Prof_G1*(($Q$47)-Prof_Sta0)+Prof_Kq*(($Q$47)-Prof_Sta0)^2,IF(($Q$47)&lt;=Prof_PISta,Prof_Z0+Prof_G1*(($Q$47)-Prof_Sta0),Prof_PIZ+Prof_G2*(($Q$47)-Prof_PISta)))+Bm1_dCL-Deck_T)-((Sp2_ZA+(Sp2_ZB-Sp2_ZA)*(($Q$47)-Sp2_BrgA)/Sp2_Lb)-Sup_Drop+Bm_D+Bm1_Raise/12))*$Q$6</f>
        <v>5.1572382101832659</v>
      </c>
    </row>
    <row r="48" spans="2:18" ht="15" customHeight="1" x14ac:dyDescent="0.45"/>
    <row r="49" spans="16:19" ht="15" customHeight="1" x14ac:dyDescent="0.45">
      <c r="P49" s="44" t="s">
        <v>978</v>
      </c>
      <c r="Q49" s="47">
        <f>Sp2_Bm0+0/40*(Sp2_Bm1-Sp2_Bm0)</f>
        <v>1700.6949999999999</v>
      </c>
      <c r="R49" s="47">
        <f>(((Sp2_ZA+(Sp2_ZB-Sp2_ZA)*((($Q$49)-Sp2_BrgA)/Sp2_Lb)-Sup_Drop+Sp2_C/3*((($Q$49)-Sp2_BrgA)/Sp2_Lb)*(1-((($Q$49)-Sp2_BrgA)/Sp2_Lb))+(Bm1_Raise)/12)+Bm_D)-((Sp2_ZA+(Sp2_ZB-Sp2_ZA)*(($Q$49)-Sp2_BrgA)/Sp2_Lb)-Sup_Drop+Bm_D+Bm1_Raise/12))*$Q$6</f>
        <v>-5.5452594049256732E-2</v>
      </c>
      <c r="S49" s="47">
        <f>((IF(Prof_Mode="parabolic",Prof_Z0+Prof_G1*(($Q$49)-Prof_Sta0)+Prof_Kq*(($Q$49)-Prof_Sta0)^2,IF(($Q$49)&lt;=Prof_PISta,Prof_Z0+Prof_G1*(($Q$49)-Prof_Sta0),Prof_PIZ+Prof_G2*(($Q$49)-Prof_PISta)))+Bm1_dCL-Deck_T)-((Sp2_ZA+(Sp2_ZB-Sp2_ZA)*((($Q$49)-Sp2_BrgA)/Sp2_Lb)-Sup_Drop+Sp2_C/3*((($Q$49)-Sp2_BrgA)/Sp2_Lb)*(1-((($Q$49)-Sp2_BrgA)/Sp2_Lb))+(Bm1_Raise)/12)+Bm_D))*$Q$6</f>
        <v>5.2126908042325226</v>
      </c>
    </row>
    <row r="50" spans="16:19" ht="15" customHeight="1" x14ac:dyDescent="0.45">
      <c r="Q50" s="47">
        <f>Sp2_Bm0+1/40*(Sp2_Bm1-Sp2_Bm0)</f>
        <v>1703.308125</v>
      </c>
      <c r="R50" s="47">
        <f>(((Sp2_ZA+(Sp2_ZB-Sp2_ZA)*((($Q$50)-Sp2_BrgA)/Sp2_Lb)-Sup_Drop+Sp2_C/3*((($Q$50)-Sp2_BrgA)/Sp2_Lb)*(1-((($Q$50)-Sp2_BrgA)/Sp2_Lb))+(Bm1_Raise)/12)+Bm_D)-((Sp2_ZA+(Sp2_ZB-Sp2_ZA)*(($Q$50)-Sp2_BrgA)/Sp2_Lb)-Sup_Drop+Bm_D+Bm1_Raise/12))*$Q$6</f>
        <v>0.13428475936336781</v>
      </c>
      <c r="S50" s="47">
        <f>((IF(Prof_Mode="parabolic",Prof_Z0+Prof_G1*(($Q$50)-Prof_Sta0)+Prof_Kq*(($Q$50)-Prof_Sta0)^2,IF(($Q$50)&lt;=Prof_PISta,Prof_Z0+Prof_G1*(($Q$50)-Prof_Sta0),Prof_PIZ+Prof_G2*(($Q$50)-Prof_PISta)))+Bm1_dCL-Deck_T)-((Sp2_ZA+(Sp2_ZB-Sp2_ZA)*((($Q$50)-Sp2_BrgA)/Sp2_Lb)-Sup_Drop+Sp2_C/3*((($Q$50)-Sp2_BrgA)/Sp2_Lb)*(1-((($Q$50)-Sp2_BrgA)/Sp2_Lb))+(Bm1_Raise)/12)+Bm_D))*$Q$6</f>
        <v>5.0229534508198981</v>
      </c>
    </row>
    <row r="51" spans="16:19" ht="15" customHeight="1" x14ac:dyDescent="0.45">
      <c r="Q51" s="47">
        <f>Sp2_Bm0+2/40*(Sp2_Bm1-Sp2_Bm0)</f>
        <v>1705.9212499999999</v>
      </c>
      <c r="R51" s="47">
        <f>(((Sp2_ZA+(Sp2_ZB-Sp2_ZA)*((($Q$51)-Sp2_BrgA)/Sp2_Lb)-Sup_Drop+Sp2_C/3*((($Q$51)-Sp2_BrgA)/Sp2_Lb)*(1-((($Q$51)-Sp2_BrgA)/Sp2_Lb))+(Bm1_Raise)/12)+Bm_D)-((Sp2_ZA+(Sp2_ZB-Sp2_ZA)*(($Q$51)-Sp2_BrgA)/Sp2_Lb)-Sup_Drop+Bm_D+Bm1_Raise/12))*$Q$6</f>
        <v>0.31429199208844238</v>
      </c>
      <c r="S51" s="47">
        <f>((IF(Prof_Mode="parabolic",Prof_Z0+Prof_G1*(($Q$51)-Prof_Sta0)+Prof_Kq*(($Q$51)-Prof_Sta0)^2,IF(($Q$51)&lt;=Prof_PISta,Prof_Z0+Prof_G1*(($Q$51)-Prof_Sta0),Prof_PIZ+Prof_G2*(($Q$51)-Prof_PISta)))+Bm1_dCL-Deck_T)-((Sp2_ZA+(Sp2_ZB-Sp2_ZA)*((($Q$51)-Sp2_BrgA)/Sp2_Lb)-Sup_Drop+Sp2_C/3*((($Q$51)-Sp2_BrgA)/Sp2_Lb)*(1-((($Q$51)-Sp2_BrgA)/Sp2_Lb))+(Bm1_Raise)/12)+Bm_D))*$Q$6</f>
        <v>4.8429462180951077</v>
      </c>
    </row>
    <row r="52" spans="16:19" ht="15" customHeight="1" x14ac:dyDescent="0.45">
      <c r="Q52" s="47">
        <f>Sp2_Bm0+3/40*(Sp2_Bm1-Sp2_Bm0)</f>
        <v>1708.534375</v>
      </c>
      <c r="R52" s="47">
        <f>(((Sp2_ZA+(Sp2_ZB-Sp2_ZA)*((($Q$52)-Sp2_BrgA)/Sp2_Lb)-Sup_Drop+Sp2_C/3*((($Q$52)-Sp2_BrgA)/Sp2_Lb)*(1-((($Q$52)-Sp2_BrgA)/Sp2_Lb))+(Bm1_Raise)/12)+Bm_D)-((Sp2_ZA+(Sp2_ZB-Sp2_ZA)*(($Q$52)-Sp2_BrgA)/Sp2_Lb)-Sup_Drop+Bm_D+Bm1_Raise/12))*$Q$6</f>
        <v>0.48456910412539855</v>
      </c>
      <c r="S52" s="47">
        <f>((IF(Prof_Mode="parabolic",Prof_Z0+Prof_G1*(($Q$52)-Prof_Sta0)+Prof_Kq*(($Q$52)-Prof_Sta0)^2,IF(($Q$52)&lt;=Prof_PISta,Prof_Z0+Prof_G1*(($Q$52)-Prof_Sta0),Prof_PIZ+Prof_G2*(($Q$52)-Prof_PISta)))+Bm1_dCL-Deck_T)-((Sp2_ZA+(Sp2_ZB-Sp2_ZA)*((($Q$52)-Sp2_BrgA)/Sp2_Lb)-Sup_Drop+Sp2_C/3*((($Q$52)-Sp2_BrgA)/Sp2_Lb)*(1-((($Q$52)-Sp2_BrgA)/Sp2_Lb))+(Bm1_Raise)/12)+Bm_D))*$Q$6</f>
        <v>4.6726691060578673</v>
      </c>
    </row>
    <row r="53" spans="16:19" ht="15" customHeight="1" x14ac:dyDescent="0.45">
      <c r="Q53" s="47">
        <f>Sp2_Bm0+4/40*(Sp2_Bm1-Sp2_Bm0)</f>
        <v>1711.1475</v>
      </c>
      <c r="R53" s="47">
        <f>(((Sp2_ZA+(Sp2_ZB-Sp2_ZA)*((($Q$53)-Sp2_BrgA)/Sp2_Lb)-Sup_Drop+Sp2_C/3*((($Q$53)-Sp2_BrgA)/Sp2_Lb)*(1-((($Q$53)-Sp2_BrgA)/Sp2_Lb))+(Bm1_Raise)/12)+Bm_D)-((Sp2_ZA+(Sp2_ZB-Sp2_ZA)*(($Q$53)-Sp2_BrgA)/Sp2_Lb)-Sup_Drop+Bm_D+Bm1_Raise/12))*$Q$6</f>
        <v>0.64511609547452053</v>
      </c>
      <c r="S53" s="47">
        <f>((IF(Prof_Mode="parabolic",Prof_Z0+Prof_G1*(($Q$53)-Prof_Sta0)+Prof_Kq*(($Q$53)-Prof_Sta0)^2,IF(($Q$53)&lt;=Prof_PISta,Prof_Z0+Prof_G1*(($Q$53)-Prof_Sta0),Prof_PIZ+Prof_G2*(($Q$53)-Prof_PISta)))+Bm1_dCL-Deck_T)-((Sp2_ZA+(Sp2_ZB-Sp2_ZA)*((($Q$53)-Sp2_BrgA)/Sp2_Lb)-Sup_Drop+Sp2_C/3*((($Q$53)-Sp2_BrgA)/Sp2_Lb)*(1-((($Q$53)-Sp2_BrgA)/Sp2_Lb))+(Bm1_Raise)/12)+Bm_D))*$Q$6</f>
        <v>4.5121221147090296</v>
      </c>
    </row>
    <row r="54" spans="16:19" ht="15" customHeight="1" x14ac:dyDescent="0.45">
      <c r="Q54" s="47">
        <f>Sp2_Bm0+5/40*(Sp2_Bm1-Sp2_Bm0)</f>
        <v>1713.7606249999999</v>
      </c>
      <c r="R54" s="47">
        <f>(((Sp2_ZA+(Sp2_ZB-Sp2_ZA)*((($Q$54)-Sp2_BrgA)/Sp2_Lb)-Sup_Drop+Sp2_C/3*((($Q$54)-Sp2_BrgA)/Sp2_Lb)*(1-((($Q$54)-Sp2_BrgA)/Sp2_Lb))+(Bm1_Raise)/12)+Bm_D)-((Sp2_ZA+(Sp2_ZB-Sp2_ZA)*(($Q$54)-Sp2_BrgA)/Sp2_Lb)-Sup_Drop+Bm_D+Bm1_Raise/12))*$Q$6</f>
        <v>0.79593296613580833</v>
      </c>
      <c r="S54" s="47">
        <f>((IF(Prof_Mode="parabolic",Prof_Z0+Prof_G1*(($Q$54)-Prof_Sta0)+Prof_Kq*(($Q$54)-Prof_Sta0)^2,IF(($Q$54)&lt;=Prof_PISta,Prof_Z0+Prof_G1*(($Q$54)-Prof_Sta0),Prof_PIZ+Prof_G2*(($Q$54)-Prof_PISta)))+Bm1_dCL-Deck_T)-((Sp2_ZA+(Sp2_ZB-Sp2_ZA)*((($Q$54)-Sp2_BrgA)/Sp2_Lb)-Sup_Drop+Sp2_C/3*((($Q$54)-Sp2_BrgA)/Sp2_Lb)*(1-((($Q$54)-Sp2_BrgA)/Sp2_Lb))+(Bm1_Raise)/12)+Bm_D))*$Q$6</f>
        <v>4.3613052440474576</v>
      </c>
    </row>
    <row r="55" spans="16:19" ht="15" customHeight="1" x14ac:dyDescent="0.45">
      <c r="Q55" s="47">
        <f>Sp2_Bm0+6/40*(Sp2_Bm1-Sp2_Bm0)</f>
        <v>1716.37375</v>
      </c>
      <c r="R55" s="47">
        <f>(((Sp2_ZA+(Sp2_ZB-Sp2_ZA)*((($Q$55)-Sp2_BrgA)/Sp2_Lb)-Sup_Drop+Sp2_C/3*((($Q$55)-Sp2_BrgA)/Sp2_Lb)*(1-((($Q$55)-Sp2_BrgA)/Sp2_Lb))+(Bm1_Raise)/12)+Bm_D)-((Sp2_ZA+(Sp2_ZB-Sp2_ZA)*(($Q$55)-Sp2_BrgA)/Sp2_Lb)-Sup_Drop+Bm_D+Bm1_Raise/12))*$Q$6</f>
        <v>0.93701971610926194</v>
      </c>
      <c r="S55" s="47">
        <f>((IF(Prof_Mode="parabolic",Prof_Z0+Prof_G1*(($Q$55)-Prof_Sta0)+Prof_Kq*(($Q$55)-Prof_Sta0)^2,IF(($Q$55)&lt;=Prof_PISta,Prof_Z0+Prof_G1*(($Q$55)-Prof_Sta0),Prof_PIZ+Prof_G2*(($Q$55)-Prof_PISta)))+Bm1_dCL-Deck_T)-((Sp2_ZA+(Sp2_ZB-Sp2_ZA)*((($Q$55)-Sp2_BrgA)/Sp2_Lb)-Sup_Drop+Sp2_C/3*((($Q$55)-Sp2_BrgA)/Sp2_Lb)*(1-((($Q$55)-Sp2_BrgA)/Sp2_Lb))+(Bm1_Raise)/12)+Bm_D))*$Q$6</f>
        <v>4.2202184940742882</v>
      </c>
    </row>
    <row r="56" spans="16:19" ht="15" customHeight="1" x14ac:dyDescent="0.45">
      <c r="Q56" s="47">
        <f>Sp2_Bm0+7/40*(Sp2_Bm1-Sp2_Bm0)</f>
        <v>1718.9868750000001</v>
      </c>
      <c r="R56" s="47">
        <f>(((Sp2_ZA+(Sp2_ZB-Sp2_ZA)*((($Q$56)-Sp2_BrgA)/Sp2_Lb)-Sup_Drop+Sp2_C/3*((($Q$56)-Sp2_BrgA)/Sp2_Lb)*(1-((($Q$56)-Sp2_BrgA)/Sp2_Lb))+(Bm1_Raise)/12)+Bm_D)-((Sp2_ZA+(Sp2_ZB-Sp2_ZA)*(($Q$56)-Sp2_BrgA)/Sp2_Lb)-Sup_Drop+Bm_D+Bm1_Raise/12))*$Q$6</f>
        <v>1.0683763453951656</v>
      </c>
      <c r="S56" s="47">
        <f>((IF(Prof_Mode="parabolic",Prof_Z0+Prof_G1*(($Q$56)-Prof_Sta0)+Prof_Kq*(($Q$56)-Prof_Sta0)^2,IF(($Q$56)&lt;=Prof_PISta,Prof_Z0+Prof_G1*(($Q$56)-Prof_Sta0),Prof_PIZ+Prof_G2*(($Q$56)-Prof_PISta)))+Bm1_dCL-Deck_T)-((Sp2_ZA+(Sp2_ZB-Sp2_ZA)*((($Q$56)-Sp2_BrgA)/Sp2_Lb)-Sup_Drop+Sp2_C/3*((($Q$56)-Sp2_BrgA)/Sp2_Lb)*(1-((($Q$56)-Sp2_BrgA)/Sp2_Lb))+(Bm1_Raise)/12)+Bm_D))*$Q$6</f>
        <v>4.0888618647881003</v>
      </c>
    </row>
    <row r="57" spans="16:19" ht="15" customHeight="1" x14ac:dyDescent="0.45">
      <c r="Q57" s="47">
        <f>Sp2_Bm0+8/40*(Sp2_Bm1-Sp2_Bm0)</f>
        <v>1721.6</v>
      </c>
      <c r="R57" s="47">
        <f>(((Sp2_ZA+(Sp2_ZB-Sp2_ZA)*((($Q$57)-Sp2_BrgA)/Sp2_Lb)-Sup_Drop+Sp2_C/3*((($Q$57)-Sp2_BrgA)/Sp2_Lb)*(1-((($Q$57)-Sp2_BrgA)/Sp2_Lb))+(Bm1_Raise)/12)+Bm_D)-((Sp2_ZA+(Sp2_ZB-Sp2_ZA)*(($Q$57)-Sp2_BrgA)/Sp2_Lb)-Sup_Drop+Bm_D+Bm1_Raise/12))*$Q$6</f>
        <v>1.1900028539929508</v>
      </c>
      <c r="S57" s="47">
        <f>((IF(Prof_Mode="parabolic",Prof_Z0+Prof_G1*(($Q$57)-Prof_Sta0)+Prof_Kq*(($Q$57)-Prof_Sta0)^2,IF(($Q$57)&lt;=Prof_PISta,Prof_Z0+Prof_G1*(($Q$57)-Prof_Sta0),Prof_PIZ+Prof_G2*(($Q$57)-Prof_PISta)))+Bm1_dCL-Deck_T)-((Sp2_ZA+(Sp2_ZB-Sp2_ZA)*((($Q$57)-Sp2_BrgA)/Sp2_Lb)-Sup_Drop+Sp2_C/3*((($Q$57)-Sp2_BrgA)/Sp2_Lb)*(1-((($Q$57)-Sp2_BrgA)/Sp2_Lb))+(Bm1_Raise)/12)+Bm_D))*$Q$6</f>
        <v>3.9672353561903151</v>
      </c>
    </row>
    <row r="58" spans="16:19" ht="15" customHeight="1" x14ac:dyDescent="0.45">
      <c r="Q58" s="47">
        <f>Sp2_Bm0+9/40*(Sp2_Bm1-Sp2_Bm0)</f>
        <v>1724.213125</v>
      </c>
      <c r="R58" s="47">
        <f>(((Sp2_ZA+(Sp2_ZB-Sp2_ZA)*((($Q$58)-Sp2_BrgA)/Sp2_Lb)-Sup_Drop+Sp2_C/3*((($Q$58)-Sp2_BrgA)/Sp2_Lb)*(1-((($Q$58)-Sp2_BrgA)/Sp2_Lb))+(Bm1_Raise)/12)+Bm_D)-((Sp2_ZA+(Sp2_ZB-Sp2_ZA)*(($Q$58)-Sp2_BrgA)/Sp2_Lb)-Sup_Drop+Bm_D+Bm1_Raise/12))*$Q$6</f>
        <v>1.3018992419029018</v>
      </c>
      <c r="S58" s="47">
        <f>((IF(Prof_Mode="parabolic",Prof_Z0+Prof_G1*(($Q$58)-Prof_Sta0)+Prof_Kq*(($Q$58)-Prof_Sta0)^2,IF(($Q$58)&lt;=Prof_PISta,Prof_Z0+Prof_G1*(($Q$58)-Prof_Sta0),Prof_PIZ+Prof_G2*(($Q$58)-Prof_PISta)))+Bm1_dCL-Deck_T)-((Sp2_ZA+(Sp2_ZB-Sp2_ZA)*((($Q$58)-Sp2_BrgA)/Sp2_Lb)-Sup_Drop+Sp2_C/3*((($Q$58)-Sp2_BrgA)/Sp2_Lb)*(1-((($Q$58)-Sp2_BrgA)/Sp2_Lb))+(Bm1_Raise)/12)+Bm_D))*$Q$6</f>
        <v>3.8553389682806483</v>
      </c>
    </row>
    <row r="59" spans="16:19" ht="15" customHeight="1" x14ac:dyDescent="0.45">
      <c r="Q59" s="47">
        <f>Sp2_Bm0+10/40*(Sp2_Bm1-Sp2_Bm0)</f>
        <v>1726.8262500000001</v>
      </c>
      <c r="R59" s="47">
        <f>(((Sp2_ZA+(Sp2_ZB-Sp2_ZA)*((($Q$59)-Sp2_BrgA)/Sp2_Lb)-Sup_Drop+Sp2_C/3*((($Q$59)-Sp2_BrgA)/Sp2_Lb)*(1-((($Q$59)-Sp2_BrgA)/Sp2_Lb))+(Bm1_Raise)/12)+Bm_D)-((Sp2_ZA+(Sp2_ZB-Sp2_ZA)*(($Q$59)-Sp2_BrgA)/Sp2_Lb)-Sup_Drop+Bm_D+Bm1_Raise/12))*$Q$6</f>
        <v>1.4040655091253029</v>
      </c>
      <c r="S59" s="47">
        <f>((IF(Prof_Mode="parabolic",Prof_Z0+Prof_G1*(($Q$59)-Prof_Sta0)+Prof_Kq*(($Q$59)-Prof_Sta0)^2,IF(($Q$59)&lt;=Prof_PISta,Prof_Z0+Prof_G1*(($Q$59)-Prof_Sta0),Prof_PIZ+Prof_G2*(($Q$59)-Prof_PISta)))+Bm1_dCL-Deck_T)-((Sp2_ZA+(Sp2_ZB-Sp2_ZA)*((($Q$59)-Sp2_BrgA)/Sp2_Lb)-Sup_Drop+Sp2_C/3*((($Q$59)-Sp2_BrgA)/Sp2_Lb)*(1-((($Q$59)-Sp2_BrgA)/Sp2_Lb))+(Bm1_Raise)/12)+Bm_D))*$Q$6</f>
        <v>3.753172701057963</v>
      </c>
    </row>
    <row r="60" spans="16:19" ht="15" customHeight="1" x14ac:dyDescent="0.45">
      <c r="Q60" s="47">
        <f>Sp2_Bm0+11/40*(Sp2_Bm1-Sp2_Bm0)</f>
        <v>1729.4393749999999</v>
      </c>
      <c r="R60" s="47">
        <f>(((Sp2_ZA+(Sp2_ZB-Sp2_ZA)*((($Q$60)-Sp2_BrgA)/Sp2_Lb)-Sup_Drop+Sp2_C/3*((($Q$60)-Sp2_BrgA)/Sp2_Lb)*(1-((($Q$60)-Sp2_BrgA)/Sp2_Lb))+(Bm1_Raise)/12)+Bm_D)-((Sp2_ZA+(Sp2_ZB-Sp2_ZA)*(($Q$60)-Sp2_BrgA)/Sp2_Lb)-Sup_Drop+Bm_D+Bm1_Raise/12))*$Q$6</f>
        <v>1.4965016556595856</v>
      </c>
      <c r="S60" s="47">
        <f>((IF(Prof_Mode="parabolic",Prof_Z0+Prof_G1*(($Q$60)-Prof_Sta0)+Prof_Kq*(($Q$60)-Prof_Sta0)^2,IF(($Q$60)&lt;=Prof_PISta,Prof_Z0+Prof_G1*(($Q$60)-Prof_Sta0),Prof_PIZ+Prof_G2*(($Q$60)-Prof_PISta)))+Bm1_dCL-Deck_T)-((Sp2_ZA+(Sp2_ZB-Sp2_ZA)*((($Q$60)-Sp2_BrgA)/Sp2_Lb)-Sup_Drop+Sp2_C/3*((($Q$60)-Sp2_BrgA)/Sp2_Lb)*(1-((($Q$60)-Sp2_BrgA)/Sp2_Lb))+(Bm1_Raise)/12)+Bm_D))*$Q$6</f>
        <v>3.6607365545239645</v>
      </c>
    </row>
    <row r="61" spans="16:19" ht="15" customHeight="1" x14ac:dyDescent="0.45">
      <c r="Q61" s="47">
        <f>Sp2_Bm0+12/40*(Sp2_Bm1-Sp2_Bm0)</f>
        <v>1732.0525</v>
      </c>
      <c r="R61" s="47">
        <f>(((Sp2_ZA+(Sp2_ZB-Sp2_ZA)*((($Q$61)-Sp2_BrgA)/Sp2_Lb)-Sup_Drop+Sp2_C/3*((($Q$61)-Sp2_BrgA)/Sp2_Lb)*(1-((($Q$61)-Sp2_BrgA)/Sp2_Lb))+(Bm1_Raise)/12)+Bm_D)-((Sp2_ZA+(Sp2_ZB-Sp2_ZA)*(($Q$61)-Sp2_BrgA)/Sp2_Lb)-Sup_Drop+Bm_D+Bm1_Raise/12))*$Q$6</f>
        <v>1.5792076815060341</v>
      </c>
      <c r="S61" s="47">
        <f>((IF(Prof_Mode="parabolic",Prof_Z0+Prof_G1*(($Q$61)-Prof_Sta0)+Prof_Kq*(($Q$61)-Prof_Sta0)^2,IF(($Q$61)&lt;=Prof_PISta,Prof_Z0+Prof_G1*(($Q$61)-Prof_Sta0),Prof_PIZ+Prof_G2*(($Q$61)-Prof_PISta)))+Bm1_dCL-Deck_T)-((Sp2_ZA+(Sp2_ZB-Sp2_ZA)*((($Q$61)-Sp2_BrgA)/Sp2_Lb)-Sup_Drop+Sp2_C/3*((($Q$61)-Sp2_BrgA)/Sp2_Lb)*(1-((($Q$61)-Sp2_BrgA)/Sp2_Lb))+(Bm1_Raise)/12)+Bm_D))*$Q$6</f>
        <v>3.5780305286772318</v>
      </c>
    </row>
    <row r="62" spans="16:19" ht="15" customHeight="1" x14ac:dyDescent="0.45">
      <c r="Q62" s="47">
        <f>Sp2_Bm0+13/40*(Sp2_Bm1-Sp2_Bm0)</f>
        <v>1734.6656249999999</v>
      </c>
      <c r="R62" s="47">
        <f>(((Sp2_ZA+(Sp2_ZB-Sp2_ZA)*((($Q$62)-Sp2_BrgA)/Sp2_Lb)-Sup_Drop+Sp2_C/3*((($Q$62)-Sp2_BrgA)/Sp2_Lb)*(1-((($Q$62)-Sp2_BrgA)/Sp2_Lb))+(Bm1_Raise)/12)+Bm_D)-((Sp2_ZA+(Sp2_ZB-Sp2_ZA)*(($Q$62)-Sp2_BrgA)/Sp2_Lb)-Sup_Drop+Bm_D+Bm1_Raise/12))*$Q$6</f>
        <v>1.6521835866649326</v>
      </c>
      <c r="S62" s="47">
        <f>((IF(Prof_Mode="parabolic",Prof_Z0+Prof_G1*(($Q$62)-Prof_Sta0)+Prof_Kq*(($Q$62)-Prof_Sta0)^2,IF(($Q$62)&lt;=Prof_PISta,Prof_Z0+Prof_G1*(($Q$62)-Prof_Sta0),Prof_PIZ+Prof_G2*(($Q$62)-Prof_PISta)))+Bm1_dCL-Deck_T)-((Sp2_ZA+(Sp2_ZB-Sp2_ZA)*((($Q$62)-Sp2_BrgA)/Sp2_Lb)-Sup_Drop+Sp2_C/3*((($Q$62)-Sp2_BrgA)/Sp2_Lb)*(1-((($Q$62)-Sp2_BrgA)/Sp2_Lb))+(Bm1_Raise)/12)+Bm_D))*$Q$6</f>
        <v>3.5050546235183333</v>
      </c>
    </row>
    <row r="63" spans="16:19" ht="15" customHeight="1" x14ac:dyDescent="0.45">
      <c r="Q63" s="47">
        <f>Sp2_Bm0+14/40*(Sp2_Bm1-Sp2_Bm0)</f>
        <v>1737.2787499999999</v>
      </c>
      <c r="R63" s="47">
        <f>(((Sp2_ZA+(Sp2_ZB-Sp2_ZA)*((($Q$63)-Sp2_BrgA)/Sp2_Lb)-Sup_Drop+Sp2_C/3*((($Q$63)-Sp2_BrgA)/Sp2_Lb)*(1-((($Q$63)-Sp2_BrgA)/Sp2_Lb))+(Bm1_Raise)/12)+Bm_D)-((Sp2_ZA+(Sp2_ZB-Sp2_ZA)*(($Q$63)-Sp2_BrgA)/Sp2_Lb)-Sup_Drop+Bm_D+Bm1_Raise/12))*$Q$6</f>
        <v>1.7154293711357127</v>
      </c>
      <c r="S63" s="47">
        <f>((IF(Prof_Mode="parabolic",Prof_Z0+Prof_G1*(($Q$63)-Prof_Sta0)+Prof_Kq*(($Q$63)-Prof_Sta0)^2,IF(($Q$63)&lt;=Prof_PISta,Prof_Z0+Prof_G1*(($Q$63)-Prof_Sta0),Prof_PIZ+Prof_G2*(($Q$63)-Prof_PISta)))+Bm1_dCL-Deck_T)-((Sp2_ZA+(Sp2_ZB-Sp2_ZA)*((($Q$63)-Sp2_BrgA)/Sp2_Lb)-Sup_Drop+Sp2_C/3*((($Q$63)-Sp2_BrgA)/Sp2_Lb)*(1-((($Q$63)-Sp2_BrgA)/Sp2_Lb))+(Bm1_Raise)/12)+Bm_D))*$Q$6</f>
        <v>3.4418088390475532</v>
      </c>
    </row>
    <row r="64" spans="16:19" ht="15" customHeight="1" x14ac:dyDescent="0.45">
      <c r="Q64" s="47">
        <f>Sp2_Bm0+15/40*(Sp2_Bm1-Sp2_Bm0)</f>
        <v>1739.891875</v>
      </c>
      <c r="R64" s="47">
        <f>(((Sp2_ZA+(Sp2_ZB-Sp2_ZA)*((($Q$64)-Sp2_BrgA)/Sp2_Lb)-Sup_Drop+Sp2_C/3*((($Q$64)-Sp2_BrgA)/Sp2_Lb)*(1-((($Q$64)-Sp2_BrgA)/Sp2_Lb))+(Bm1_Raise)/12)+Bm_D)-((Sp2_ZA+(Sp2_ZB-Sp2_ZA)*(($Q$64)-Sp2_BrgA)/Sp2_Lb)-Sup_Drop+Bm_D+Bm1_Raise/12))*$Q$6</f>
        <v>1.7689450349189428</v>
      </c>
      <c r="S64" s="47">
        <f>((IF(Prof_Mode="parabolic",Prof_Z0+Prof_G1*(($Q$64)-Prof_Sta0)+Prof_Kq*(($Q$64)-Prof_Sta0)^2,IF(($Q$64)&lt;=Prof_PISta,Prof_Z0+Prof_G1*(($Q$64)-Prof_Sta0),Prof_PIZ+Prof_G2*(($Q$64)-Prof_PISta)))+Bm1_dCL-Deck_T)-((Sp2_ZA+(Sp2_ZB-Sp2_ZA)*((($Q$64)-Sp2_BrgA)/Sp2_Lb)-Sup_Drop+Sp2_C/3*((($Q$64)-Sp2_BrgA)/Sp2_Lb)*(1-((($Q$64)-Sp2_BrgA)/Sp2_Lb))+(Bm1_Raise)/12)+Bm_D))*$Q$6</f>
        <v>3.3882931752643231</v>
      </c>
    </row>
    <row r="65" spans="2:19" ht="29.45" customHeight="1" x14ac:dyDescent="0.45">
      <c r="B65" s="82" t="str">
        <f>"Figure 2. Span 1 over CL beam 1: deck soffit, cambered beam top (C = "&amp;TEXT(Sp1_C,"0.000")&amp;" in) and the haunch between them (shaded), vertical scale x40 about the zero-camber beam top. Dims B, C and D are read from section D."</f>
        <v>Figure 2. Span 1 over CL beam 1: deck soffit, cambered beam top (C = 0.125 in) and the haunch between them (shaded), vertical scale x40 about the zero-camber beam top. Dims B, C and D are read from section D.</v>
      </c>
      <c r="C65" s="83"/>
      <c r="D65" s="83"/>
      <c r="E65" s="83"/>
      <c r="F65" s="83"/>
      <c r="G65" s="83"/>
      <c r="H65" s="83"/>
      <c r="I65" s="83"/>
      <c r="J65" s="83"/>
      <c r="K65" s="83"/>
      <c r="L65" s="83"/>
      <c r="M65" s="83"/>
      <c r="Q65" s="47">
        <f>Sp2_Bm0+16/40*(Sp2_Bm1-Sp2_Bm0)</f>
        <v>1742.5049999999999</v>
      </c>
      <c r="R65" s="47">
        <f>(((Sp2_ZA+(Sp2_ZB-Sp2_ZA)*((($Q$65)-Sp2_BrgA)/Sp2_Lb)-Sup_Drop+Sp2_C/3*((($Q$65)-Sp2_BrgA)/Sp2_Lb)*(1-((($Q$65)-Sp2_BrgA)/Sp2_Lb))+(Bm1_Raise)/12)+Bm_D)-((Sp2_ZA+(Sp2_ZB-Sp2_ZA)*(($Q$65)-Sp2_BrgA)/Sp2_Lb)-Sup_Drop+Bm_D+Bm1_Raise/12))*$Q$6</f>
        <v>1.8127305780140546</v>
      </c>
      <c r="S65" s="47">
        <f>((IF(Prof_Mode="parabolic",Prof_Z0+Prof_G1*(($Q$65)-Prof_Sta0)+Prof_Kq*(($Q$65)-Prof_Sta0)^2,IF(($Q$65)&lt;=Prof_PISta,Prof_Z0+Prof_G1*(($Q$65)-Prof_Sta0),Prof_PIZ+Prof_G2*(($Q$65)-Prof_PISta)))+Bm1_dCL-Deck_T)-((Sp2_ZA+(Sp2_ZB-Sp2_ZA)*((($Q$65)-Sp2_BrgA)/Sp2_Lb)-Sup_Drop+Sp2_C/3*((($Q$65)-Sp2_BrgA)/Sp2_Lb)*(1-((($Q$65)-Sp2_BrgA)/Sp2_Lb))+(Bm1_Raise)/12)+Bm_D))*$Q$6</f>
        <v>3.3445076321694955</v>
      </c>
    </row>
    <row r="66" spans="2:19" x14ac:dyDescent="0.45">
      <c r="Q66" s="47">
        <f>Sp2_Bm0+17/40*(Sp2_Bm1-Sp2_Bm0)</f>
        <v>1745.118125</v>
      </c>
      <c r="R66" s="47">
        <f>(((Sp2_ZA+(Sp2_ZB-Sp2_ZA)*((($Q$66)-Sp2_BrgA)/Sp2_Lb)-Sup_Drop+Sp2_C/3*((($Q$66)-Sp2_BrgA)/Sp2_Lb)*(1-((($Q$66)-Sp2_BrgA)/Sp2_Lb))+(Bm1_Raise)/12)+Bm_D)-((Sp2_ZA+(Sp2_ZB-Sp2_ZA)*(($Q$66)-Sp2_BrgA)/Sp2_Lb)-Sup_Drop+Bm_D+Bm1_Raise/12))*$Q$6</f>
        <v>1.8467860004213321</v>
      </c>
      <c r="S66" s="47">
        <f>((IF(Prof_Mode="parabolic",Prof_Z0+Prof_G1*(($Q$66)-Prof_Sta0)+Prof_Kq*(($Q$66)-Prof_Sta0)^2,IF(($Q$66)&lt;=Prof_PISta,Prof_Z0+Prof_G1*(($Q$66)-Prof_Sta0),Prof_PIZ+Prof_G2*(($Q$66)-Prof_PISta)))+Bm1_dCL-Deck_T)-((Sp2_ZA+(Sp2_ZB-Sp2_ZA)*((($Q$66)-Sp2_BrgA)/Sp2_Lb)-Sup_Drop+Sp2_C/3*((($Q$66)-Sp2_BrgA)/Sp2_Lb)*(1-((($Q$66)-Sp2_BrgA)/Sp2_Lb))+(Bm1_Raise)/12)+Bm_D))*$Q$6</f>
        <v>3.3104522097619338</v>
      </c>
    </row>
    <row r="67" spans="2:19" ht="18" customHeight="1" x14ac:dyDescent="0.45">
      <c r="B67" s="36" t="s">
        <v>979</v>
      </c>
      <c r="C67" s="18"/>
      <c r="D67" s="18"/>
      <c r="E67" s="18"/>
      <c r="F67" s="18"/>
      <c r="G67" s="18"/>
      <c r="H67" s="18"/>
      <c r="I67" s="18"/>
      <c r="J67" s="18"/>
      <c r="K67" s="18"/>
      <c r="L67" s="18"/>
      <c r="M67" s="18"/>
      <c r="Q67" s="47">
        <f>Sp2_Bm0+18/40*(Sp2_Bm1-Sp2_Bm0)</f>
        <v>1747.73125</v>
      </c>
      <c r="R67" s="47">
        <f>(((Sp2_ZA+(Sp2_ZB-Sp2_ZA)*((($Q$67)-Sp2_BrgA)/Sp2_Lb)-Sup_Drop+Sp2_C/3*((($Q$67)-Sp2_BrgA)/Sp2_Lb)*(1-((($Q$67)-Sp2_BrgA)/Sp2_Lb))+(Bm1_Raise)/12)+Bm_D)-((Sp2_ZA+(Sp2_ZB-Sp2_ZA)*(($Q$67)-Sp2_BrgA)/Sp2_Lb)-Sup_Drop+Bm_D+Bm1_Raise/12))*$Q$6</f>
        <v>1.8711113021410597</v>
      </c>
      <c r="S67" s="47">
        <f>((IF(Prof_Mode="parabolic",Prof_Z0+Prof_G1*(($Q$67)-Prof_Sta0)+Prof_Kq*(($Q$67)-Prof_Sta0)^2,IF(($Q$67)&lt;=Prof_PISta,Prof_Z0+Prof_G1*(($Q$67)-Prof_Sta0),Prof_PIZ+Prof_G2*(($Q$67)-Prof_PISta)))+Bm1_dCL-Deck_T)-((Sp2_ZA+(Sp2_ZB-Sp2_ZA)*((($Q$67)-Sp2_BrgA)/Sp2_Lb)-Sup_Drop+Sp2_C/3*((($Q$67)-Sp2_BrgA)/Sp2_Lb)*(1-((($Q$67)-Sp2_BrgA)/Sp2_Lb))+(Bm1_Raise)/12)+Bm_D))*$Q$6</f>
        <v>3.2861269080424904</v>
      </c>
    </row>
    <row r="68" spans="2:19" ht="29.45" customHeight="1" x14ac:dyDescent="0.45">
      <c r="B68" s="85" t="s">
        <v>980</v>
      </c>
      <c r="C68" s="83"/>
      <c r="D68" s="83"/>
      <c r="E68" s="83"/>
      <c r="F68" s="83"/>
      <c r="G68" s="83"/>
      <c r="H68" s="83"/>
      <c r="I68" s="83"/>
      <c r="J68" s="83"/>
      <c r="K68" s="83"/>
      <c r="L68" s="83"/>
      <c r="M68" s="83"/>
      <c r="Q68" s="47">
        <f>Sp2_Bm0+19/40*(Sp2_Bm1-Sp2_Bm0)</f>
        <v>1750.3443749999999</v>
      </c>
      <c r="R68" s="47">
        <f>(((Sp2_ZA+(Sp2_ZB-Sp2_ZA)*((($Q$68)-Sp2_BrgA)/Sp2_Lb)-Sup_Drop+Sp2_C/3*((($Q$68)-Sp2_BrgA)/Sp2_Lb)*(1-((($Q$68)-Sp2_BrgA)/Sp2_Lb))+(Bm1_Raise)/12)+Bm_D)-((Sp2_ZA+(Sp2_ZB-Sp2_ZA)*(($Q$68)-Sp2_BrgA)/Sp2_Lb)-Sup_Drop+Bm_D+Bm1_Raise/12))*$Q$6</f>
        <v>1.8857064831726689</v>
      </c>
      <c r="S68" s="47">
        <f>((IF(Prof_Mode="parabolic",Prof_Z0+Prof_G1*(($Q$68)-Prof_Sta0)+Prof_Kq*(($Q$68)-Prof_Sta0)^2,IF(($Q$68)&lt;=Prof_PISta,Prof_Z0+Prof_G1*(($Q$68)-Prof_Sta0),Prof_PIZ+Prof_G2*(($Q$68)-Prof_PISta)))+Bm1_dCL-Deck_T)-((Sp2_ZA+(Sp2_ZB-Sp2_ZA)*((($Q$68)-Sp2_BrgA)/Sp2_Lb)-Sup_Drop+Sp2_C/3*((($Q$68)-Sp2_BrgA)/Sp2_Lb)*(1-((($Q$68)-Sp2_BrgA)/Sp2_Lb))+(Bm1_Raise)/12)+Bm_D))*$Q$6</f>
        <v>3.271531727010597</v>
      </c>
    </row>
    <row r="69" spans="2:19" ht="15" customHeight="1" x14ac:dyDescent="0.45">
      <c r="Q69" s="47">
        <f>Sp2_Bm0+20/40*(Sp2_Bm1-Sp2_Bm0)</f>
        <v>1752.9575</v>
      </c>
      <c r="R69" s="47">
        <f>(((Sp2_ZA+(Sp2_ZB-Sp2_ZA)*((($Q$69)-Sp2_BrgA)/Sp2_Lb)-Sup_Drop+Sp2_C/3*((($Q$69)-Sp2_BrgA)/Sp2_Lb)*(1-((($Q$69)-Sp2_BrgA)/Sp2_Lb))+(Bm1_Raise)/12)+Bm_D)-((Sp2_ZA+(Sp2_ZB-Sp2_ZA)*(($Q$69)-Sp2_BrgA)/Sp2_Lb)-Sup_Drop+Bm_D+Bm1_Raise/12))*$Q$6</f>
        <v>1.8905715435167281</v>
      </c>
      <c r="S69" s="47">
        <f>((IF(Prof_Mode="parabolic",Prof_Z0+Prof_G1*(($Q$69)-Prof_Sta0)+Prof_Kq*(($Q$69)-Prof_Sta0)^2,IF(($Q$69)&lt;=Prof_PISta,Prof_Z0+Prof_G1*(($Q$69)-Prof_Sta0),Prof_PIZ+Prof_G2*(($Q$69)-Prof_PISta)))+Bm1_dCL-Deck_T)-((Sp2_ZA+(Sp2_ZB-Sp2_ZA)*((($Q$69)-Sp2_BrgA)/Sp2_Lb)-Sup_Drop+Sp2_C/3*((($Q$69)-Sp2_BrgA)/Sp2_Lb)*(1-((($Q$69)-Sp2_BrgA)/Sp2_Lb))+(Bm1_Raise)/12)+Bm_D))*$Q$6</f>
        <v>3.2666666666665378</v>
      </c>
    </row>
    <row r="70" spans="2:19" ht="15" customHeight="1" x14ac:dyDescent="0.45">
      <c r="Q70" s="47">
        <f>Sp2_Bm0+21/40*(Sp2_Bm1-Sp2_Bm0)</f>
        <v>1755.5706250000001</v>
      </c>
      <c r="R70" s="47">
        <f>(((Sp2_ZA+(Sp2_ZB-Sp2_ZA)*((($Q$70)-Sp2_BrgA)/Sp2_Lb)-Sup_Drop+Sp2_C/3*((($Q$70)-Sp2_BrgA)/Sp2_Lb)*(1-((($Q$70)-Sp2_BrgA)/Sp2_Lb))+(Bm1_Raise)/12)+Bm_D)-((Sp2_ZA+(Sp2_ZB-Sp2_ZA)*(($Q$70)-Sp2_BrgA)/Sp2_Lb)-Sup_Drop+Bm_D+Bm1_Raise/12))*$Q$6</f>
        <v>1.8857064831726689</v>
      </c>
      <c r="S70" s="47">
        <f>((IF(Prof_Mode="parabolic",Prof_Z0+Prof_G1*(($Q$70)-Prof_Sta0)+Prof_Kq*(($Q$70)-Prof_Sta0)^2,IF(($Q$70)&lt;=Prof_PISta,Prof_Z0+Prof_G1*(($Q$70)-Prof_Sta0),Prof_PIZ+Prof_G2*(($Q$70)-Prof_PISta)))+Bm1_dCL-Deck_T)-((Sp2_ZA+(Sp2_ZB-Sp2_ZA)*((($Q$70)-Sp2_BrgA)/Sp2_Lb)-Sup_Drop+Sp2_C/3*((($Q$70)-Sp2_BrgA)/Sp2_Lb)*(1-((($Q$70)-Sp2_BrgA)/Sp2_Lb))+(Bm1_Raise)/12)+Bm_D))*$Q$6</f>
        <v>3.271531727010597</v>
      </c>
    </row>
    <row r="71" spans="2:19" ht="15" customHeight="1" x14ac:dyDescent="0.45">
      <c r="Q71" s="47">
        <f>Sp2_Bm0+22/40*(Sp2_Bm1-Sp2_Bm0)</f>
        <v>1758.1837499999999</v>
      </c>
      <c r="R71" s="47">
        <f>(((Sp2_ZA+(Sp2_ZB-Sp2_ZA)*((($Q$71)-Sp2_BrgA)/Sp2_Lb)-Sup_Drop+Sp2_C/3*((($Q$71)-Sp2_BrgA)/Sp2_Lb)*(1-((($Q$71)-Sp2_BrgA)/Sp2_Lb))+(Bm1_Raise)/12)+Bm_D)-((Sp2_ZA+(Sp2_ZB-Sp2_ZA)*(($Q$71)-Sp2_BrgA)/Sp2_Lb)-Sup_Drop+Bm_D+Bm1_Raise/12))*$Q$6</f>
        <v>1.8711113021410597</v>
      </c>
      <c r="S71" s="47">
        <f>((IF(Prof_Mode="parabolic",Prof_Z0+Prof_G1*(($Q$71)-Prof_Sta0)+Prof_Kq*(($Q$71)-Prof_Sta0)^2,IF(($Q$71)&lt;=Prof_PISta,Prof_Z0+Prof_G1*(($Q$71)-Prof_Sta0),Prof_PIZ+Prof_G2*(($Q$71)-Prof_PISta)))+Bm1_dCL-Deck_T)-((Sp2_ZA+(Sp2_ZB-Sp2_ZA)*((($Q$71)-Sp2_BrgA)/Sp2_Lb)-Sup_Drop+Sp2_C/3*((($Q$71)-Sp2_BrgA)/Sp2_Lb)*(1-((($Q$71)-Sp2_BrgA)/Sp2_Lb))+(Bm1_Raise)/12)+Bm_D))*$Q$6</f>
        <v>3.2861269080422062</v>
      </c>
    </row>
    <row r="72" spans="2:19" ht="16.25" customHeight="1" x14ac:dyDescent="0.45">
      <c r="B72" s="85" t="str">
        <f>IF(COUNTIF('Camber &amp; Haunch'!$H$38:$H$41,"Case 1")=4,"A straight PGL in each span gives R_m = 0, so every beam is Case 1.","Not every beam is Case 1; see section D of the Camber &amp; Haunch tab.")</f>
        <v>A straight PGL in each span gives R_m = 0, so every beam is Case 1.</v>
      </c>
      <c r="C72" s="83"/>
      <c r="D72" s="83"/>
      <c r="E72" s="83"/>
      <c r="F72" s="83"/>
      <c r="G72" s="83"/>
      <c r="H72" s="83"/>
      <c r="I72" s="83"/>
      <c r="J72" s="83"/>
      <c r="K72" s="83"/>
      <c r="L72" s="83"/>
      <c r="M72" s="83"/>
      <c r="Q72" s="47">
        <f>Sp2_Bm0+23/40*(Sp2_Bm1-Sp2_Bm0)</f>
        <v>1760.796875</v>
      </c>
      <c r="R72" s="47">
        <f>(((Sp2_ZA+(Sp2_ZB-Sp2_ZA)*((($Q$72)-Sp2_BrgA)/Sp2_Lb)-Sup_Drop+Sp2_C/3*((($Q$72)-Sp2_BrgA)/Sp2_Lb)*(1-((($Q$72)-Sp2_BrgA)/Sp2_Lb))+(Bm1_Raise)/12)+Bm_D)-((Sp2_ZA+(Sp2_ZB-Sp2_ZA)*(($Q$72)-Sp2_BrgA)/Sp2_Lb)-Sup_Drop+Bm_D+Bm1_Raise/12))*$Q$6</f>
        <v>1.8467860004213321</v>
      </c>
      <c r="S72" s="47">
        <f>((IF(Prof_Mode="parabolic",Prof_Z0+Prof_G1*(($Q$72)-Prof_Sta0)+Prof_Kq*(($Q$72)-Prof_Sta0)^2,IF(($Q$72)&lt;=Prof_PISta,Prof_Z0+Prof_G1*(($Q$72)-Prof_Sta0),Prof_PIZ+Prof_G2*(($Q$72)-Prof_PISta)))+Bm1_dCL-Deck_T)-((Sp2_ZA+(Sp2_ZB-Sp2_ZA)*((($Q$72)-Sp2_BrgA)/Sp2_Lb)-Sup_Drop+Sp2_C/3*((($Q$72)-Sp2_BrgA)/Sp2_Lb)*(1-((($Q$72)-Sp2_BrgA)/Sp2_Lb))+(Bm1_Raise)/12)+Bm_D))*$Q$6</f>
        <v>3.3104522097619338</v>
      </c>
    </row>
    <row r="73" spans="2:19" x14ac:dyDescent="0.45">
      <c r="B73" s="86" t="s">
        <v>102</v>
      </c>
      <c r="C73" s="86" t="s">
        <v>699</v>
      </c>
      <c r="D73" s="87"/>
      <c r="E73" s="87"/>
      <c r="F73" s="87"/>
      <c r="G73" s="87"/>
      <c r="H73" s="86" t="s">
        <v>700</v>
      </c>
      <c r="I73" s="87"/>
      <c r="J73" s="87"/>
      <c r="K73" s="86" t="s">
        <v>701</v>
      </c>
      <c r="L73" s="87"/>
      <c r="M73" s="87"/>
      <c r="Q73" s="47">
        <f>Sp2_Bm0+24/40*(Sp2_Bm1-Sp2_Bm0)</f>
        <v>1763.41</v>
      </c>
      <c r="R73" s="47">
        <f>(((Sp2_ZA+(Sp2_ZB-Sp2_ZA)*((($Q$73)-Sp2_BrgA)/Sp2_Lb)-Sup_Drop+Sp2_C/3*((($Q$73)-Sp2_BrgA)/Sp2_Lb)*(1-((($Q$73)-Sp2_BrgA)/Sp2_Lb))+(Bm1_Raise)/12)+Bm_D)-((Sp2_ZA+(Sp2_ZB-Sp2_ZA)*(($Q$73)-Sp2_BrgA)/Sp2_Lb)-Sup_Drop+Bm_D+Bm1_Raise/12))*$Q$6</f>
        <v>1.8127305780140546</v>
      </c>
      <c r="S73" s="47">
        <f>((IF(Prof_Mode="parabolic",Prof_Z0+Prof_G1*(($Q$73)-Prof_Sta0)+Prof_Kq*(($Q$73)-Prof_Sta0)^2,IF(($Q$73)&lt;=Prof_PISta,Prof_Z0+Prof_G1*(($Q$73)-Prof_Sta0),Prof_PIZ+Prof_G2*(($Q$73)-Prof_PISta)))+Bm1_dCL-Deck_T)-((Sp2_ZA+(Sp2_ZB-Sp2_ZA)*((($Q$73)-Sp2_BrgA)/Sp2_Lb)-Sup_Drop+Sp2_C/3*((($Q$73)-Sp2_BrgA)/Sp2_Lb)*(1-((($Q$73)-Sp2_BrgA)/Sp2_Lb))+(Bm1_Raise)/12)+Bm_D))*$Q$6</f>
        <v>3.3445076321692113</v>
      </c>
    </row>
    <row r="74" spans="2:19" ht="15.2" customHeight="1" x14ac:dyDescent="0.45">
      <c r="B74" s="85" t="s">
        <v>236</v>
      </c>
      <c r="C74" s="85" t="s">
        <v>981</v>
      </c>
      <c r="D74" s="83"/>
      <c r="E74" s="83"/>
      <c r="F74" s="83"/>
      <c r="G74" s="83"/>
      <c r="H74" s="85" t="s">
        <v>982</v>
      </c>
      <c r="I74" s="83"/>
      <c r="J74" s="83"/>
      <c r="K74" s="85" t="s">
        <v>211</v>
      </c>
      <c r="L74" s="83"/>
      <c r="M74" s="83"/>
      <c r="Q74" s="47">
        <f>Sp2_Bm0+25/40*(Sp2_Bm1-Sp2_Bm0)</f>
        <v>1766.0231249999999</v>
      </c>
      <c r="R74" s="47">
        <f>(((Sp2_ZA+(Sp2_ZB-Sp2_ZA)*((($Q$74)-Sp2_BrgA)/Sp2_Lb)-Sup_Drop+Sp2_C/3*((($Q$74)-Sp2_BrgA)/Sp2_Lb)*(1-((($Q$74)-Sp2_BrgA)/Sp2_Lb))+(Bm1_Raise)/12)+Bm_D)-((Sp2_ZA+(Sp2_ZB-Sp2_ZA)*(($Q$74)-Sp2_BrgA)/Sp2_Lb)-Sup_Drop+Bm_D+Bm1_Raise/12))*$Q$6</f>
        <v>1.7689450349189428</v>
      </c>
      <c r="S74" s="47">
        <f>((IF(Prof_Mode="parabolic",Prof_Z0+Prof_G1*(($Q$74)-Prof_Sta0)+Prof_Kq*(($Q$74)-Prof_Sta0)^2,IF(($Q$74)&lt;=Prof_PISta,Prof_Z0+Prof_G1*(($Q$74)-Prof_Sta0),Prof_PIZ+Prof_G2*(($Q$74)-Prof_PISta)))+Bm1_dCL-Deck_T)-((Sp2_ZA+(Sp2_ZB-Sp2_ZA)*((($Q$74)-Sp2_BrgA)/Sp2_Lb)-Sup_Drop+Sp2_C/3*((($Q$74)-Sp2_BrgA)/Sp2_Lb)*(1-((($Q$74)-Sp2_BrgA)/Sp2_Lb))+(Bm1_Raise)/12)+Bm_D))*$Q$6</f>
        <v>3.3882931752646073</v>
      </c>
    </row>
    <row r="75" spans="2:19" ht="15.2" customHeight="1" x14ac:dyDescent="0.45">
      <c r="B75" s="85" t="s">
        <v>682</v>
      </c>
      <c r="C75" s="85" t="s">
        <v>983</v>
      </c>
      <c r="D75" s="83"/>
      <c r="E75" s="83"/>
      <c r="F75" s="83"/>
      <c r="G75" s="83"/>
      <c r="H75" s="85" t="s">
        <v>984</v>
      </c>
      <c r="I75" s="83"/>
      <c r="J75" s="83"/>
      <c r="K75" s="85" t="s">
        <v>135</v>
      </c>
      <c r="L75" s="83"/>
      <c r="M75" s="83"/>
      <c r="Q75" s="47">
        <f>Sp2_Bm0+26/40*(Sp2_Bm1-Sp2_Bm0)</f>
        <v>1768.63625</v>
      </c>
      <c r="R75" s="47">
        <f>(((Sp2_ZA+(Sp2_ZB-Sp2_ZA)*((($Q$75)-Sp2_BrgA)/Sp2_Lb)-Sup_Drop+Sp2_C/3*((($Q$75)-Sp2_BrgA)/Sp2_Lb)*(1-((($Q$75)-Sp2_BrgA)/Sp2_Lb))+(Bm1_Raise)/12)+Bm_D)-((Sp2_ZA+(Sp2_ZB-Sp2_ZA)*(($Q$75)-Sp2_BrgA)/Sp2_Lb)-Sup_Drop+Bm_D+Bm1_Raise/12))*$Q$6</f>
        <v>1.7154293711357127</v>
      </c>
      <c r="S75" s="47">
        <f>((IF(Prof_Mode="parabolic",Prof_Z0+Prof_G1*(($Q$75)-Prof_Sta0)+Prof_Kq*(($Q$75)-Prof_Sta0)^2,IF(($Q$75)&lt;=Prof_PISta,Prof_Z0+Prof_G1*(($Q$75)-Prof_Sta0),Prof_PIZ+Prof_G2*(($Q$75)-Prof_PISta)))+Bm1_dCL-Deck_T)-((Sp2_ZA+(Sp2_ZB-Sp2_ZA)*((($Q$75)-Sp2_BrgA)/Sp2_Lb)-Sup_Drop+Sp2_C/3*((($Q$75)-Sp2_BrgA)/Sp2_Lb)*(1-((($Q$75)-Sp2_BrgA)/Sp2_Lb))+(Bm1_Raise)/12)+Bm_D))*$Q$6</f>
        <v>3.4418088390475532</v>
      </c>
    </row>
    <row r="76" spans="2:19" ht="15.2" customHeight="1" x14ac:dyDescent="0.45">
      <c r="B76" s="85" t="s">
        <v>985</v>
      </c>
      <c r="C76" s="85" t="s">
        <v>986</v>
      </c>
      <c r="D76" s="83"/>
      <c r="E76" s="83"/>
      <c r="F76" s="83"/>
      <c r="G76" s="83"/>
      <c r="H76" s="85" t="s">
        <v>987</v>
      </c>
      <c r="I76" s="83"/>
      <c r="J76" s="83"/>
      <c r="K76" s="85" t="s">
        <v>988</v>
      </c>
      <c r="L76" s="83"/>
      <c r="M76" s="83"/>
      <c r="Q76" s="47">
        <f>Sp2_Bm0+27/40*(Sp2_Bm1-Sp2_Bm0)</f>
        <v>1771.2493750000001</v>
      </c>
      <c r="R76" s="47">
        <f>(((Sp2_ZA+(Sp2_ZB-Sp2_ZA)*((($Q$76)-Sp2_BrgA)/Sp2_Lb)-Sup_Drop+Sp2_C/3*((($Q$76)-Sp2_BrgA)/Sp2_Lb)*(1-((($Q$76)-Sp2_BrgA)/Sp2_Lb))+(Bm1_Raise)/12)+Bm_D)-((Sp2_ZA+(Sp2_ZB-Sp2_ZA)*(($Q$76)-Sp2_BrgA)/Sp2_Lb)-Sup_Drop+Bm_D+Bm1_Raise/12))*$Q$6</f>
        <v>1.6521835866649326</v>
      </c>
      <c r="S76" s="47">
        <f>((IF(Prof_Mode="parabolic",Prof_Z0+Prof_G1*(($Q$76)-Prof_Sta0)+Prof_Kq*(($Q$76)-Prof_Sta0)^2,IF(($Q$76)&lt;=Prof_PISta,Prof_Z0+Prof_G1*(($Q$76)-Prof_Sta0),Prof_PIZ+Prof_G2*(($Q$76)-Prof_PISta)))+Bm1_dCL-Deck_T)-((Sp2_ZA+(Sp2_ZB-Sp2_ZA)*((($Q$76)-Sp2_BrgA)/Sp2_Lb)-Sup_Drop+Sp2_C/3*((($Q$76)-Sp2_BrgA)/Sp2_Lb)*(1-((($Q$76)-Sp2_BrgA)/Sp2_Lb))+(Bm1_Raise)/12)+Bm_D))*$Q$6</f>
        <v>3.5050546235186175</v>
      </c>
    </row>
    <row r="77" spans="2:19" ht="15.2" customHeight="1" x14ac:dyDescent="0.45">
      <c r="B77" s="85" t="s">
        <v>989</v>
      </c>
      <c r="C77" s="85" t="s">
        <v>990</v>
      </c>
      <c r="D77" s="83"/>
      <c r="E77" s="83"/>
      <c r="F77" s="83"/>
      <c r="G77" s="83"/>
      <c r="H77" s="85" t="s">
        <v>991</v>
      </c>
      <c r="I77" s="83"/>
      <c r="J77" s="83"/>
      <c r="K77" s="85" t="s">
        <v>135</v>
      </c>
      <c r="L77" s="83"/>
      <c r="M77" s="83"/>
      <c r="Q77" s="47">
        <f>Sp2_Bm0+28/40*(Sp2_Bm1-Sp2_Bm0)</f>
        <v>1773.8625</v>
      </c>
      <c r="R77" s="47">
        <f>(((Sp2_ZA+(Sp2_ZB-Sp2_ZA)*((($Q$77)-Sp2_BrgA)/Sp2_Lb)-Sup_Drop+Sp2_C/3*((($Q$77)-Sp2_BrgA)/Sp2_Lb)*(1-((($Q$77)-Sp2_BrgA)/Sp2_Lb))+(Bm1_Raise)/12)+Bm_D)-((Sp2_ZA+(Sp2_ZB-Sp2_ZA)*(($Q$77)-Sp2_BrgA)/Sp2_Lb)-Sup_Drop+Bm_D+Bm1_Raise/12))*$Q$6</f>
        <v>1.5792076815060341</v>
      </c>
      <c r="S77" s="47">
        <f>((IF(Prof_Mode="parabolic",Prof_Z0+Prof_G1*(($Q$77)-Prof_Sta0)+Prof_Kq*(($Q$77)-Prof_Sta0)^2,IF(($Q$77)&lt;=Prof_PISta,Prof_Z0+Prof_G1*(($Q$77)-Prof_Sta0),Prof_PIZ+Prof_G2*(($Q$77)-Prof_PISta)))+Bm1_dCL-Deck_T)-((Sp2_ZA+(Sp2_ZB-Sp2_ZA)*((($Q$77)-Sp2_BrgA)/Sp2_Lb)-Sup_Drop+Sp2_C/3*((($Q$77)-Sp2_BrgA)/Sp2_Lb)*(1-((($Q$77)-Sp2_BrgA)/Sp2_Lb))+(Bm1_Raise)/12)+Bm_D))*$Q$6</f>
        <v>3.5780305286772318</v>
      </c>
    </row>
    <row r="78" spans="2:19" ht="15.2" customHeight="1" x14ac:dyDescent="0.45">
      <c r="B78" s="85" t="s">
        <v>992</v>
      </c>
      <c r="C78" s="85" t="s">
        <v>993</v>
      </c>
      <c r="D78" s="83"/>
      <c r="E78" s="83"/>
      <c r="F78" s="83"/>
      <c r="G78" s="83"/>
      <c r="H78" s="85" t="s">
        <v>994</v>
      </c>
      <c r="I78" s="83"/>
      <c r="J78" s="83"/>
      <c r="K78" s="85" t="s">
        <v>211</v>
      </c>
      <c r="L78" s="83"/>
      <c r="M78" s="83"/>
      <c r="Q78" s="47">
        <f>Sp2_Bm0+29/40*(Sp2_Bm1-Sp2_Bm0)</f>
        <v>1776.475625</v>
      </c>
      <c r="R78" s="47">
        <f>(((Sp2_ZA+(Sp2_ZB-Sp2_ZA)*((($Q$78)-Sp2_BrgA)/Sp2_Lb)-Sup_Drop+Sp2_C/3*((($Q$78)-Sp2_BrgA)/Sp2_Lb)*(1-((($Q$78)-Sp2_BrgA)/Sp2_Lb))+(Bm1_Raise)/12)+Bm_D)-((Sp2_ZA+(Sp2_ZB-Sp2_ZA)*(($Q$78)-Sp2_BrgA)/Sp2_Lb)-Sup_Drop+Bm_D+Bm1_Raise/12))*$Q$6</f>
        <v>1.4965016556595856</v>
      </c>
      <c r="S78" s="47">
        <f>((IF(Prof_Mode="parabolic",Prof_Z0+Prof_G1*(($Q$78)-Prof_Sta0)+Prof_Kq*(($Q$78)-Prof_Sta0)^2,IF(($Q$78)&lt;=Prof_PISta,Prof_Z0+Prof_G1*(($Q$78)-Prof_Sta0),Prof_PIZ+Prof_G2*(($Q$78)-Prof_PISta)))+Bm1_dCL-Deck_T)-((Sp2_ZA+(Sp2_ZB-Sp2_ZA)*((($Q$78)-Sp2_BrgA)/Sp2_Lb)-Sup_Drop+Sp2_C/3*((($Q$78)-Sp2_BrgA)/Sp2_Lb)*(1-((($Q$78)-Sp2_BrgA)/Sp2_Lb))+(Bm1_Raise)/12)+Bm_D))*$Q$6</f>
        <v>3.6607365545236803</v>
      </c>
    </row>
    <row r="79" spans="2:19" x14ac:dyDescent="0.45">
      <c r="Q79" s="47">
        <f>Sp2_Bm0+30/40*(Sp2_Bm1-Sp2_Bm0)</f>
        <v>1779.0887499999999</v>
      </c>
      <c r="R79" s="47">
        <f>(((Sp2_ZA+(Sp2_ZB-Sp2_ZA)*((($Q$79)-Sp2_BrgA)/Sp2_Lb)-Sup_Drop+Sp2_C/3*((($Q$79)-Sp2_BrgA)/Sp2_Lb)*(1-((($Q$79)-Sp2_BrgA)/Sp2_Lb))+(Bm1_Raise)/12)+Bm_D)-((Sp2_ZA+(Sp2_ZB-Sp2_ZA)*(($Q$79)-Sp2_BrgA)/Sp2_Lb)-Sup_Drop+Bm_D+Bm1_Raise/12))*$Q$6</f>
        <v>1.4040655091253029</v>
      </c>
      <c r="S79" s="47">
        <f>((IF(Prof_Mode="parabolic",Prof_Z0+Prof_G1*(($Q$79)-Prof_Sta0)+Prof_Kq*(($Q$79)-Prof_Sta0)^2,IF(($Q$79)&lt;=Prof_PISta,Prof_Z0+Prof_G1*(($Q$79)-Prof_Sta0),Prof_PIZ+Prof_G2*(($Q$79)-Prof_PISta)))+Bm1_dCL-Deck_T)-((Sp2_ZA+(Sp2_ZB-Sp2_ZA)*((($Q$79)-Sp2_BrgA)/Sp2_Lb)-Sup_Drop+Sp2_C/3*((($Q$79)-Sp2_BrgA)/Sp2_Lb)*(1-((($Q$79)-Sp2_BrgA)/Sp2_Lb))+(Bm1_Raise)/12)+Bm_D))*$Q$6</f>
        <v>3.753172701057963</v>
      </c>
    </row>
    <row r="80" spans="2:19" x14ac:dyDescent="0.45">
      <c r="Q80" s="47">
        <f>Sp2_Bm0+31/40*(Sp2_Bm1-Sp2_Bm0)</f>
        <v>1781.701875</v>
      </c>
      <c r="R80" s="47">
        <f>(((Sp2_ZA+(Sp2_ZB-Sp2_ZA)*((($Q$80)-Sp2_BrgA)/Sp2_Lb)-Sup_Drop+Sp2_C/3*((($Q$80)-Sp2_BrgA)/Sp2_Lb)*(1-((($Q$80)-Sp2_BrgA)/Sp2_Lb))+(Bm1_Raise)/12)+Bm_D)-((Sp2_ZA+(Sp2_ZB-Sp2_ZA)*(($Q$80)-Sp2_BrgA)/Sp2_Lb)-Sup_Drop+Bm_D+Bm1_Raise/12))*$Q$6</f>
        <v>1.3018992419029018</v>
      </c>
      <c r="S80" s="47">
        <f>((IF(Prof_Mode="parabolic",Prof_Z0+Prof_G1*(($Q$80)-Prof_Sta0)+Prof_Kq*(($Q$80)-Prof_Sta0)^2,IF(($Q$80)&lt;=Prof_PISta,Prof_Z0+Prof_G1*(($Q$80)-Prof_Sta0),Prof_PIZ+Prof_G2*(($Q$80)-Prof_PISta)))+Bm1_dCL-Deck_T)-((Sp2_ZA+(Sp2_ZB-Sp2_ZA)*((($Q$80)-Sp2_BrgA)/Sp2_Lb)-Sup_Drop+Sp2_C/3*((($Q$80)-Sp2_BrgA)/Sp2_Lb)*(1-((($Q$80)-Sp2_BrgA)/Sp2_Lb))+(Bm1_Raise)/12)+Bm_D))*$Q$6</f>
        <v>3.855338968280364</v>
      </c>
    </row>
    <row r="81" spans="16:19" x14ac:dyDescent="0.45">
      <c r="Q81" s="47">
        <f>Sp2_Bm0+32/40*(Sp2_Bm1-Sp2_Bm0)</f>
        <v>1784.3150000000001</v>
      </c>
      <c r="R81" s="47">
        <f>(((Sp2_ZA+(Sp2_ZB-Sp2_ZA)*((($Q$81)-Sp2_BrgA)/Sp2_Lb)-Sup_Drop+Sp2_C/3*((($Q$81)-Sp2_BrgA)/Sp2_Lb)*(1-((($Q$81)-Sp2_BrgA)/Sp2_Lb))+(Bm1_Raise)/12)+Bm_D)-((Sp2_ZA+(Sp2_ZB-Sp2_ZA)*(($Q$81)-Sp2_BrgA)/Sp2_Lb)-Sup_Drop+Bm_D+Bm1_Raise/12))*$Q$6</f>
        <v>1.1900028539929508</v>
      </c>
      <c r="S81" s="47">
        <f>((IF(Prof_Mode="parabolic",Prof_Z0+Prof_G1*(($Q$81)-Prof_Sta0)+Prof_Kq*(($Q$81)-Prof_Sta0)^2,IF(($Q$81)&lt;=Prof_PISta,Prof_Z0+Prof_G1*(($Q$81)-Prof_Sta0),Prof_PIZ+Prof_G2*(($Q$81)-Prof_PISta)))+Bm1_dCL-Deck_T)-((Sp2_ZA+(Sp2_ZB-Sp2_ZA)*((($Q$81)-Sp2_BrgA)/Sp2_Lb)-Sup_Drop+Sp2_C/3*((($Q$81)-Sp2_BrgA)/Sp2_Lb)*(1-((($Q$81)-Sp2_BrgA)/Sp2_Lb))+(Bm1_Raise)/12)+Bm_D))*$Q$6</f>
        <v>3.9672353561903151</v>
      </c>
    </row>
    <row r="82" spans="16:19" x14ac:dyDescent="0.45">
      <c r="Q82" s="47">
        <f>Sp2_Bm0+33/40*(Sp2_Bm1-Sp2_Bm0)</f>
        <v>1786.9281249999999</v>
      </c>
      <c r="R82" s="47">
        <f>(((Sp2_ZA+(Sp2_ZB-Sp2_ZA)*((($Q$82)-Sp2_BrgA)/Sp2_Lb)-Sup_Drop+Sp2_C/3*((($Q$82)-Sp2_BrgA)/Sp2_Lb)*(1-((($Q$82)-Sp2_BrgA)/Sp2_Lb))+(Bm1_Raise)/12)+Bm_D)-((Sp2_ZA+(Sp2_ZB-Sp2_ZA)*(($Q$82)-Sp2_BrgA)/Sp2_Lb)-Sup_Drop+Bm_D+Bm1_Raise/12))*$Q$6</f>
        <v>1.0683763453951656</v>
      </c>
      <c r="S82" s="47">
        <f>((IF(Prof_Mode="parabolic",Prof_Z0+Prof_G1*(($Q$82)-Prof_Sta0)+Prof_Kq*(($Q$82)-Prof_Sta0)^2,IF(($Q$82)&lt;=Prof_PISta,Prof_Z0+Prof_G1*(($Q$82)-Prof_Sta0),Prof_PIZ+Prof_G2*(($Q$82)-Prof_PISta)))+Bm1_dCL-Deck_T)-((Sp2_ZA+(Sp2_ZB-Sp2_ZA)*((($Q$82)-Sp2_BrgA)/Sp2_Lb)-Sup_Drop+Sp2_C/3*((($Q$82)-Sp2_BrgA)/Sp2_Lb)*(1-((($Q$82)-Sp2_BrgA)/Sp2_Lb))+(Bm1_Raise)/12)+Bm_D))*$Q$6</f>
        <v>4.0888618647881003</v>
      </c>
    </row>
    <row r="83" spans="16:19" x14ac:dyDescent="0.45">
      <c r="Q83" s="47">
        <f>Sp2_Bm0+34/40*(Sp2_Bm1-Sp2_Bm0)</f>
        <v>1789.54125</v>
      </c>
      <c r="R83" s="47">
        <f>(((Sp2_ZA+(Sp2_ZB-Sp2_ZA)*((($Q$83)-Sp2_BrgA)/Sp2_Lb)-Sup_Drop+Sp2_C/3*((($Q$83)-Sp2_BrgA)/Sp2_Lb)*(1-((($Q$83)-Sp2_BrgA)/Sp2_Lb))+(Bm1_Raise)/12)+Bm_D)-((Sp2_ZA+(Sp2_ZB-Sp2_ZA)*(($Q$83)-Sp2_BrgA)/Sp2_Lb)-Sup_Drop+Bm_D+Bm1_Raise/12))*$Q$6</f>
        <v>0.93701971610926194</v>
      </c>
      <c r="S83" s="47">
        <f>((IF(Prof_Mode="parabolic",Prof_Z0+Prof_G1*(($Q$83)-Prof_Sta0)+Prof_Kq*(($Q$83)-Prof_Sta0)^2,IF(($Q$83)&lt;=Prof_PISta,Prof_Z0+Prof_G1*(($Q$83)-Prof_Sta0),Prof_PIZ+Prof_G2*(($Q$83)-Prof_PISta)))+Bm1_dCL-Deck_T)-((Sp2_ZA+(Sp2_ZB-Sp2_ZA)*((($Q$83)-Sp2_BrgA)/Sp2_Lb)-Sup_Drop+Sp2_C/3*((($Q$83)-Sp2_BrgA)/Sp2_Lb)*(1-((($Q$83)-Sp2_BrgA)/Sp2_Lb))+(Bm1_Raise)/12)+Bm_D))*$Q$6</f>
        <v>4.220218494074004</v>
      </c>
    </row>
    <row r="84" spans="16:19" x14ac:dyDescent="0.45">
      <c r="Q84" s="47">
        <f>Sp2_Bm0+35/40*(Sp2_Bm1-Sp2_Bm0)</f>
        <v>1792.1543750000001</v>
      </c>
      <c r="R84" s="47">
        <f>(((Sp2_ZA+(Sp2_ZB-Sp2_ZA)*((($Q$84)-Sp2_BrgA)/Sp2_Lb)-Sup_Drop+Sp2_C/3*((($Q$84)-Sp2_BrgA)/Sp2_Lb)*(1-((($Q$84)-Sp2_BrgA)/Sp2_Lb))+(Bm1_Raise)/12)+Bm_D)-((Sp2_ZA+(Sp2_ZB-Sp2_ZA)*(($Q$84)-Sp2_BrgA)/Sp2_Lb)-Sup_Drop+Bm_D+Bm1_Raise/12))*$Q$6</f>
        <v>0.79593296613580833</v>
      </c>
      <c r="S84" s="47">
        <f>((IF(Prof_Mode="parabolic",Prof_Z0+Prof_G1*(($Q$84)-Prof_Sta0)+Prof_Kq*(($Q$84)-Prof_Sta0)^2,IF(($Q$84)&lt;=Prof_PISta,Prof_Z0+Prof_G1*(($Q$84)-Prof_Sta0),Prof_PIZ+Prof_G2*(($Q$84)-Prof_PISta)))+Bm1_dCL-Deck_T)-((Sp2_ZA+(Sp2_ZB-Sp2_ZA)*((($Q$84)-Sp2_BrgA)/Sp2_Lb)-Sup_Drop+Sp2_C/3*((($Q$84)-Sp2_BrgA)/Sp2_Lb)*(1-((($Q$84)-Sp2_BrgA)/Sp2_Lb))+(Bm1_Raise)/12)+Bm_D))*$Q$6</f>
        <v>4.3613052440474576</v>
      </c>
    </row>
    <row r="85" spans="16:19" x14ac:dyDescent="0.45">
      <c r="Q85" s="47">
        <f>Sp2_Bm0+36/40*(Sp2_Bm1-Sp2_Bm0)</f>
        <v>1794.7674999999999</v>
      </c>
      <c r="R85" s="47">
        <f>(((Sp2_ZA+(Sp2_ZB-Sp2_ZA)*((($Q$85)-Sp2_BrgA)/Sp2_Lb)-Sup_Drop+Sp2_C/3*((($Q$85)-Sp2_BrgA)/Sp2_Lb)*(1-((($Q$85)-Sp2_BrgA)/Sp2_Lb))+(Bm1_Raise)/12)+Bm_D)-((Sp2_ZA+(Sp2_ZB-Sp2_ZA)*(($Q$85)-Sp2_BrgA)/Sp2_Lb)-Sup_Drop+Bm_D+Bm1_Raise/12))*$Q$6</f>
        <v>0.64511609547452053</v>
      </c>
      <c r="S85" s="47">
        <f>((IF(Prof_Mode="parabolic",Prof_Z0+Prof_G1*(($Q$85)-Prof_Sta0)+Prof_Kq*(($Q$85)-Prof_Sta0)^2,IF(($Q$85)&lt;=Prof_PISta,Prof_Z0+Prof_G1*(($Q$85)-Prof_Sta0),Prof_PIZ+Prof_G2*(($Q$85)-Prof_PISta)))+Bm1_dCL-Deck_T)-((Sp2_ZA+(Sp2_ZB-Sp2_ZA)*((($Q$85)-Sp2_BrgA)/Sp2_Lb)-Sup_Drop+Sp2_C/3*((($Q$85)-Sp2_BrgA)/Sp2_Lb)*(1-((($Q$85)-Sp2_BrgA)/Sp2_Lb))+(Bm1_Raise)/12)+Bm_D))*$Q$6</f>
        <v>4.5121221147087454</v>
      </c>
    </row>
    <row r="86" spans="16:19" x14ac:dyDescent="0.45">
      <c r="Q86" s="47">
        <f>Sp2_Bm0+37/40*(Sp2_Bm1-Sp2_Bm0)</f>
        <v>1797.380625</v>
      </c>
      <c r="R86" s="47">
        <f>(((Sp2_ZA+(Sp2_ZB-Sp2_ZA)*((($Q$86)-Sp2_BrgA)/Sp2_Lb)-Sup_Drop+Sp2_C/3*((($Q$86)-Sp2_BrgA)/Sp2_Lb)*(1-((($Q$86)-Sp2_BrgA)/Sp2_Lb))+(Bm1_Raise)/12)+Bm_D)-((Sp2_ZA+(Sp2_ZB-Sp2_ZA)*(($Q$86)-Sp2_BrgA)/Sp2_Lb)-Sup_Drop+Bm_D+Bm1_Raise/12))*$Q$6</f>
        <v>0.48456910412539855</v>
      </c>
      <c r="S86" s="47">
        <f>((IF(Prof_Mode="parabolic",Prof_Z0+Prof_G1*(($Q$86)-Prof_Sta0)+Prof_Kq*(($Q$86)-Prof_Sta0)^2,IF(($Q$86)&lt;=Prof_PISta,Prof_Z0+Prof_G1*(($Q$86)-Prof_Sta0),Prof_PIZ+Prof_G2*(($Q$86)-Prof_PISta)))+Bm1_dCL-Deck_T)-((Sp2_ZA+(Sp2_ZB-Sp2_ZA)*((($Q$86)-Sp2_BrgA)/Sp2_Lb)-Sup_Drop+Sp2_C/3*((($Q$86)-Sp2_BrgA)/Sp2_Lb)*(1-((($Q$86)-Sp2_BrgA)/Sp2_Lb))+(Bm1_Raise)/12)+Bm_D))*$Q$6</f>
        <v>4.6726691060578673</v>
      </c>
    </row>
    <row r="87" spans="16:19" x14ac:dyDescent="0.45">
      <c r="Q87" s="47">
        <f>Sp2_Bm0+38/40*(Sp2_Bm1-Sp2_Bm0)</f>
        <v>1799.9937500000001</v>
      </c>
      <c r="R87" s="47">
        <f>(((Sp2_ZA+(Sp2_ZB-Sp2_ZA)*((($Q$87)-Sp2_BrgA)/Sp2_Lb)-Sup_Drop+Sp2_C/3*((($Q$87)-Sp2_BrgA)/Sp2_Lb)*(1-((($Q$87)-Sp2_BrgA)/Sp2_Lb))+(Bm1_Raise)/12)+Bm_D)-((Sp2_ZA+(Sp2_ZB-Sp2_ZA)*(($Q$87)-Sp2_BrgA)/Sp2_Lb)-Sup_Drop+Bm_D+Bm1_Raise/12))*$Q$6</f>
        <v>0.31429199208844238</v>
      </c>
      <c r="S87" s="47">
        <f>((IF(Prof_Mode="parabolic",Prof_Z0+Prof_G1*(($Q$87)-Prof_Sta0)+Prof_Kq*(($Q$87)-Prof_Sta0)^2,IF(($Q$87)&lt;=Prof_PISta,Prof_Z0+Prof_G1*(($Q$87)-Prof_Sta0),Prof_PIZ+Prof_G2*(($Q$87)-Prof_PISta)))+Bm1_dCL-Deck_T)-((Sp2_ZA+(Sp2_ZB-Sp2_ZA)*((($Q$87)-Sp2_BrgA)/Sp2_Lb)-Sup_Drop+Sp2_C/3*((($Q$87)-Sp2_BrgA)/Sp2_Lb)*(1-((($Q$87)-Sp2_BrgA)/Sp2_Lb))+(Bm1_Raise)/12)+Bm_D))*$Q$6</f>
        <v>4.8429462180948235</v>
      </c>
    </row>
    <row r="88" spans="16:19" x14ac:dyDescent="0.45">
      <c r="Q88" s="47">
        <f>Sp2_Bm0+39/40*(Sp2_Bm1-Sp2_Bm0)</f>
        <v>1802.6068749999999</v>
      </c>
      <c r="R88" s="47">
        <f>(((Sp2_ZA+(Sp2_ZB-Sp2_ZA)*((($Q$88)-Sp2_BrgA)/Sp2_Lb)-Sup_Drop+Sp2_C/3*((($Q$88)-Sp2_BrgA)/Sp2_Lb)*(1-((($Q$88)-Sp2_BrgA)/Sp2_Lb))+(Bm1_Raise)/12)+Bm_D)-((Sp2_ZA+(Sp2_ZB-Sp2_ZA)*(($Q$88)-Sp2_BrgA)/Sp2_Lb)-Sup_Drop+Bm_D+Bm1_Raise/12))*$Q$6</f>
        <v>0.13428475936336781</v>
      </c>
      <c r="S88" s="47">
        <f>((IF(Prof_Mode="parabolic",Prof_Z0+Prof_G1*(($Q$88)-Prof_Sta0)+Prof_Kq*(($Q$88)-Prof_Sta0)^2,IF(($Q$88)&lt;=Prof_PISta,Prof_Z0+Prof_G1*(($Q$88)-Prof_Sta0),Prof_PIZ+Prof_G2*(($Q$88)-Prof_PISta)))+Bm1_dCL-Deck_T)-((Sp2_ZA+(Sp2_ZB-Sp2_ZA)*((($Q$88)-Sp2_BrgA)/Sp2_Lb)-Sup_Drop+Sp2_C/3*((($Q$88)-Sp2_BrgA)/Sp2_Lb)*(1-((($Q$88)-Sp2_BrgA)/Sp2_Lb))+(Bm1_Raise)/12)+Bm_D))*$Q$6</f>
        <v>5.0229534508198981</v>
      </c>
    </row>
    <row r="89" spans="16:19" x14ac:dyDescent="0.45">
      <c r="Q89" s="47">
        <f>Sp2_Bm0+40/40*(Sp2_Bm1-Sp2_Bm0)</f>
        <v>1805.22</v>
      </c>
      <c r="R89" s="47">
        <f>(((Sp2_ZA+(Sp2_ZB-Sp2_ZA)*((($Q$89)-Sp2_BrgA)/Sp2_Lb)-Sup_Drop+Sp2_C/3*((($Q$89)-Sp2_BrgA)/Sp2_Lb)*(1-((($Q$89)-Sp2_BrgA)/Sp2_Lb))+(Bm1_Raise)/12)+Bm_D)-((Sp2_ZA+(Sp2_ZB-Sp2_ZA)*(($Q$89)-Sp2_BrgA)/Sp2_Lb)-Sup_Drop+Bm_D+Bm1_Raise/12))*$Q$6</f>
        <v>-5.5452594049256732E-2</v>
      </c>
      <c r="S89" s="47">
        <f>((IF(Prof_Mode="parabolic",Prof_Z0+Prof_G1*(($Q$89)-Prof_Sta0)+Prof_Kq*(($Q$89)-Prof_Sta0)^2,IF(($Q$89)&lt;=Prof_PISta,Prof_Z0+Prof_G1*(($Q$89)-Prof_Sta0),Prof_PIZ+Prof_G2*(($Q$89)-Prof_PISta)))+Bm1_dCL-Deck_T)-((Sp2_ZA+(Sp2_ZB-Sp2_ZA)*((($Q$89)-Sp2_BrgA)/Sp2_Lb)-Sup_Drop+Sp2_C/3*((($Q$89)-Sp2_BrgA)/Sp2_Lb)*(1-((($Q$89)-Sp2_BrgA)/Sp2_Lb))+(Bm1_Raise)/12)+Bm_D))*$Q$6</f>
        <v>5.2126908042325226</v>
      </c>
    </row>
    <row r="91" spans="16:19" x14ac:dyDescent="0.45">
      <c r="P91" s="44" t="s">
        <v>995</v>
      </c>
      <c r="Q91" s="47">
        <f>Sp2_Bm0</f>
        <v>1700.6949999999999</v>
      </c>
      <c r="R91" s="47">
        <f>0</f>
        <v>0</v>
      </c>
    </row>
    <row r="92" spans="16:19" x14ac:dyDescent="0.45">
      <c r="Q92" s="47">
        <f>Sp2_Bm1</f>
        <v>1805.22</v>
      </c>
      <c r="R92" s="47">
        <f>0</f>
        <v>0</v>
      </c>
    </row>
    <row r="94" spans="16:19" x14ac:dyDescent="0.45">
      <c r="P94" s="44" t="s">
        <v>996</v>
      </c>
      <c r="Q94" s="47">
        <f>$Q$17</f>
        <v>1726.8262500000001</v>
      </c>
      <c r="R94" s="47">
        <f>$R$17</f>
        <v>5.1572382101832659</v>
      </c>
    </row>
    <row r="96" spans="16:19" x14ac:dyDescent="0.45">
      <c r="P96" s="44" t="str">
        <f>"cambered beam top, C = "&amp;TEXT(Sp2_C,"0.000")&amp;" in"</f>
        <v>cambered beam top, C = 0.567 in</v>
      </c>
      <c r="Q96" s="47">
        <f>$Q$64</f>
        <v>1739.891875</v>
      </c>
      <c r="R96" s="47">
        <f>$R$64</f>
        <v>1.7689450349189428</v>
      </c>
    </row>
    <row r="98" spans="16:18" x14ac:dyDescent="0.45">
      <c r="P98" s="44" t="s">
        <v>997</v>
      </c>
      <c r="Q98" s="47">
        <f>Sp2_Bm0+0.75*(Sp2_Bm1-Sp2_Bm0)</f>
        <v>1779.0887499999999</v>
      </c>
      <c r="R98" s="47">
        <f>0</f>
        <v>0</v>
      </c>
    </row>
    <row r="100" spans="16:18" x14ac:dyDescent="0.45">
      <c r="P100" s="44" t="s">
        <v>998</v>
      </c>
      <c r="Q100" s="47">
        <f>Sp2_BrgA</f>
        <v>1701.4449999999999</v>
      </c>
      <c r="R100" s="47">
        <f>(((Sp2_ZA+(Sp2_ZB-Sp2_ZA)*(((Sp2_BrgA)-Sp2_BrgA)/Sp2_Lb)-Sup_Drop+Sp2_C/3*(((Sp2_BrgA)-Sp2_BrgA)/Sp2_Lb)*(1-(((Sp2_BrgA)-Sp2_BrgA)/Sp2_Lb))+(Bm1_Raise)/12)+Bm_D)-((Sp2_ZA+(Sp2_ZB-Sp2_ZA)*((Sp2_BrgA)-Sp2_BrgA)/Sp2_Lb)-Sup_Drop+Bm_D+Bm1_Raise/12))*$Q$6</f>
        <v>0</v>
      </c>
    </row>
    <row r="101" spans="16:18" x14ac:dyDescent="0.45">
      <c r="Q101" s="47">
        <f>Sp2_BrgA</f>
        <v>1701.4449999999999</v>
      </c>
      <c r="R101" s="47">
        <f>((IF(Prof_Mode="parabolic",Prof_Z0+Prof_G1*((Sp2_BrgA)-Prof_Sta0)+Prof_Kq*((Sp2_BrgA)-Prof_Sta0)^2,IF((Sp2_BrgA)&lt;=Prof_PISta,Prof_Z0+Prof_G1*((Sp2_BrgA)-Prof_Sta0),Prof_PIZ+Prof_G2*((Sp2_BrgA)-Prof_PISta)))+Bm1_dCL-Deck_T)-((Sp2_ZA+(Sp2_ZB-Sp2_ZA)*((Sp2_BrgA)-Sp2_BrgA)/Sp2_Lb)-Sup_Drop+Bm_D+Bm1_Raise/12))*$Q$6</f>
        <v>5.1572382101832659</v>
      </c>
    </row>
    <row r="103" spans="16:18" x14ac:dyDescent="0.45">
      <c r="P103" s="44" t="str">
        <f>"Dim B"&amp;CHAR(10)&amp;TEXT('Camber &amp; Haunch'!C40,"0.000")&amp;" in"</f>
        <v>Dim B
1.547 in</v>
      </c>
      <c r="Q103" s="47">
        <f>Sp2_BrgA</f>
        <v>1701.4449999999999</v>
      </c>
      <c r="R103" s="47">
        <f>((IF(Prof_Mode="parabolic",Prof_Z0+Prof_G1*((Sp2_BrgA)-Prof_Sta0)+Prof_Kq*((Sp2_BrgA)-Prof_Sta0)^2,IF((Sp2_BrgA)&lt;=Prof_PISta,Prof_Z0+Prof_G1*((Sp2_BrgA)-Prof_Sta0),Prof_PIZ+Prof_G2*((Sp2_BrgA)-Prof_PISta)))+Bm1_dCL-Deck_T)-((Sp2_ZA+(Sp2_ZB-Sp2_ZA)*((Sp2_BrgA)-Sp2_BrgA)/Sp2_Lb)-Sup_Drop+Bm_D+Bm1_Raise/12))*$Q$6</f>
        <v>5.1572382101832659</v>
      </c>
    </row>
    <row r="105" spans="16:18" x14ac:dyDescent="0.45">
      <c r="P105" s="44" t="s">
        <v>999</v>
      </c>
      <c r="Q105" s="47">
        <f>Sp2_Mid</f>
        <v>1752.9575</v>
      </c>
      <c r="R105" s="47">
        <f>(((Sp2_ZA+(Sp2_ZB-Sp2_ZA)*(((Sp2_Mid)-Sp2_BrgA)/Sp2_Lb)-Sup_Drop+Sp2_C/3*(((Sp2_Mid)-Sp2_BrgA)/Sp2_Lb)*(1-(((Sp2_Mid)-Sp2_BrgA)/Sp2_Lb))+(Bm1_Raise)/12)+Bm_D)-((Sp2_ZA+(Sp2_ZB-Sp2_ZA)*((Sp2_Mid)-Sp2_BrgA)/Sp2_Lb)-Sup_Drop+Bm_D+Bm1_Raise/12))*$Q$6</f>
        <v>1.8905715435167281</v>
      </c>
    </row>
    <row r="106" spans="16:18" x14ac:dyDescent="0.45">
      <c r="Q106" s="47">
        <f>Sp2_Mid</f>
        <v>1752.9575</v>
      </c>
      <c r="R106" s="47">
        <f>((IF(Prof_Mode="parabolic",Prof_Z0+Prof_G1*((Sp2_Mid)-Prof_Sta0)+Prof_Kq*((Sp2_Mid)-Prof_Sta0)^2,IF((Sp2_Mid)&lt;=Prof_PISta,Prof_Z0+Prof_G1*((Sp2_Mid)-Prof_Sta0),Prof_PIZ+Prof_G2*((Sp2_Mid)-Prof_PISta)))+Bm1_dCL-Deck_T)-((Sp2_ZA+(Sp2_ZB-Sp2_ZA)*((Sp2_Mid)-Sp2_BrgA)/Sp2_Lb)-Sup_Drop+Bm_D+Bm1_Raise/12))*$Q$6</f>
        <v>5.1572382101832659</v>
      </c>
    </row>
    <row r="108" spans="16:18" x14ac:dyDescent="0.45">
      <c r="P108" s="44" t="str">
        <f>"Dim C"&amp;CHAR(10)&amp;TEXT('Camber &amp; Haunch'!D40,"0.000")&amp;" in"</f>
        <v>Dim C
0.980 in</v>
      </c>
      <c r="Q108" s="47">
        <f>Sp2_Mid</f>
        <v>1752.9575</v>
      </c>
      <c r="R108" s="47">
        <f>((IF(Prof_Mode="parabolic",Prof_Z0+Prof_G1*((Sp2_Mid)-Prof_Sta0)+Prof_Kq*((Sp2_Mid)-Prof_Sta0)^2,IF((Sp2_Mid)&lt;=Prof_PISta,Prof_Z0+Prof_G1*((Sp2_Mid)-Prof_Sta0),Prof_PIZ+Prof_G2*((Sp2_Mid)-Prof_PISta)))+Bm1_dCL-Deck_T)-((Sp2_ZA+(Sp2_ZB-Sp2_ZA)*((Sp2_Mid)-Sp2_BrgA)/Sp2_Lb)-Sup_Drop+Bm_D+Bm1_Raise/12))*$Q$6</f>
        <v>5.1572382101832659</v>
      </c>
    </row>
    <row r="110" spans="16:18" x14ac:dyDescent="0.45">
      <c r="P110" s="44" t="s">
        <v>1000</v>
      </c>
      <c r="Q110" s="47">
        <f>Sp2_BrgB</f>
        <v>1804.47</v>
      </c>
      <c r="R110" s="47">
        <f>(((Sp2_ZA+(Sp2_ZB-Sp2_ZA)*(((Sp2_BrgB)-Sp2_BrgA)/Sp2_Lb)-Sup_Drop+Sp2_C/3*(((Sp2_BrgB)-Sp2_BrgA)/Sp2_Lb)*(1-(((Sp2_BrgB)-Sp2_BrgA)/Sp2_Lb))+(Bm1_Raise)/12)+Bm_D)-((Sp2_ZA+(Sp2_ZB-Sp2_ZA)*((Sp2_BrgB)-Sp2_BrgA)/Sp2_Lb)-Sup_Drop+Bm_D+Bm1_Raise/12))*$Q$6</f>
        <v>0</v>
      </c>
    </row>
    <row r="111" spans="16:18" x14ac:dyDescent="0.45">
      <c r="Q111" s="47">
        <f>Sp2_BrgB</f>
        <v>1804.47</v>
      </c>
      <c r="R111" s="47">
        <f>((IF(Prof_Mode="parabolic",Prof_Z0+Prof_G1*((Sp2_BrgB)-Prof_Sta0)+Prof_Kq*((Sp2_BrgB)-Prof_Sta0)^2,IF((Sp2_BrgB)&lt;=Prof_PISta,Prof_Z0+Prof_G1*((Sp2_BrgB)-Prof_Sta0),Prof_PIZ+Prof_G2*((Sp2_BrgB)-Prof_PISta)))+Bm1_dCL-Deck_T)-((Sp2_ZA+(Sp2_ZB-Sp2_ZA)*((Sp2_BrgB)-Sp2_BrgA)/Sp2_Lb)-Sup_Drop+Bm_D+Bm1_Raise/12))*$Q$6</f>
        <v>5.1572382101832659</v>
      </c>
    </row>
    <row r="113" spans="16:19" x14ac:dyDescent="0.45">
      <c r="P113" s="44" t="str">
        <f>"Dim D"&amp;CHAR(10)&amp;TEXT('Camber &amp; Haunch'!E40,"0.000")&amp;" in"</f>
        <v>Dim D
1.547 in</v>
      </c>
      <c r="Q113" s="47">
        <f>Sp2_BrgB</f>
        <v>1804.47</v>
      </c>
      <c r="R113" s="47">
        <f>((IF(Prof_Mode="parabolic",Prof_Z0+Prof_G1*((Sp2_BrgB)-Prof_Sta0)+Prof_Kq*((Sp2_BrgB)-Prof_Sta0)^2,IF((Sp2_BrgB)&lt;=Prof_PISta,Prof_Z0+Prof_G1*((Sp2_BrgB)-Prof_Sta0),Prof_PIZ+Prof_G2*((Sp2_BrgB)-Prof_PISta)))+Bm1_dCL-Deck_T)-((Sp2_ZA+(Sp2_ZB-Sp2_ZA)*((Sp2_BrgB)-Sp2_BrgA)/Sp2_Lb)-Sup_Drop+Bm_D+Bm1_Raise/12))*$Q$6</f>
        <v>5.1572382101832659</v>
      </c>
    </row>
    <row r="115" spans="16:19" x14ac:dyDescent="0.45">
      <c r="P115" s="44" t="s">
        <v>802</v>
      </c>
      <c r="Q115" s="47">
        <f>Sp2_Bm0-2</f>
        <v>1698.6949999999999</v>
      </c>
      <c r="R115" s="47">
        <f>-1.5</f>
        <v>-1.5</v>
      </c>
    </row>
    <row r="116" spans="16:19" x14ac:dyDescent="0.45">
      <c r="Q116" s="47">
        <f>Sp2_Bm1+2</f>
        <v>1807.22</v>
      </c>
      <c r="R116" s="47">
        <f>MAX(R7:R47)+2.5</f>
        <v>7.6572382101835501</v>
      </c>
    </row>
    <row r="119" spans="16:19" x14ac:dyDescent="0.45">
      <c r="P119" s="45" t="s">
        <v>1001</v>
      </c>
    </row>
    <row r="120" spans="16:19" x14ac:dyDescent="0.45">
      <c r="P120" s="46" t="s">
        <v>790</v>
      </c>
      <c r="Q120" s="46" t="s">
        <v>791</v>
      </c>
      <c r="R120" s="46" t="s">
        <v>792</v>
      </c>
      <c r="S120" s="46" t="s">
        <v>793</v>
      </c>
    </row>
    <row r="121" spans="16:19" x14ac:dyDescent="0.45">
      <c r="P121" s="44" t="s">
        <v>973</v>
      </c>
      <c r="Q121" s="44">
        <f>40</f>
        <v>40</v>
      </c>
    </row>
    <row r="122" spans="16:19" x14ac:dyDescent="0.45">
      <c r="P122" s="44" t="s">
        <v>974</v>
      </c>
      <c r="Q122" s="47">
        <f>Sp1_Bm0+0/40*(Sp1_Bm1-Sp1_Bm0)</f>
        <v>1593.47</v>
      </c>
      <c r="R122" s="47">
        <f>((IF(Prof_Mode="parabolic",Prof_Z0+Prof_G1*(($Q$122)-Prof_Sta0)+Prof_Kq*(($Q$122)-Prof_Sta0)^2,IF(($Q$122)&lt;=Prof_PISta,Prof_Z0+Prof_G1*(($Q$122)-Prof_Sta0),Prof_PIZ+Prof_G2*(($Q$122)-Prof_PISta)))+Bm1_dCL-Deck_T)-((Sp1_ZA+(Sp1_ZB-Sp1_ZA)*(($Q$122)-Sp1_BrgA)/Sp1_Lb)-Sup_Drop+Bm_D+Bm1_Raise/12))*$Q$121</f>
        <v>5.1572382101832659</v>
      </c>
    </row>
    <row r="123" spans="16:19" x14ac:dyDescent="0.45">
      <c r="Q123" s="47">
        <f>Sp1_Bm0+1/40*(Sp1_Bm1-Sp1_Bm0)</f>
        <v>1596.1443750000001</v>
      </c>
      <c r="R123" s="47">
        <f>((IF(Prof_Mode="parabolic",Prof_Z0+Prof_G1*(($Q$123)-Prof_Sta0)+Prof_Kq*(($Q$123)-Prof_Sta0)^2,IF(($Q$123)&lt;=Prof_PISta,Prof_Z0+Prof_G1*(($Q$123)-Prof_Sta0),Prof_PIZ+Prof_G2*(($Q$123)-Prof_PISta)))+Bm1_dCL-Deck_T)-((Sp1_ZA+(Sp1_ZB-Sp1_ZA)*(($Q$123)-Sp1_BrgA)/Sp1_Lb)-Sup_Drop+Bm_D+Bm1_Raise/12))*$Q$121</f>
        <v>5.1572382101832659</v>
      </c>
    </row>
    <row r="124" spans="16:19" x14ac:dyDescent="0.45">
      <c r="Q124" s="47">
        <f>Sp1_Bm0+2/40*(Sp1_Bm1-Sp1_Bm0)</f>
        <v>1598.8187499999999</v>
      </c>
      <c r="R124" s="47">
        <f>((IF(Prof_Mode="parabolic",Prof_Z0+Prof_G1*(($Q$124)-Prof_Sta0)+Prof_Kq*(($Q$124)-Prof_Sta0)^2,IF(($Q$124)&lt;=Prof_PISta,Prof_Z0+Prof_G1*(($Q$124)-Prof_Sta0),Prof_PIZ+Prof_G2*(($Q$124)-Prof_PISta)))+Bm1_dCL-Deck_T)-((Sp1_ZA+(Sp1_ZB-Sp1_ZA)*(($Q$124)-Sp1_BrgA)/Sp1_Lb)-Sup_Drop+Bm_D+Bm1_Raise/12))*$Q$121</f>
        <v>5.1572382101832659</v>
      </c>
    </row>
    <row r="125" spans="16:19" x14ac:dyDescent="0.45">
      <c r="Q125" s="47">
        <f>Sp1_Bm0+3/40*(Sp1_Bm1-Sp1_Bm0)</f>
        <v>1601.493125</v>
      </c>
      <c r="R125" s="47">
        <f>((IF(Prof_Mode="parabolic",Prof_Z0+Prof_G1*(($Q$125)-Prof_Sta0)+Prof_Kq*(($Q$125)-Prof_Sta0)^2,IF(($Q$125)&lt;=Prof_PISta,Prof_Z0+Prof_G1*(($Q$125)-Prof_Sta0),Prof_PIZ+Prof_G2*(($Q$125)-Prof_PISta)))+Bm1_dCL-Deck_T)-((Sp1_ZA+(Sp1_ZB-Sp1_ZA)*(($Q$125)-Sp1_BrgA)/Sp1_Lb)-Sup_Drop+Bm_D+Bm1_Raise/12))*$Q$121</f>
        <v>5.1572382101832659</v>
      </c>
    </row>
    <row r="126" spans="16:19" x14ac:dyDescent="0.45">
      <c r="Q126" s="47">
        <f>Sp1_Bm0+4/40*(Sp1_Bm1-Sp1_Bm0)</f>
        <v>1604.1675</v>
      </c>
      <c r="R126" s="47">
        <f>((IF(Prof_Mode="parabolic",Prof_Z0+Prof_G1*(($Q$126)-Prof_Sta0)+Prof_Kq*(($Q$126)-Prof_Sta0)^2,IF(($Q$126)&lt;=Prof_PISta,Prof_Z0+Prof_G1*(($Q$126)-Prof_Sta0),Prof_PIZ+Prof_G2*(($Q$126)-Prof_PISta)))+Bm1_dCL-Deck_T)-((Sp1_ZA+(Sp1_ZB-Sp1_ZA)*(($Q$126)-Sp1_BrgA)/Sp1_Lb)-Sup_Drop+Bm_D+Bm1_Raise/12))*$Q$121</f>
        <v>5.1572382101829817</v>
      </c>
    </row>
    <row r="127" spans="16:19" x14ac:dyDescent="0.45">
      <c r="Q127" s="47">
        <f>Sp1_Bm0+5/40*(Sp1_Bm1-Sp1_Bm0)</f>
        <v>1606.8418750000001</v>
      </c>
      <c r="R127" s="47">
        <f>((IF(Prof_Mode="parabolic",Prof_Z0+Prof_G1*(($Q$127)-Prof_Sta0)+Prof_Kq*(($Q$127)-Prof_Sta0)^2,IF(($Q$127)&lt;=Prof_PISta,Prof_Z0+Prof_G1*(($Q$127)-Prof_Sta0),Prof_PIZ+Prof_G2*(($Q$127)-Prof_PISta)))+Bm1_dCL-Deck_T)-((Sp1_ZA+(Sp1_ZB-Sp1_ZA)*(($Q$127)-Sp1_BrgA)/Sp1_Lb)-Sup_Drop+Bm_D+Bm1_Raise/12))*$Q$121</f>
        <v>5.1572382101832659</v>
      </c>
    </row>
    <row r="128" spans="16:19" x14ac:dyDescent="0.45">
      <c r="Q128" s="47">
        <f>Sp1_Bm0+6/40*(Sp1_Bm1-Sp1_Bm0)</f>
        <v>1609.5162500000001</v>
      </c>
      <c r="R128" s="47">
        <f>((IF(Prof_Mode="parabolic",Prof_Z0+Prof_G1*(($Q$128)-Prof_Sta0)+Prof_Kq*(($Q$128)-Prof_Sta0)^2,IF(($Q$128)&lt;=Prof_PISta,Prof_Z0+Prof_G1*(($Q$128)-Prof_Sta0),Prof_PIZ+Prof_G2*(($Q$128)-Prof_PISta)))+Bm1_dCL-Deck_T)-((Sp1_ZA+(Sp1_ZB-Sp1_ZA)*(($Q$128)-Sp1_BrgA)/Sp1_Lb)-Sup_Drop+Bm_D+Bm1_Raise/12))*$Q$121</f>
        <v>5.1572382101832659</v>
      </c>
    </row>
    <row r="129" spans="17:18" x14ac:dyDescent="0.45">
      <c r="Q129" s="47">
        <f>Sp1_Bm0+7/40*(Sp1_Bm1-Sp1_Bm0)</f>
        <v>1612.190625</v>
      </c>
      <c r="R129" s="47">
        <f>((IF(Prof_Mode="parabolic",Prof_Z0+Prof_G1*(($Q$129)-Prof_Sta0)+Prof_Kq*(($Q$129)-Prof_Sta0)^2,IF(($Q$129)&lt;=Prof_PISta,Prof_Z0+Prof_G1*(($Q$129)-Prof_Sta0),Prof_PIZ+Prof_G2*(($Q$129)-Prof_PISta)))+Bm1_dCL-Deck_T)-((Sp1_ZA+(Sp1_ZB-Sp1_ZA)*(($Q$129)-Sp1_BrgA)/Sp1_Lb)-Sup_Drop+Bm_D+Bm1_Raise/12))*$Q$121</f>
        <v>5.1572382101832659</v>
      </c>
    </row>
    <row r="130" spans="17:18" x14ac:dyDescent="0.45">
      <c r="Q130" s="47">
        <f>Sp1_Bm0+8/40*(Sp1_Bm1-Sp1_Bm0)</f>
        <v>1614.865</v>
      </c>
      <c r="R130" s="47">
        <f>((IF(Prof_Mode="parabolic",Prof_Z0+Prof_G1*(($Q$130)-Prof_Sta0)+Prof_Kq*(($Q$130)-Prof_Sta0)^2,IF(($Q$130)&lt;=Prof_PISta,Prof_Z0+Prof_G1*(($Q$130)-Prof_Sta0),Prof_PIZ+Prof_G2*(($Q$130)-Prof_PISta)))+Bm1_dCL-Deck_T)-((Sp1_ZA+(Sp1_ZB-Sp1_ZA)*(($Q$130)-Sp1_BrgA)/Sp1_Lb)-Sup_Drop+Bm_D+Bm1_Raise/12))*$Q$121</f>
        <v>5.1572382101832659</v>
      </c>
    </row>
    <row r="131" spans="17:18" x14ac:dyDescent="0.45">
      <c r="Q131" s="47">
        <f>Sp1_Bm0+9/40*(Sp1_Bm1-Sp1_Bm0)</f>
        <v>1617.5393750000001</v>
      </c>
      <c r="R131" s="47">
        <f>((IF(Prof_Mode="parabolic",Prof_Z0+Prof_G1*(($Q$131)-Prof_Sta0)+Prof_Kq*(($Q$131)-Prof_Sta0)^2,IF(($Q$131)&lt;=Prof_PISta,Prof_Z0+Prof_G1*(($Q$131)-Prof_Sta0),Prof_PIZ+Prof_G2*(($Q$131)-Prof_PISta)))+Bm1_dCL-Deck_T)-((Sp1_ZA+(Sp1_ZB-Sp1_ZA)*(($Q$131)-Sp1_BrgA)/Sp1_Lb)-Sup_Drop+Bm_D+Bm1_Raise/12))*$Q$121</f>
        <v>5.1572382101832659</v>
      </c>
    </row>
    <row r="132" spans="17:18" x14ac:dyDescent="0.45">
      <c r="Q132" s="47">
        <f>Sp1_Bm0+10/40*(Sp1_Bm1-Sp1_Bm0)</f>
        <v>1620.2137499999999</v>
      </c>
      <c r="R132" s="47">
        <f>((IF(Prof_Mode="parabolic",Prof_Z0+Prof_G1*(($Q$132)-Prof_Sta0)+Prof_Kq*(($Q$132)-Prof_Sta0)^2,IF(($Q$132)&lt;=Prof_PISta,Prof_Z0+Prof_G1*(($Q$132)-Prof_Sta0),Prof_PIZ+Prof_G2*(($Q$132)-Prof_PISta)))+Bm1_dCL-Deck_T)-((Sp1_ZA+(Sp1_ZB-Sp1_ZA)*(($Q$132)-Sp1_BrgA)/Sp1_Lb)-Sup_Drop+Bm_D+Bm1_Raise/12))*$Q$121</f>
        <v>5.1572382101832659</v>
      </c>
    </row>
    <row r="133" spans="17:18" x14ac:dyDescent="0.45">
      <c r="Q133" s="47">
        <f>Sp1_Bm0+11/40*(Sp1_Bm1-Sp1_Bm0)</f>
        <v>1622.8881249999999</v>
      </c>
      <c r="R133" s="47">
        <f>((IF(Prof_Mode="parabolic",Prof_Z0+Prof_G1*(($Q$133)-Prof_Sta0)+Prof_Kq*(($Q$133)-Prof_Sta0)^2,IF(($Q$133)&lt;=Prof_PISta,Prof_Z0+Prof_G1*(($Q$133)-Prof_Sta0),Prof_PIZ+Prof_G2*(($Q$133)-Prof_PISta)))+Bm1_dCL-Deck_T)-((Sp1_ZA+(Sp1_ZB-Sp1_ZA)*(($Q$133)-Sp1_BrgA)/Sp1_Lb)-Sup_Drop+Bm_D+Bm1_Raise/12))*$Q$121</f>
        <v>5.1572382101832659</v>
      </c>
    </row>
    <row r="134" spans="17:18" x14ac:dyDescent="0.45">
      <c r="Q134" s="47">
        <f>Sp1_Bm0+12/40*(Sp1_Bm1-Sp1_Bm0)</f>
        <v>1625.5625</v>
      </c>
      <c r="R134" s="47">
        <f>((IF(Prof_Mode="parabolic",Prof_Z0+Prof_G1*(($Q$134)-Prof_Sta0)+Prof_Kq*(($Q$134)-Prof_Sta0)^2,IF(($Q$134)&lt;=Prof_PISta,Prof_Z0+Prof_G1*(($Q$134)-Prof_Sta0),Prof_PIZ+Prof_G2*(($Q$134)-Prof_PISta)))+Bm1_dCL-Deck_T)-((Sp1_ZA+(Sp1_ZB-Sp1_ZA)*(($Q$134)-Sp1_BrgA)/Sp1_Lb)-Sup_Drop+Bm_D+Bm1_Raise/12))*$Q$121</f>
        <v>5.1572382101832659</v>
      </c>
    </row>
    <row r="135" spans="17:18" x14ac:dyDescent="0.45">
      <c r="Q135" s="47">
        <f>Sp1_Bm0+13/40*(Sp1_Bm1-Sp1_Bm0)</f>
        <v>1628.2368750000001</v>
      </c>
      <c r="R135" s="47">
        <f>((IF(Prof_Mode="parabolic",Prof_Z0+Prof_G1*(($Q$135)-Prof_Sta0)+Prof_Kq*(($Q$135)-Prof_Sta0)^2,IF(($Q$135)&lt;=Prof_PISta,Prof_Z0+Prof_G1*(($Q$135)-Prof_Sta0),Prof_PIZ+Prof_G2*(($Q$135)-Prof_PISta)))+Bm1_dCL-Deck_T)-((Sp1_ZA+(Sp1_ZB-Sp1_ZA)*(($Q$135)-Sp1_BrgA)/Sp1_Lb)-Sup_Drop+Bm_D+Bm1_Raise/12))*$Q$121</f>
        <v>5.1572382101832659</v>
      </c>
    </row>
    <row r="136" spans="17:18" x14ac:dyDescent="0.45">
      <c r="Q136" s="47">
        <f>Sp1_Bm0+14/40*(Sp1_Bm1-Sp1_Bm0)</f>
        <v>1630.9112500000001</v>
      </c>
      <c r="R136" s="47">
        <f>((IF(Prof_Mode="parabolic",Prof_Z0+Prof_G1*(($Q$136)-Prof_Sta0)+Prof_Kq*(($Q$136)-Prof_Sta0)^2,IF(($Q$136)&lt;=Prof_PISta,Prof_Z0+Prof_G1*(($Q$136)-Prof_Sta0),Prof_PIZ+Prof_G2*(($Q$136)-Prof_PISta)))+Bm1_dCL-Deck_T)-((Sp1_ZA+(Sp1_ZB-Sp1_ZA)*(($Q$136)-Sp1_BrgA)/Sp1_Lb)-Sup_Drop+Bm_D+Bm1_Raise/12))*$Q$121</f>
        <v>5.1572382101832659</v>
      </c>
    </row>
    <row r="137" spans="17:18" x14ac:dyDescent="0.45">
      <c r="Q137" s="47">
        <f>Sp1_Bm0+15/40*(Sp1_Bm1-Sp1_Bm0)</f>
        <v>1633.5856249999999</v>
      </c>
      <c r="R137" s="47">
        <f>((IF(Prof_Mode="parabolic",Prof_Z0+Prof_G1*(($Q$137)-Prof_Sta0)+Prof_Kq*(($Q$137)-Prof_Sta0)^2,IF(($Q$137)&lt;=Prof_PISta,Prof_Z0+Prof_G1*(($Q$137)-Prof_Sta0),Prof_PIZ+Prof_G2*(($Q$137)-Prof_PISta)))+Bm1_dCL-Deck_T)-((Sp1_ZA+(Sp1_ZB-Sp1_ZA)*(($Q$137)-Sp1_BrgA)/Sp1_Lb)-Sup_Drop+Bm_D+Bm1_Raise/12))*$Q$121</f>
        <v>5.1572382101832659</v>
      </c>
    </row>
    <row r="138" spans="17:18" x14ac:dyDescent="0.45">
      <c r="Q138" s="47">
        <f>Sp1_Bm0+16/40*(Sp1_Bm1-Sp1_Bm0)</f>
        <v>1636.26</v>
      </c>
      <c r="R138" s="47">
        <f>((IF(Prof_Mode="parabolic",Prof_Z0+Prof_G1*(($Q$138)-Prof_Sta0)+Prof_Kq*(($Q$138)-Prof_Sta0)^2,IF(($Q$138)&lt;=Prof_PISta,Prof_Z0+Prof_G1*(($Q$138)-Prof_Sta0),Prof_PIZ+Prof_G2*(($Q$138)-Prof_PISta)))+Bm1_dCL-Deck_T)-((Sp1_ZA+(Sp1_ZB-Sp1_ZA)*(($Q$138)-Sp1_BrgA)/Sp1_Lb)-Sup_Drop+Bm_D+Bm1_Raise/12))*$Q$121</f>
        <v>5.1572382101832659</v>
      </c>
    </row>
    <row r="139" spans="17:18" x14ac:dyDescent="0.45">
      <c r="Q139" s="47">
        <f>Sp1_Bm0+17/40*(Sp1_Bm1-Sp1_Bm0)</f>
        <v>1638.934375</v>
      </c>
      <c r="R139" s="47">
        <f>((IF(Prof_Mode="parabolic",Prof_Z0+Prof_G1*(($Q$139)-Prof_Sta0)+Prof_Kq*(($Q$139)-Prof_Sta0)^2,IF(($Q$139)&lt;=Prof_PISta,Prof_Z0+Prof_G1*(($Q$139)-Prof_Sta0),Prof_PIZ+Prof_G2*(($Q$139)-Prof_PISta)))+Bm1_dCL-Deck_T)-((Sp1_ZA+(Sp1_ZB-Sp1_ZA)*(($Q$139)-Sp1_BrgA)/Sp1_Lb)-Sup_Drop+Bm_D+Bm1_Raise/12))*$Q$121</f>
        <v>5.1572382101829817</v>
      </c>
    </row>
    <row r="140" spans="17:18" x14ac:dyDescent="0.45">
      <c r="Q140" s="47">
        <f>Sp1_Bm0+18/40*(Sp1_Bm1-Sp1_Bm0)</f>
        <v>1641.6087499999999</v>
      </c>
      <c r="R140" s="47">
        <f>((IF(Prof_Mode="parabolic",Prof_Z0+Prof_G1*(($Q$140)-Prof_Sta0)+Prof_Kq*(($Q$140)-Prof_Sta0)^2,IF(($Q$140)&lt;=Prof_PISta,Prof_Z0+Prof_G1*(($Q$140)-Prof_Sta0),Prof_PIZ+Prof_G2*(($Q$140)-Prof_PISta)))+Bm1_dCL-Deck_T)-((Sp1_ZA+(Sp1_ZB-Sp1_ZA)*(($Q$140)-Sp1_BrgA)/Sp1_Lb)-Sup_Drop+Bm_D+Bm1_Raise/12))*$Q$121</f>
        <v>5.1572382101832659</v>
      </c>
    </row>
    <row r="141" spans="17:18" x14ac:dyDescent="0.45">
      <c r="Q141" s="47">
        <f>Sp1_Bm0+19/40*(Sp1_Bm1-Sp1_Bm0)</f>
        <v>1644.2831249999999</v>
      </c>
      <c r="R141" s="47">
        <f>((IF(Prof_Mode="parabolic",Prof_Z0+Prof_G1*(($Q$141)-Prof_Sta0)+Prof_Kq*(($Q$141)-Prof_Sta0)^2,IF(($Q$141)&lt;=Prof_PISta,Prof_Z0+Prof_G1*(($Q$141)-Prof_Sta0),Prof_PIZ+Prof_G2*(($Q$141)-Prof_PISta)))+Bm1_dCL-Deck_T)-((Sp1_ZA+(Sp1_ZB-Sp1_ZA)*(($Q$141)-Sp1_BrgA)/Sp1_Lb)-Sup_Drop+Bm_D+Bm1_Raise/12))*$Q$121</f>
        <v>5.1572382101832659</v>
      </c>
    </row>
    <row r="142" spans="17:18" x14ac:dyDescent="0.45">
      <c r="Q142" s="47">
        <f>Sp1_Bm0+20/40*(Sp1_Bm1-Sp1_Bm0)</f>
        <v>1646.9575</v>
      </c>
      <c r="R142" s="47">
        <f>((IF(Prof_Mode="parabolic",Prof_Z0+Prof_G1*(($Q$142)-Prof_Sta0)+Prof_Kq*(($Q$142)-Prof_Sta0)^2,IF(($Q$142)&lt;=Prof_PISta,Prof_Z0+Prof_G1*(($Q$142)-Prof_Sta0),Prof_PIZ+Prof_G2*(($Q$142)-Prof_PISta)))+Bm1_dCL-Deck_T)-((Sp1_ZA+(Sp1_ZB-Sp1_ZA)*(($Q$142)-Sp1_BrgA)/Sp1_Lb)-Sup_Drop+Bm_D+Bm1_Raise/12))*$Q$121</f>
        <v>5.1572382101829817</v>
      </c>
    </row>
    <row r="143" spans="17:18" x14ac:dyDescent="0.45">
      <c r="Q143" s="47">
        <f>Sp1_Bm0+21/40*(Sp1_Bm1-Sp1_Bm0)</f>
        <v>1649.631875</v>
      </c>
      <c r="R143" s="47">
        <f>((IF(Prof_Mode="parabolic",Prof_Z0+Prof_G1*(($Q$143)-Prof_Sta0)+Prof_Kq*(($Q$143)-Prof_Sta0)^2,IF(($Q$143)&lt;=Prof_PISta,Prof_Z0+Prof_G1*(($Q$143)-Prof_Sta0),Prof_PIZ+Prof_G2*(($Q$143)-Prof_PISta)))+Bm1_dCL-Deck_T)-((Sp1_ZA+(Sp1_ZB-Sp1_ZA)*(($Q$143)-Sp1_BrgA)/Sp1_Lb)-Sup_Drop+Bm_D+Bm1_Raise/12))*$Q$121</f>
        <v>5.1572382101832659</v>
      </c>
    </row>
    <row r="144" spans="17:18" x14ac:dyDescent="0.45">
      <c r="Q144" s="47">
        <f>Sp1_Bm0+22/40*(Sp1_Bm1-Sp1_Bm0)</f>
        <v>1652.3062500000001</v>
      </c>
      <c r="R144" s="47">
        <f>((IF(Prof_Mode="parabolic",Prof_Z0+Prof_G1*(($Q$144)-Prof_Sta0)+Prof_Kq*(($Q$144)-Prof_Sta0)^2,IF(($Q$144)&lt;=Prof_PISta,Prof_Z0+Prof_G1*(($Q$144)-Prof_Sta0),Prof_PIZ+Prof_G2*(($Q$144)-Prof_PISta)))+Bm1_dCL-Deck_T)-((Sp1_ZA+(Sp1_ZB-Sp1_ZA)*(($Q$144)-Sp1_BrgA)/Sp1_Lb)-Sup_Drop+Bm_D+Bm1_Raise/12))*$Q$121</f>
        <v>5.1572382101832659</v>
      </c>
    </row>
    <row r="145" spans="17:18" x14ac:dyDescent="0.45">
      <c r="Q145" s="47">
        <f>Sp1_Bm0+23/40*(Sp1_Bm1-Sp1_Bm0)</f>
        <v>1654.9806249999999</v>
      </c>
      <c r="R145" s="47">
        <f>((IF(Prof_Mode="parabolic",Prof_Z0+Prof_G1*(($Q$145)-Prof_Sta0)+Prof_Kq*(($Q$145)-Prof_Sta0)^2,IF(($Q$145)&lt;=Prof_PISta,Prof_Z0+Prof_G1*(($Q$145)-Prof_Sta0),Prof_PIZ+Prof_G2*(($Q$145)-Prof_PISta)))+Bm1_dCL-Deck_T)-((Sp1_ZA+(Sp1_ZB-Sp1_ZA)*(($Q$145)-Sp1_BrgA)/Sp1_Lb)-Sup_Drop+Bm_D+Bm1_Raise/12))*$Q$121</f>
        <v>5.1572382101832659</v>
      </c>
    </row>
    <row r="146" spans="17:18" x14ac:dyDescent="0.45">
      <c r="Q146" s="47">
        <f>Sp1_Bm0+24/40*(Sp1_Bm1-Sp1_Bm0)</f>
        <v>1657.655</v>
      </c>
      <c r="R146" s="47">
        <f>((IF(Prof_Mode="parabolic",Prof_Z0+Prof_G1*(($Q$146)-Prof_Sta0)+Prof_Kq*(($Q$146)-Prof_Sta0)^2,IF(($Q$146)&lt;=Prof_PISta,Prof_Z0+Prof_G1*(($Q$146)-Prof_Sta0),Prof_PIZ+Prof_G2*(($Q$146)-Prof_PISta)))+Bm1_dCL-Deck_T)-((Sp1_ZA+(Sp1_ZB-Sp1_ZA)*(($Q$146)-Sp1_BrgA)/Sp1_Lb)-Sup_Drop+Bm_D+Bm1_Raise/12))*$Q$121</f>
        <v>5.1572382101832659</v>
      </c>
    </row>
    <row r="147" spans="17:18" x14ac:dyDescent="0.45">
      <c r="Q147" s="47">
        <f>Sp1_Bm0+25/40*(Sp1_Bm1-Sp1_Bm0)</f>
        <v>1660.329375</v>
      </c>
      <c r="R147" s="47">
        <f>((IF(Prof_Mode="parabolic",Prof_Z0+Prof_G1*(($Q$147)-Prof_Sta0)+Prof_Kq*(($Q$147)-Prof_Sta0)^2,IF(($Q$147)&lt;=Prof_PISta,Prof_Z0+Prof_G1*(($Q$147)-Prof_Sta0),Prof_PIZ+Prof_G2*(($Q$147)-Prof_PISta)))+Bm1_dCL-Deck_T)-((Sp1_ZA+(Sp1_ZB-Sp1_ZA)*(($Q$147)-Sp1_BrgA)/Sp1_Lb)-Sup_Drop+Bm_D+Bm1_Raise/12))*$Q$121</f>
        <v>5.1572382101832659</v>
      </c>
    </row>
    <row r="148" spans="17:18" x14ac:dyDescent="0.45">
      <c r="Q148" s="47">
        <f>Sp1_Bm0+26/40*(Sp1_Bm1-Sp1_Bm0)</f>
        <v>1663.0037499999999</v>
      </c>
      <c r="R148" s="47">
        <f>((IF(Prof_Mode="parabolic",Prof_Z0+Prof_G1*(($Q$148)-Prof_Sta0)+Prof_Kq*(($Q$148)-Prof_Sta0)^2,IF(($Q$148)&lt;=Prof_PISta,Prof_Z0+Prof_G1*(($Q$148)-Prof_Sta0),Prof_PIZ+Prof_G2*(($Q$148)-Prof_PISta)))+Bm1_dCL-Deck_T)-((Sp1_ZA+(Sp1_ZB-Sp1_ZA)*(($Q$148)-Sp1_BrgA)/Sp1_Lb)-Sup_Drop+Bm_D+Bm1_Raise/12))*$Q$121</f>
        <v>5.1572382101832659</v>
      </c>
    </row>
    <row r="149" spans="17:18" x14ac:dyDescent="0.45">
      <c r="Q149" s="47">
        <f>Sp1_Bm0+27/40*(Sp1_Bm1-Sp1_Bm0)</f>
        <v>1665.6781249999999</v>
      </c>
      <c r="R149" s="47">
        <f>((IF(Prof_Mode="parabolic",Prof_Z0+Prof_G1*(($Q$149)-Prof_Sta0)+Prof_Kq*(($Q$149)-Prof_Sta0)^2,IF(($Q$149)&lt;=Prof_PISta,Prof_Z0+Prof_G1*(($Q$149)-Prof_Sta0),Prof_PIZ+Prof_G2*(($Q$149)-Prof_PISta)))+Bm1_dCL-Deck_T)-((Sp1_ZA+(Sp1_ZB-Sp1_ZA)*(($Q$149)-Sp1_BrgA)/Sp1_Lb)-Sup_Drop+Bm_D+Bm1_Raise/12))*$Q$121</f>
        <v>5.1572382101829817</v>
      </c>
    </row>
    <row r="150" spans="17:18" x14ac:dyDescent="0.45">
      <c r="Q150" s="47">
        <f>Sp1_Bm0+28/40*(Sp1_Bm1-Sp1_Bm0)</f>
        <v>1668.3525</v>
      </c>
      <c r="R150" s="47">
        <f>((IF(Prof_Mode="parabolic",Prof_Z0+Prof_G1*(($Q$150)-Prof_Sta0)+Prof_Kq*(($Q$150)-Prof_Sta0)^2,IF(($Q$150)&lt;=Prof_PISta,Prof_Z0+Prof_G1*(($Q$150)-Prof_Sta0),Prof_PIZ+Prof_G2*(($Q$150)-Prof_PISta)))+Bm1_dCL-Deck_T)-((Sp1_ZA+(Sp1_ZB-Sp1_ZA)*(($Q$150)-Sp1_BrgA)/Sp1_Lb)-Sup_Drop+Bm_D+Bm1_Raise/12))*$Q$121</f>
        <v>5.1572382101832659</v>
      </c>
    </row>
    <row r="151" spans="17:18" x14ac:dyDescent="0.45">
      <c r="Q151" s="47">
        <f>Sp1_Bm0+29/40*(Sp1_Bm1-Sp1_Bm0)</f>
        <v>1671.026875</v>
      </c>
      <c r="R151" s="47">
        <f>((IF(Prof_Mode="parabolic",Prof_Z0+Prof_G1*(($Q$151)-Prof_Sta0)+Prof_Kq*(($Q$151)-Prof_Sta0)^2,IF(($Q$151)&lt;=Prof_PISta,Prof_Z0+Prof_G1*(($Q$151)-Prof_Sta0),Prof_PIZ+Prof_G2*(($Q$151)-Prof_PISta)))+Bm1_dCL-Deck_T)-((Sp1_ZA+(Sp1_ZB-Sp1_ZA)*(($Q$151)-Sp1_BrgA)/Sp1_Lb)-Sup_Drop+Bm_D+Bm1_Raise/12))*$Q$121</f>
        <v>5.1572382101832659</v>
      </c>
    </row>
    <row r="152" spans="17:18" x14ac:dyDescent="0.45">
      <c r="Q152" s="47">
        <f>Sp1_Bm0+30/40*(Sp1_Bm1-Sp1_Bm0)</f>
        <v>1673.7012500000001</v>
      </c>
      <c r="R152" s="47">
        <f>((IF(Prof_Mode="parabolic",Prof_Z0+Prof_G1*(($Q$152)-Prof_Sta0)+Prof_Kq*(($Q$152)-Prof_Sta0)^2,IF(($Q$152)&lt;=Prof_PISta,Prof_Z0+Prof_G1*(($Q$152)-Prof_Sta0),Prof_PIZ+Prof_G2*(($Q$152)-Prof_PISta)))+Bm1_dCL-Deck_T)-((Sp1_ZA+(Sp1_ZB-Sp1_ZA)*(($Q$152)-Sp1_BrgA)/Sp1_Lb)-Sup_Drop+Bm_D+Bm1_Raise/12))*$Q$121</f>
        <v>5.1572382101829817</v>
      </c>
    </row>
    <row r="153" spans="17:18" x14ac:dyDescent="0.45">
      <c r="Q153" s="47">
        <f>Sp1_Bm0+31/40*(Sp1_Bm1-Sp1_Bm0)</f>
        <v>1676.3756249999999</v>
      </c>
      <c r="R153" s="47">
        <f>((IF(Prof_Mode="parabolic",Prof_Z0+Prof_G1*(($Q$153)-Prof_Sta0)+Prof_Kq*(($Q$153)-Prof_Sta0)^2,IF(($Q$153)&lt;=Prof_PISta,Prof_Z0+Prof_G1*(($Q$153)-Prof_Sta0),Prof_PIZ+Prof_G2*(($Q$153)-Prof_PISta)))+Bm1_dCL-Deck_T)-((Sp1_ZA+(Sp1_ZB-Sp1_ZA)*(($Q$153)-Sp1_BrgA)/Sp1_Lb)-Sup_Drop+Bm_D+Bm1_Raise/12))*$Q$121</f>
        <v>5.1572382101832659</v>
      </c>
    </row>
    <row r="154" spans="17:18" x14ac:dyDescent="0.45">
      <c r="Q154" s="47">
        <f>Sp1_Bm0+32/40*(Sp1_Bm1-Sp1_Bm0)</f>
        <v>1679.05</v>
      </c>
      <c r="R154" s="47">
        <f>((IF(Prof_Mode="parabolic",Prof_Z0+Prof_G1*(($Q$154)-Prof_Sta0)+Prof_Kq*(($Q$154)-Prof_Sta0)^2,IF(($Q$154)&lt;=Prof_PISta,Prof_Z0+Prof_G1*(($Q$154)-Prof_Sta0),Prof_PIZ+Prof_G2*(($Q$154)-Prof_PISta)))+Bm1_dCL-Deck_T)-((Sp1_ZA+(Sp1_ZB-Sp1_ZA)*(($Q$154)-Sp1_BrgA)/Sp1_Lb)-Sup_Drop+Bm_D+Bm1_Raise/12))*$Q$121</f>
        <v>5.1572382101832659</v>
      </c>
    </row>
    <row r="155" spans="17:18" x14ac:dyDescent="0.45">
      <c r="Q155" s="47">
        <f>Sp1_Bm0+33/40*(Sp1_Bm1-Sp1_Bm0)</f>
        <v>1681.724375</v>
      </c>
      <c r="R155" s="47">
        <f>((IF(Prof_Mode="parabolic",Prof_Z0+Prof_G1*(($Q$155)-Prof_Sta0)+Prof_Kq*(($Q$155)-Prof_Sta0)^2,IF(($Q$155)&lt;=Prof_PISta,Prof_Z0+Prof_G1*(($Q$155)-Prof_Sta0),Prof_PIZ+Prof_G2*(($Q$155)-Prof_PISta)))+Bm1_dCL-Deck_T)-((Sp1_ZA+(Sp1_ZB-Sp1_ZA)*(($Q$155)-Sp1_BrgA)/Sp1_Lb)-Sup_Drop+Bm_D+Bm1_Raise/12))*$Q$121</f>
        <v>5.1572382101829817</v>
      </c>
    </row>
    <row r="156" spans="17:18" x14ac:dyDescent="0.45">
      <c r="Q156" s="47">
        <f>Sp1_Bm0+34/40*(Sp1_Bm1-Sp1_Bm0)</f>
        <v>1684.3987499999998</v>
      </c>
      <c r="R156" s="47">
        <f>((IF(Prof_Mode="parabolic",Prof_Z0+Prof_G1*(($Q$156)-Prof_Sta0)+Prof_Kq*(($Q$156)-Prof_Sta0)^2,IF(($Q$156)&lt;=Prof_PISta,Prof_Z0+Prof_G1*(($Q$156)-Prof_Sta0),Prof_PIZ+Prof_G2*(($Q$156)-Prof_PISta)))+Bm1_dCL-Deck_T)-((Sp1_ZA+(Sp1_ZB-Sp1_ZA)*(($Q$156)-Sp1_BrgA)/Sp1_Lb)-Sup_Drop+Bm_D+Bm1_Raise/12))*$Q$121</f>
        <v>5.1572382101829817</v>
      </c>
    </row>
    <row r="157" spans="17:18" x14ac:dyDescent="0.45">
      <c r="Q157" s="47">
        <f>Sp1_Bm0+35/40*(Sp1_Bm1-Sp1_Bm0)</f>
        <v>1687.0731249999999</v>
      </c>
      <c r="R157" s="47">
        <f>((IF(Prof_Mode="parabolic",Prof_Z0+Prof_G1*(($Q$157)-Prof_Sta0)+Prof_Kq*(($Q$157)-Prof_Sta0)^2,IF(($Q$157)&lt;=Prof_PISta,Prof_Z0+Prof_G1*(($Q$157)-Prof_Sta0),Prof_PIZ+Prof_G2*(($Q$157)-Prof_PISta)))+Bm1_dCL-Deck_T)-((Sp1_ZA+(Sp1_ZB-Sp1_ZA)*(($Q$157)-Sp1_BrgA)/Sp1_Lb)-Sup_Drop+Bm_D+Bm1_Raise/12))*$Q$121</f>
        <v>5.1572382101832659</v>
      </c>
    </row>
    <row r="158" spans="17:18" x14ac:dyDescent="0.45">
      <c r="Q158" s="47">
        <f>Sp1_Bm0+36/40*(Sp1_Bm1-Sp1_Bm0)</f>
        <v>1689.7474999999999</v>
      </c>
      <c r="R158" s="47">
        <f>((IF(Prof_Mode="parabolic",Prof_Z0+Prof_G1*(($Q$158)-Prof_Sta0)+Prof_Kq*(($Q$158)-Prof_Sta0)^2,IF(($Q$158)&lt;=Prof_PISta,Prof_Z0+Prof_G1*(($Q$158)-Prof_Sta0),Prof_PIZ+Prof_G2*(($Q$158)-Prof_PISta)))+Bm1_dCL-Deck_T)-((Sp1_ZA+(Sp1_ZB-Sp1_ZA)*(($Q$158)-Sp1_BrgA)/Sp1_Lb)-Sup_Drop+Bm_D+Bm1_Raise/12))*$Q$121</f>
        <v>5.1572382101832659</v>
      </c>
    </row>
    <row r="159" spans="17:18" x14ac:dyDescent="0.45">
      <c r="Q159" s="47">
        <f>Sp1_Bm0+37/40*(Sp1_Bm1-Sp1_Bm0)</f>
        <v>1692.421875</v>
      </c>
      <c r="R159" s="47">
        <f>((IF(Prof_Mode="parabolic",Prof_Z0+Prof_G1*(($Q$159)-Prof_Sta0)+Prof_Kq*(($Q$159)-Prof_Sta0)^2,IF(($Q$159)&lt;=Prof_PISta,Prof_Z0+Prof_G1*(($Q$159)-Prof_Sta0),Prof_PIZ+Prof_G2*(($Q$159)-Prof_PISta)))+Bm1_dCL-Deck_T)-((Sp1_ZA+(Sp1_ZB-Sp1_ZA)*(($Q$159)-Sp1_BrgA)/Sp1_Lb)-Sup_Drop+Bm_D+Bm1_Raise/12))*$Q$121</f>
        <v>5.1572382101832659</v>
      </c>
    </row>
    <row r="160" spans="17:18" x14ac:dyDescent="0.45">
      <c r="Q160" s="47">
        <f>Sp1_Bm0+38/40*(Sp1_Bm1-Sp1_Bm0)</f>
        <v>1695.0962500000001</v>
      </c>
      <c r="R160" s="47">
        <f>((IF(Prof_Mode="parabolic",Prof_Z0+Prof_G1*(($Q$160)-Prof_Sta0)+Prof_Kq*(($Q$160)-Prof_Sta0)^2,IF(($Q$160)&lt;=Prof_PISta,Prof_Z0+Prof_G1*(($Q$160)-Prof_Sta0),Prof_PIZ+Prof_G2*(($Q$160)-Prof_PISta)))+Bm1_dCL-Deck_T)-((Sp1_ZA+(Sp1_ZB-Sp1_ZA)*(($Q$160)-Sp1_BrgA)/Sp1_Lb)-Sup_Drop+Bm_D+Bm1_Raise/12))*$Q$121</f>
        <v>5.1572382101832659</v>
      </c>
    </row>
    <row r="161" spans="16:19" x14ac:dyDescent="0.45">
      <c r="Q161" s="47">
        <f>Sp1_Bm0+39/40*(Sp1_Bm1-Sp1_Bm0)</f>
        <v>1697.7706249999999</v>
      </c>
      <c r="R161" s="47">
        <f>((IF(Prof_Mode="parabolic",Prof_Z0+Prof_G1*(($Q$161)-Prof_Sta0)+Prof_Kq*(($Q$161)-Prof_Sta0)^2,IF(($Q$161)&lt;=Prof_PISta,Prof_Z0+Prof_G1*(($Q$161)-Prof_Sta0),Prof_PIZ+Prof_G2*(($Q$161)-Prof_PISta)))+Bm1_dCL-Deck_T)-((Sp1_ZA+(Sp1_ZB-Sp1_ZA)*(($Q$161)-Sp1_BrgA)/Sp1_Lb)-Sup_Drop+Bm_D+Bm1_Raise/12))*$Q$121</f>
        <v>5.1572382101832659</v>
      </c>
    </row>
    <row r="162" spans="16:19" x14ac:dyDescent="0.45">
      <c r="Q162" s="47">
        <f>Sp1_Bm0+40/40*(Sp1_Bm1-Sp1_Bm0)</f>
        <v>1700.4449999999999</v>
      </c>
      <c r="R162" s="47">
        <f>((IF(Prof_Mode="parabolic",Prof_Z0+Prof_G1*(($Q$162)-Prof_Sta0)+Prof_Kq*(($Q$162)-Prof_Sta0)^2,IF(($Q$162)&lt;=Prof_PISta,Prof_Z0+Prof_G1*(($Q$162)-Prof_Sta0),Prof_PIZ+Prof_G2*(($Q$162)-Prof_PISta)))+Bm1_dCL-Deck_T)-((Sp1_ZA+(Sp1_ZB-Sp1_ZA)*(($Q$162)-Sp1_BrgA)/Sp1_Lb)-Sup_Drop+Bm_D+Bm1_Raise/12))*$Q$121</f>
        <v>5.1572382101829817</v>
      </c>
    </row>
    <row r="164" spans="16:19" x14ac:dyDescent="0.45">
      <c r="P164" s="44" t="s">
        <v>978</v>
      </c>
      <c r="Q164" s="47">
        <f>Sp1_Bm0+0/40*(Sp1_Bm1-Sp1_Bm0)</f>
        <v>1593.47</v>
      </c>
      <c r="R164" s="47">
        <f>(((Sp1_ZA+(Sp1_ZB-Sp1_ZA)*((($Q$164)-Sp1_BrgA)/Sp1_Lb)-Sup_Drop+Sp1_C/3*((($Q$164)-Sp1_BrgA)/Sp1_Lb)*(1-((($Q$164)-Sp1_BrgA)/Sp1_Lb))+(Bm1_Raise)/12)+Bm_D)-((Sp1_ZA+(Sp1_ZB-Sp1_ZA)*(($Q$164)-Sp1_BrgA)/Sp1_Lb)-Sup_Drop+Bm_D+Bm1_Raise/12))*$Q$121</f>
        <v>-1.1896533240474128E-2</v>
      </c>
      <c r="S164" s="47">
        <f>((IF(Prof_Mode="parabolic",Prof_Z0+Prof_G1*(($Q$164)-Prof_Sta0)+Prof_Kq*(($Q$164)-Prof_Sta0)^2,IF(($Q$164)&lt;=Prof_PISta,Prof_Z0+Prof_G1*(($Q$164)-Prof_Sta0),Prof_PIZ+Prof_G2*(($Q$164)-Prof_PISta)))+Bm1_dCL-Deck_T)-((Sp1_ZA+(Sp1_ZB-Sp1_ZA)*((($Q$164)-Sp1_BrgA)/Sp1_Lb)-Sup_Drop+Sp1_C/3*((($Q$164)-Sp1_BrgA)/Sp1_Lb)*(1-((($Q$164)-Sp1_BrgA)/Sp1_Lb))+(Bm1_Raise)/12)+Bm_D))*$Q$121</f>
        <v>5.16913474342374</v>
      </c>
    </row>
    <row r="165" spans="16:19" x14ac:dyDescent="0.45">
      <c r="Q165" s="47">
        <f>Sp1_Bm0+1/40*(Sp1_Bm1-Sp1_Bm0)</f>
        <v>1596.1443750000001</v>
      </c>
      <c r="R165" s="47">
        <f>(((Sp1_ZA+(Sp1_ZB-Sp1_ZA)*((($Q$165)-Sp1_BrgA)/Sp1_Lb)-Sup_Drop+Sp1_C/3*((($Q$165)-Sp1_BrgA)/Sp1_Lb)*(1-((($Q$165)-Sp1_BrgA)/Sp1_Lb))+(Bm1_Raise)/12)+Bm_D)-((Sp1_ZA+(Sp1_ZB-Sp1_ZA)*(($Q$165)-Sp1_BrgA)/Sp1_Lb)-Sup_Drop+Bm_D+Bm1_Raise/12))*$Q$121</f>
        <v>2.9756020552724749E-2</v>
      </c>
      <c r="S165" s="47">
        <f>((IF(Prof_Mode="parabolic",Prof_Z0+Prof_G1*(($Q$165)-Prof_Sta0)+Prof_Kq*(($Q$165)-Prof_Sta0)^2,IF(($Q$165)&lt;=Prof_PISta,Prof_Z0+Prof_G1*(($Q$165)-Prof_Sta0),Prof_PIZ+Prof_G2*(($Q$165)-Prof_PISta)))+Bm1_dCL-Deck_T)-((Sp1_ZA+(Sp1_ZB-Sp1_ZA)*((($Q$165)-Sp1_BrgA)/Sp1_Lb)-Sup_Drop+Sp1_C/3*((($Q$165)-Sp1_BrgA)/Sp1_Lb)*(1-((($Q$165)-Sp1_BrgA)/Sp1_Lb))+(Bm1_Raise)/12)+Bm_D))*$Q$121</f>
        <v>5.1274821896305411</v>
      </c>
    </row>
    <row r="166" spans="16:19" x14ac:dyDescent="0.45">
      <c r="Q166" s="47">
        <f>Sp1_Bm0+2/40*(Sp1_Bm1-Sp1_Bm0)</f>
        <v>1598.8187499999999</v>
      </c>
      <c r="R166" s="47">
        <f>(((Sp1_ZA+(Sp1_ZB-Sp1_ZA)*((($Q$166)-Sp1_BrgA)/Sp1_Lb)-Sup_Drop+Sp1_C/3*((($Q$166)-Sp1_BrgA)/Sp1_Lb)*(1-((($Q$166)-Sp1_BrgA)/Sp1_Lb))+(Bm1_Raise)/12)+Bm_D)-((Sp1_ZA+(Sp1_ZB-Sp1_ZA)*(($Q$166)-Sp1_BrgA)/Sp1_Lb)-Sup_Drop+Bm_D+Bm1_Raise/12))*$Q$121</f>
        <v>6.9272545946148512E-2</v>
      </c>
      <c r="S166" s="47">
        <f>((IF(Prof_Mode="parabolic",Prof_Z0+Prof_G1*(($Q$166)-Prof_Sta0)+Prof_Kq*(($Q$166)-Prof_Sta0)^2,IF(($Q$166)&lt;=Prof_PISta,Prof_Z0+Prof_G1*(($Q$166)-Prof_Sta0),Prof_PIZ+Prof_G2*(($Q$166)-Prof_PISta)))+Bm1_dCL-Deck_T)-((Sp1_ZA+(Sp1_ZB-Sp1_ZA)*((($Q$166)-Sp1_BrgA)/Sp1_Lb)-Sup_Drop+Sp1_C/3*((($Q$166)-Sp1_BrgA)/Sp1_Lb)*(1-((($Q$166)-Sp1_BrgA)/Sp1_Lb))+(Bm1_Raise)/12)+Bm_D))*$Q$121</f>
        <v>5.0879656642371174</v>
      </c>
    </row>
    <row r="167" spans="16:19" x14ac:dyDescent="0.45">
      <c r="Q167" s="47">
        <f>Sp1_Bm0+3/40*(Sp1_Bm1-Sp1_Bm0)</f>
        <v>1601.493125</v>
      </c>
      <c r="R167" s="47">
        <f>(((Sp1_ZA+(Sp1_ZB-Sp1_ZA)*((($Q$167)-Sp1_BrgA)/Sp1_Lb)-Sup_Drop+Sp1_C/3*((($Q$167)-Sp1_BrgA)/Sp1_Lb)*(1-((($Q$167)-Sp1_BrgA)/Sp1_Lb))+(Bm1_Raise)/12)+Bm_D)-((Sp1_ZA+(Sp1_ZB-Sp1_ZA)*(($Q$167)-Sp1_BrgA)/Sp1_Lb)-Sup_Drop+Bm_D+Bm1_Raise/12))*$Q$121</f>
        <v>0.10665304293979716</v>
      </c>
      <c r="S167" s="47">
        <f>((IF(Prof_Mode="parabolic",Prof_Z0+Prof_G1*(($Q$167)-Prof_Sta0)+Prof_Kq*(($Q$167)-Prof_Sta0)^2,IF(($Q$167)&lt;=Prof_PISta,Prof_Z0+Prof_G1*(($Q$167)-Prof_Sta0),Prof_PIZ+Prof_G2*(($Q$167)-Prof_PISta)))+Bm1_dCL-Deck_T)-((Sp1_ZA+(Sp1_ZB-Sp1_ZA)*((($Q$167)-Sp1_BrgA)/Sp1_Lb)-Sup_Drop+Sp1_C/3*((($Q$167)-Sp1_BrgA)/Sp1_Lb)*(1-((($Q$167)-Sp1_BrgA)/Sp1_Lb))+(Bm1_Raise)/12)+Bm_D))*$Q$121</f>
        <v>5.0505851672434687</v>
      </c>
    </row>
    <row r="168" spans="16:19" x14ac:dyDescent="0.45">
      <c r="Q168" s="47">
        <f>Sp1_Bm0+4/40*(Sp1_Bm1-Sp1_Bm0)</f>
        <v>1604.1675</v>
      </c>
      <c r="R168" s="47">
        <f>(((Sp1_ZA+(Sp1_ZB-Sp1_ZA)*((($Q$168)-Sp1_BrgA)/Sp1_Lb)-Sup_Drop+Sp1_C/3*((($Q$168)-Sp1_BrgA)/Sp1_Lb)*(1-((($Q$168)-Sp1_BrgA)/Sp1_Lb))+(Bm1_Raise)/12)+Bm_D)-((Sp1_ZA+(Sp1_ZB-Sp1_ZA)*(($Q$168)-Sp1_BrgA)/Sp1_Lb)-Sup_Drop+Bm_D+Bm1_Raise/12))*$Q$121</f>
        <v>0.14189751153395491</v>
      </c>
      <c r="S168" s="47">
        <f>((IF(Prof_Mode="parabolic",Prof_Z0+Prof_G1*(($Q$168)-Prof_Sta0)+Prof_Kq*(($Q$168)-Prof_Sta0)^2,IF(($Q$168)&lt;=Prof_PISta,Prof_Z0+Prof_G1*(($Q$168)-Prof_Sta0),Prof_PIZ+Prof_G2*(($Q$168)-Prof_PISta)))+Bm1_dCL-Deck_T)-((Sp1_ZA+(Sp1_ZB-Sp1_ZA)*((($Q$168)-Sp1_BrgA)/Sp1_Lb)-Sup_Drop+Sp1_C/3*((($Q$168)-Sp1_BrgA)/Sp1_Lb)*(1-((($Q$168)-Sp1_BrgA)/Sp1_Lb))+(Bm1_Raise)/12)+Bm_D))*$Q$121</f>
        <v>5.0153406986490268</v>
      </c>
    </row>
    <row r="169" spans="16:19" x14ac:dyDescent="0.45">
      <c r="Q169" s="47">
        <f>Sp1_Bm0+5/40*(Sp1_Bm1-Sp1_Bm0)</f>
        <v>1606.8418750000001</v>
      </c>
      <c r="R169" s="47">
        <f>(((Sp1_ZA+(Sp1_ZB-Sp1_ZA)*((($Q$169)-Sp1_BrgA)/Sp1_Lb)-Sup_Drop+Sp1_C/3*((($Q$169)-Sp1_BrgA)/Sp1_Lb)*(1-((($Q$169)-Sp1_BrgA)/Sp1_Lb))+(Bm1_Raise)/12)+Bm_D)-((Sp1_ZA+(Sp1_ZB-Sp1_ZA)*(($Q$169)-Sp1_BrgA)/Sp1_Lb)-Sup_Drop+Bm_D+Bm1_Raise/12))*$Q$121</f>
        <v>0.17500595172862177</v>
      </c>
      <c r="S169" s="47">
        <f>((IF(Prof_Mode="parabolic",Prof_Z0+Prof_G1*(($Q$169)-Prof_Sta0)+Prof_Kq*(($Q$169)-Prof_Sta0)^2,IF(($Q$169)&lt;=Prof_PISta,Prof_Z0+Prof_G1*(($Q$169)-Prof_Sta0),Prof_PIZ+Prof_G2*(($Q$169)-Prof_PISta)))+Bm1_dCL-Deck_T)-((Sp1_ZA+(Sp1_ZB-Sp1_ZA)*((($Q$169)-Sp1_BrgA)/Sp1_Lb)-Sup_Drop+Sp1_C/3*((($Q$169)-Sp1_BrgA)/Sp1_Lb)*(1-((($Q$169)-Sp1_BrgA)/Sp1_Lb))+(Bm1_Raise)/12)+Bm_D))*$Q$121</f>
        <v>4.9822322584546441</v>
      </c>
    </row>
    <row r="170" spans="16:19" x14ac:dyDescent="0.45">
      <c r="Q170" s="47">
        <f>Sp1_Bm0+6/40*(Sp1_Bm1-Sp1_Bm0)</f>
        <v>1609.5162500000001</v>
      </c>
      <c r="R170" s="47">
        <f>(((Sp1_ZA+(Sp1_ZB-Sp1_ZA)*((($Q$170)-Sp1_BrgA)/Sp1_Lb)-Sup_Drop+Sp1_C/3*((($Q$170)-Sp1_BrgA)/Sp1_Lb)*(1-((($Q$170)-Sp1_BrgA)/Sp1_Lb))+(Bm1_Raise)/12)+Bm_D)-((Sp1_ZA+(Sp1_ZB-Sp1_ZA)*(($Q$170)-Sp1_BrgA)/Sp1_Lb)-Sup_Drop+Bm_D+Bm1_Raise/12))*$Q$121</f>
        <v>0.20597836352351351</v>
      </c>
      <c r="S170" s="47">
        <f>((IF(Prof_Mode="parabolic",Prof_Z0+Prof_G1*(($Q$170)-Prof_Sta0)+Prof_Kq*(($Q$170)-Prof_Sta0)^2,IF(($Q$170)&lt;=Prof_PISta,Prof_Z0+Prof_G1*(($Q$170)-Prof_Sta0),Prof_PIZ+Prof_G2*(($Q$170)-Prof_PISta)))+Bm1_dCL-Deck_T)-((Sp1_ZA+(Sp1_ZB-Sp1_ZA)*((($Q$170)-Sp1_BrgA)/Sp1_Lb)-Sup_Drop+Sp1_C/3*((($Q$170)-Sp1_BrgA)/Sp1_Lb)*(1-((($Q$170)-Sp1_BrgA)/Sp1_Lb))+(Bm1_Raise)/12)+Bm_D))*$Q$121</f>
        <v>4.9512598466597524</v>
      </c>
    </row>
    <row r="171" spans="16:19" x14ac:dyDescent="0.45">
      <c r="Q171" s="47">
        <f>Sp1_Bm0+7/40*(Sp1_Bm1-Sp1_Bm0)</f>
        <v>1612.190625</v>
      </c>
      <c r="R171" s="47">
        <f>(((Sp1_ZA+(Sp1_ZB-Sp1_ZA)*((($Q$171)-Sp1_BrgA)/Sp1_Lb)-Sup_Drop+Sp1_C/3*((($Q$171)-Sp1_BrgA)/Sp1_Lb)*(1-((($Q$171)-Sp1_BrgA)/Sp1_Lb))+(Bm1_Raise)/12)+Bm_D)-((Sp1_ZA+(Sp1_ZB-Sp1_ZA)*(($Q$171)-Sp1_BrgA)/Sp1_Lb)-Sup_Drop+Bm_D+Bm1_Raise/12))*$Q$121</f>
        <v>0.23481474691863014</v>
      </c>
      <c r="S171" s="47">
        <f>((IF(Prof_Mode="parabolic",Prof_Z0+Prof_G1*(($Q$171)-Prof_Sta0)+Prof_Kq*(($Q$171)-Prof_Sta0)^2,IF(($Q$171)&lt;=Prof_PISta,Prof_Z0+Prof_G1*(($Q$171)-Prof_Sta0),Prof_PIZ+Prof_G2*(($Q$171)-Prof_PISta)))+Bm1_dCL-Deck_T)-((Sp1_ZA+(Sp1_ZB-Sp1_ZA)*((($Q$171)-Sp1_BrgA)/Sp1_Lb)-Sup_Drop+Sp1_C/3*((($Q$171)-Sp1_BrgA)/Sp1_Lb)*(1-((($Q$171)-Sp1_BrgA)/Sp1_Lb))+(Bm1_Raise)/12)+Bm_D))*$Q$121</f>
        <v>4.9224234632646358</v>
      </c>
    </row>
    <row r="172" spans="16:19" x14ac:dyDescent="0.45">
      <c r="Q172" s="47">
        <f>Sp1_Bm0+8/40*(Sp1_Bm1-Sp1_Bm0)</f>
        <v>1614.865</v>
      </c>
      <c r="R172" s="47">
        <f>(((Sp1_ZA+(Sp1_ZB-Sp1_ZA)*((($Q$172)-Sp1_BrgA)/Sp1_Lb)-Sup_Drop+Sp1_C/3*((($Q$172)-Sp1_BrgA)/Sp1_Lb)*(1-((($Q$172)-Sp1_BrgA)/Sp1_Lb))+(Bm1_Raise)/12)+Bm_D)-((Sp1_ZA+(Sp1_ZB-Sp1_ZA)*(($Q$172)-Sp1_BrgA)/Sp1_Lb)-Sup_Drop+Bm_D+Bm1_Raise/12))*$Q$121</f>
        <v>0.26151510191425587</v>
      </c>
      <c r="S172" s="47">
        <f>((IF(Prof_Mode="parabolic",Prof_Z0+Prof_G1*(($Q$172)-Prof_Sta0)+Prof_Kq*(($Q$172)-Prof_Sta0)^2,IF(($Q$172)&lt;=Prof_PISta,Prof_Z0+Prof_G1*(($Q$172)-Prof_Sta0),Prof_PIZ+Prof_G2*(($Q$172)-Prof_PISta)))+Bm1_dCL-Deck_T)-((Sp1_ZA+(Sp1_ZB-Sp1_ZA)*((($Q$172)-Sp1_BrgA)/Sp1_Lb)-Sup_Drop+Sp1_C/3*((($Q$172)-Sp1_BrgA)/Sp1_Lb)*(1-((($Q$172)-Sp1_BrgA)/Sp1_Lb))+(Bm1_Raise)/12)+Bm_D))*$Q$121</f>
        <v>4.89572310826901</v>
      </c>
    </row>
    <row r="173" spans="16:19" x14ac:dyDescent="0.45">
      <c r="Q173" s="47">
        <f>Sp1_Bm0+9/40*(Sp1_Bm1-Sp1_Bm0)</f>
        <v>1617.5393750000001</v>
      </c>
      <c r="R173" s="47">
        <f>(((Sp1_ZA+(Sp1_ZB-Sp1_ZA)*((($Q$173)-Sp1_BrgA)/Sp1_Lb)-Sup_Drop+Sp1_C/3*((($Q$173)-Sp1_BrgA)/Sp1_Lb)*(1-((($Q$173)-Sp1_BrgA)/Sp1_Lb))+(Bm1_Raise)/12)+Bm_D)-((Sp1_ZA+(Sp1_ZB-Sp1_ZA)*(($Q$173)-Sp1_BrgA)/Sp1_Lb)-Sup_Drop+Bm_D+Bm1_Raise/12))*$Q$121</f>
        <v>0.28607942851010648</v>
      </c>
      <c r="S173" s="47">
        <f>((IF(Prof_Mode="parabolic",Prof_Z0+Prof_G1*(($Q$173)-Prof_Sta0)+Prof_Kq*(($Q$173)-Prof_Sta0)^2,IF(($Q$173)&lt;=Prof_PISta,Prof_Z0+Prof_G1*(($Q$173)-Prof_Sta0),Prof_PIZ+Prof_G2*(($Q$173)-Prof_PISta)))+Bm1_dCL-Deck_T)-((Sp1_ZA+(Sp1_ZB-Sp1_ZA)*((($Q$173)-Sp1_BrgA)/Sp1_Lb)-Sup_Drop+Sp1_C/3*((($Q$173)-Sp1_BrgA)/Sp1_Lb)*(1-((($Q$173)-Sp1_BrgA)/Sp1_Lb))+(Bm1_Raise)/12)+Bm_D))*$Q$121</f>
        <v>4.8711587816731594</v>
      </c>
    </row>
    <row r="174" spans="16:19" x14ac:dyDescent="0.45">
      <c r="Q174" s="47">
        <f>Sp1_Bm0+10/40*(Sp1_Bm1-Sp1_Bm0)</f>
        <v>1620.2137499999999</v>
      </c>
      <c r="R174" s="47">
        <f>(((Sp1_ZA+(Sp1_ZB-Sp1_ZA)*((($Q$174)-Sp1_BrgA)/Sp1_Lb)-Sup_Drop+Sp1_C/3*((($Q$174)-Sp1_BrgA)/Sp1_Lb)*(1-((($Q$174)-Sp1_BrgA)/Sp1_Lb))+(Bm1_Raise)/12)+Bm_D)-((Sp1_ZA+(Sp1_ZB-Sp1_ZA)*(($Q$174)-Sp1_BrgA)/Sp1_Lb)-Sup_Drop+Bm_D+Bm1_Raise/12))*$Q$121</f>
        <v>0.3085077267064662</v>
      </c>
      <c r="S174" s="47">
        <f>((IF(Prof_Mode="parabolic",Prof_Z0+Prof_G1*(($Q$174)-Prof_Sta0)+Prof_Kq*(($Q$174)-Prof_Sta0)^2,IF(($Q$174)&lt;=Prof_PISta,Prof_Z0+Prof_G1*(($Q$174)-Prof_Sta0),Prof_PIZ+Prof_G2*(($Q$174)-Prof_PISta)))+Bm1_dCL-Deck_T)-((Sp1_ZA+(Sp1_ZB-Sp1_ZA)*((($Q$174)-Sp1_BrgA)/Sp1_Lb)-Sup_Drop+Sp1_C/3*((($Q$174)-Sp1_BrgA)/Sp1_Lb)*(1-((($Q$174)-Sp1_BrgA)/Sp1_Lb))+(Bm1_Raise)/12)+Bm_D))*$Q$121</f>
        <v>4.8487304834767997</v>
      </c>
    </row>
    <row r="175" spans="16:19" x14ac:dyDescent="0.45">
      <c r="Q175" s="47">
        <f>Sp1_Bm0+11/40*(Sp1_Bm1-Sp1_Bm0)</f>
        <v>1622.8881249999999</v>
      </c>
      <c r="R175" s="47">
        <f>(((Sp1_ZA+(Sp1_ZB-Sp1_ZA)*((($Q$175)-Sp1_BrgA)/Sp1_Lb)-Sup_Drop+Sp1_C/3*((($Q$175)-Sp1_BrgA)/Sp1_Lb)*(1-((($Q$175)-Sp1_BrgA)/Sp1_Lb))+(Bm1_Raise)/12)+Bm_D)-((Sp1_ZA+(Sp1_ZB-Sp1_ZA)*(($Q$175)-Sp1_BrgA)/Sp1_Lb)-Sup_Drop+Bm_D+Bm1_Raise/12))*$Q$121</f>
        <v>0.32879999650305081</v>
      </c>
      <c r="S175" s="47">
        <f>((IF(Prof_Mode="parabolic",Prof_Z0+Prof_G1*(($Q$175)-Prof_Sta0)+Prof_Kq*(($Q$175)-Prof_Sta0)^2,IF(($Q$175)&lt;=Prof_PISta,Prof_Z0+Prof_G1*(($Q$175)-Prof_Sta0),Prof_PIZ+Prof_G2*(($Q$175)-Prof_PISta)))+Bm1_dCL-Deck_T)-((Sp1_ZA+(Sp1_ZB-Sp1_ZA)*((($Q$175)-Sp1_BrgA)/Sp1_Lb)-Sup_Drop+Sp1_C/3*((($Q$175)-Sp1_BrgA)/Sp1_Lb)*(1-((($Q$175)-Sp1_BrgA)/Sp1_Lb))+(Bm1_Raise)/12)+Bm_D))*$Q$121</f>
        <v>4.8284382136802151</v>
      </c>
    </row>
    <row r="176" spans="16:19" x14ac:dyDescent="0.45">
      <c r="Q176" s="47">
        <f>Sp1_Bm0+12/40*(Sp1_Bm1-Sp1_Bm0)</f>
        <v>1625.5625</v>
      </c>
      <c r="R176" s="47">
        <f>(((Sp1_ZA+(Sp1_ZB-Sp1_ZA)*((($Q$176)-Sp1_BrgA)/Sp1_Lb)-Sup_Drop+Sp1_C/3*((($Q$176)-Sp1_BrgA)/Sp1_Lb)*(1-((($Q$176)-Sp1_BrgA)/Sp1_Lb))+(Bm1_Raise)/12)+Bm_D)-((Sp1_ZA+(Sp1_ZB-Sp1_ZA)*(($Q$176)-Sp1_BrgA)/Sp1_Lb)-Sup_Drop+Bm_D+Bm1_Raise/12))*$Q$121</f>
        <v>0.3469562378998603</v>
      </c>
      <c r="S176" s="47">
        <f>((IF(Prof_Mode="parabolic",Prof_Z0+Prof_G1*(($Q$176)-Prof_Sta0)+Prof_Kq*(($Q$176)-Prof_Sta0)^2,IF(($Q$176)&lt;=Prof_PISta,Prof_Z0+Prof_G1*(($Q$176)-Prof_Sta0),Prof_PIZ+Prof_G2*(($Q$176)-Prof_PISta)))+Bm1_dCL-Deck_T)-((Sp1_ZA+(Sp1_ZB-Sp1_ZA)*((($Q$176)-Sp1_BrgA)/Sp1_Lb)-Sup_Drop+Sp1_C/3*((($Q$176)-Sp1_BrgA)/Sp1_Lb)*(1-((($Q$176)-Sp1_BrgA)/Sp1_Lb))+(Bm1_Raise)/12)+Bm_D))*$Q$121</f>
        <v>4.8102819722834056</v>
      </c>
    </row>
    <row r="177" spans="17:19" x14ac:dyDescent="0.45">
      <c r="Q177" s="47">
        <f>Sp1_Bm0+13/40*(Sp1_Bm1-Sp1_Bm0)</f>
        <v>1628.2368750000001</v>
      </c>
      <c r="R177" s="47">
        <f>(((Sp1_ZA+(Sp1_ZB-Sp1_ZA)*((($Q$177)-Sp1_BrgA)/Sp1_Lb)-Sup_Drop+Sp1_C/3*((($Q$177)-Sp1_BrgA)/Sp1_Lb)*(1-((($Q$177)-Sp1_BrgA)/Sp1_Lb))+(Bm1_Raise)/12)+Bm_D)-((Sp1_ZA+(Sp1_ZB-Sp1_ZA)*(($Q$177)-Sp1_BrgA)/Sp1_Lb)-Sup_Drop+Bm_D+Bm1_Raise/12))*$Q$121</f>
        <v>0.36297645089717889</v>
      </c>
      <c r="S177" s="47">
        <f>((IF(Prof_Mode="parabolic",Prof_Z0+Prof_G1*(($Q$177)-Prof_Sta0)+Prof_Kq*(($Q$177)-Prof_Sta0)^2,IF(($Q$177)&lt;=Prof_PISta,Prof_Z0+Prof_G1*(($Q$177)-Prof_Sta0),Prof_PIZ+Prof_G2*(($Q$177)-Prof_PISta)))+Bm1_dCL-Deck_T)-((Sp1_ZA+(Sp1_ZB-Sp1_ZA)*((($Q$177)-Sp1_BrgA)/Sp1_Lb)-Sup_Drop+Sp1_C/3*((($Q$177)-Sp1_BrgA)/Sp1_Lb)*(1-((($Q$177)-Sp1_BrgA)/Sp1_Lb))+(Bm1_Raise)/12)+Bm_D))*$Q$121</f>
        <v>4.794261759286087</v>
      </c>
    </row>
    <row r="178" spans="17:19" x14ac:dyDescent="0.45">
      <c r="Q178" s="47">
        <f>Sp1_Bm0+14/40*(Sp1_Bm1-Sp1_Bm0)</f>
        <v>1630.9112500000001</v>
      </c>
      <c r="R178" s="47">
        <f>(((Sp1_ZA+(Sp1_ZB-Sp1_ZA)*((($Q$178)-Sp1_BrgA)/Sp1_Lb)-Sup_Drop+Sp1_C/3*((($Q$178)-Sp1_BrgA)/Sp1_Lb)*(1-((($Q$178)-Sp1_BrgA)/Sp1_Lb))+(Bm1_Raise)/12)+Bm_D)-((Sp1_ZA+(Sp1_ZB-Sp1_ZA)*(($Q$178)-Sp1_BrgA)/Sp1_Lb)-Sup_Drop+Bm_D+Bm1_Raise/12))*$Q$121</f>
        <v>0.37686063549500659</v>
      </c>
      <c r="S178" s="47">
        <f>((IF(Prof_Mode="parabolic",Prof_Z0+Prof_G1*(($Q$178)-Prof_Sta0)+Prof_Kq*(($Q$178)-Prof_Sta0)^2,IF(($Q$178)&lt;=Prof_PISta,Prof_Z0+Prof_G1*(($Q$178)-Prof_Sta0),Prof_PIZ+Prof_G2*(($Q$178)-Prof_PISta)))+Bm1_dCL-Deck_T)-((Sp1_ZA+(Sp1_ZB-Sp1_ZA)*((($Q$178)-Sp1_BrgA)/Sp1_Lb)-Sup_Drop+Sp1_C/3*((($Q$178)-Sp1_BrgA)/Sp1_Lb)*(1-((($Q$178)-Sp1_BrgA)/Sp1_Lb))+(Bm1_Raise)/12)+Bm_D))*$Q$121</f>
        <v>4.7803775746882593</v>
      </c>
    </row>
    <row r="179" spans="17:19" x14ac:dyDescent="0.45">
      <c r="Q179" s="47">
        <f>Sp1_Bm0+15/40*(Sp1_Bm1-Sp1_Bm0)</f>
        <v>1633.5856249999999</v>
      </c>
      <c r="R179" s="47">
        <f>(((Sp1_ZA+(Sp1_ZB-Sp1_ZA)*((($Q$179)-Sp1_BrgA)/Sp1_Lb)-Sup_Drop+Sp1_C/3*((($Q$179)-Sp1_BrgA)/Sp1_Lb)*(1-((($Q$179)-Sp1_BrgA)/Sp1_Lb))+(Bm1_Raise)/12)+Bm_D)-((Sp1_ZA+(Sp1_ZB-Sp1_ZA)*(($Q$179)-Sp1_BrgA)/Sp1_Lb)-Sup_Drop+Bm_D+Bm1_Raise/12))*$Q$121</f>
        <v>0.38860879169305917</v>
      </c>
      <c r="S179" s="47">
        <f>((IF(Prof_Mode="parabolic",Prof_Z0+Prof_G1*(($Q$179)-Prof_Sta0)+Prof_Kq*(($Q$179)-Prof_Sta0)^2,IF(($Q$179)&lt;=Prof_PISta,Prof_Z0+Prof_G1*(($Q$179)-Prof_Sta0),Prof_PIZ+Prof_G2*(($Q$179)-Prof_PISta)))+Bm1_dCL-Deck_T)-((Sp1_ZA+(Sp1_ZB-Sp1_ZA)*((($Q$179)-Sp1_BrgA)/Sp1_Lb)-Sup_Drop+Sp1_C/3*((($Q$179)-Sp1_BrgA)/Sp1_Lb)*(1-((($Q$179)-Sp1_BrgA)/Sp1_Lb))+(Bm1_Raise)/12)+Bm_D))*$Q$121</f>
        <v>4.7686294184902067</v>
      </c>
    </row>
    <row r="180" spans="17:19" x14ac:dyDescent="0.45">
      <c r="Q180" s="47">
        <f>Sp1_Bm0+16/40*(Sp1_Bm1-Sp1_Bm0)</f>
        <v>1636.26</v>
      </c>
      <c r="R180" s="47">
        <f>(((Sp1_ZA+(Sp1_ZB-Sp1_ZA)*((($Q$180)-Sp1_BrgA)/Sp1_Lb)-Sup_Drop+Sp1_C/3*((($Q$180)-Sp1_BrgA)/Sp1_Lb)*(1-((($Q$180)-Sp1_BrgA)/Sp1_Lb))+(Bm1_Raise)/12)+Bm_D)-((Sp1_ZA+(Sp1_ZB-Sp1_ZA)*(($Q$180)-Sp1_BrgA)/Sp1_Lb)-Sup_Drop+Bm_D+Bm1_Raise/12))*$Q$121</f>
        <v>0.39822091949133664</v>
      </c>
      <c r="S180" s="47">
        <f>((IF(Prof_Mode="parabolic",Prof_Z0+Prof_G1*(($Q$180)-Prof_Sta0)+Prof_Kq*(($Q$180)-Prof_Sta0)^2,IF(($Q$180)&lt;=Prof_PISta,Prof_Z0+Prof_G1*(($Q$180)-Prof_Sta0),Prof_PIZ+Prof_G2*(($Q$180)-Prof_PISta)))+Bm1_dCL-Deck_T)-((Sp1_ZA+(Sp1_ZB-Sp1_ZA)*((($Q$180)-Sp1_BrgA)/Sp1_Lb)-Sup_Drop+Sp1_C/3*((($Q$180)-Sp1_BrgA)/Sp1_Lb)*(1-((($Q$180)-Sp1_BrgA)/Sp1_Lb))+(Bm1_Raise)/12)+Bm_D))*$Q$121</f>
        <v>4.7590172906919292</v>
      </c>
    </row>
    <row r="181" spans="17:19" x14ac:dyDescent="0.45">
      <c r="Q181" s="47">
        <f>Sp1_Bm0+17/40*(Sp1_Bm1-Sp1_Bm0)</f>
        <v>1638.934375</v>
      </c>
      <c r="R181" s="47">
        <f>(((Sp1_ZA+(Sp1_ZB-Sp1_ZA)*((($Q$181)-Sp1_BrgA)/Sp1_Lb)-Sup_Drop+Sp1_C/3*((($Q$181)-Sp1_BrgA)/Sp1_Lb)*(1-((($Q$181)-Sp1_BrgA)/Sp1_Lb))+(Bm1_Raise)/12)+Bm_D)-((Sp1_ZA+(Sp1_ZB-Sp1_ZA)*(($Q$181)-Sp1_BrgA)/Sp1_Lb)-Sup_Drop+Bm_D+Bm1_Raise/12))*$Q$121</f>
        <v>0.40569701889012322</v>
      </c>
      <c r="S181" s="47">
        <f>((IF(Prof_Mode="parabolic",Prof_Z0+Prof_G1*(($Q$181)-Prof_Sta0)+Prof_Kq*(($Q$181)-Prof_Sta0)^2,IF(($Q$181)&lt;=Prof_PISta,Prof_Z0+Prof_G1*(($Q$181)-Prof_Sta0),Prof_PIZ+Prof_G2*(($Q$181)-Prof_PISta)))+Bm1_dCL-Deck_T)-((Sp1_ZA+(Sp1_ZB-Sp1_ZA)*((($Q$181)-Sp1_BrgA)/Sp1_Lb)-Sup_Drop+Sp1_C/3*((($Q$181)-Sp1_BrgA)/Sp1_Lb)*(1-((($Q$181)-Sp1_BrgA)/Sp1_Lb))+(Bm1_Raise)/12)+Bm_D))*$Q$121</f>
        <v>4.7515411912928585</v>
      </c>
    </row>
    <row r="182" spans="17:19" x14ac:dyDescent="0.45">
      <c r="Q182" s="47">
        <f>Sp1_Bm0+18/40*(Sp1_Bm1-Sp1_Bm0)</f>
        <v>1641.6087499999999</v>
      </c>
      <c r="R182" s="47">
        <f>(((Sp1_ZA+(Sp1_ZB-Sp1_ZA)*((($Q$182)-Sp1_BrgA)/Sp1_Lb)-Sup_Drop+Sp1_C/3*((($Q$182)-Sp1_BrgA)/Sp1_Lb)*(1-((($Q$182)-Sp1_BrgA)/Sp1_Lb))+(Bm1_Raise)/12)+Bm_D)-((Sp1_ZA+(Sp1_ZB-Sp1_ZA)*(($Q$182)-Sp1_BrgA)/Sp1_Lb)-Sup_Drop+Bm_D+Bm1_Raise/12))*$Q$121</f>
        <v>0.41103708988941889</v>
      </c>
      <c r="S182" s="47">
        <f>((IF(Prof_Mode="parabolic",Prof_Z0+Prof_G1*(($Q$182)-Prof_Sta0)+Prof_Kq*(($Q$182)-Prof_Sta0)^2,IF(($Q$182)&lt;=Prof_PISta,Prof_Z0+Prof_G1*(($Q$182)-Prof_Sta0),Prof_PIZ+Prof_G2*(($Q$182)-Prof_PISta)))+Bm1_dCL-Deck_T)-((Sp1_ZA+(Sp1_ZB-Sp1_ZA)*((($Q$182)-Sp1_BrgA)/Sp1_Lb)-Sup_Drop+Sp1_C/3*((($Q$182)-Sp1_BrgA)/Sp1_Lb)*(1-((($Q$182)-Sp1_BrgA)/Sp1_Lb))+(Bm1_Raise)/12)+Bm_D))*$Q$121</f>
        <v>4.746201120293847</v>
      </c>
    </row>
    <row r="183" spans="17:19" x14ac:dyDescent="0.45">
      <c r="Q183" s="47">
        <f>Sp1_Bm0+19/40*(Sp1_Bm1-Sp1_Bm0)</f>
        <v>1644.2831249999999</v>
      </c>
      <c r="R183" s="47">
        <f>(((Sp1_ZA+(Sp1_ZB-Sp1_ZA)*((($Q$183)-Sp1_BrgA)/Sp1_Lb)-Sup_Drop+Sp1_C/3*((($Q$183)-Sp1_BrgA)/Sp1_Lb)*(1-((($Q$183)-Sp1_BrgA)/Sp1_Lb))+(Bm1_Raise)/12)+Bm_D)-((Sp1_ZA+(Sp1_ZB-Sp1_ZA)*(($Q$183)-Sp1_BrgA)/Sp1_Lb)-Sup_Drop+Bm_D+Bm1_Raise/12))*$Q$121</f>
        <v>0.41424113248865524</v>
      </c>
      <c r="S183" s="47">
        <f>((IF(Prof_Mode="parabolic",Prof_Z0+Prof_G1*(($Q$183)-Prof_Sta0)+Prof_Kq*(($Q$183)-Prof_Sta0)^2,IF(($Q$183)&lt;=Prof_PISta,Prof_Z0+Prof_G1*(($Q$183)-Prof_Sta0),Prof_PIZ+Prof_G2*(($Q$183)-Prof_PISta)))+Bm1_dCL-Deck_T)-((Sp1_ZA+(Sp1_ZB-Sp1_ZA)*((($Q$183)-Sp1_BrgA)/Sp1_Lb)-Sup_Drop+Sp1_C/3*((($Q$183)-Sp1_BrgA)/Sp1_Lb)*(1-((($Q$183)-Sp1_BrgA)/Sp1_Lb))+(Bm1_Raise)/12)+Bm_D))*$Q$121</f>
        <v>4.7429970776946107</v>
      </c>
    </row>
    <row r="184" spans="17:19" x14ac:dyDescent="0.45">
      <c r="Q184" s="47">
        <f>Sp1_Bm0+20/40*(Sp1_Bm1-Sp1_Bm0)</f>
        <v>1646.9575</v>
      </c>
      <c r="R184" s="47">
        <f>(((Sp1_ZA+(Sp1_ZB-Sp1_ZA)*((($Q$184)-Sp1_BrgA)/Sp1_Lb)-Sup_Drop+Sp1_C/3*((($Q$184)-Sp1_BrgA)/Sp1_Lb)*(1-((($Q$184)-Sp1_BrgA)/Sp1_Lb))+(Bm1_Raise)/12)+Bm_D)-((Sp1_ZA+(Sp1_ZB-Sp1_ZA)*(($Q$184)-Sp1_BrgA)/Sp1_Lb)-Sup_Drop+Bm_D+Bm1_Raise/12))*$Q$121</f>
        <v>0.4153091466886849</v>
      </c>
      <c r="S184" s="47">
        <f>((IF(Prof_Mode="parabolic",Prof_Z0+Prof_G1*(($Q$184)-Prof_Sta0)+Prof_Kq*(($Q$184)-Prof_Sta0)^2,IF(($Q$184)&lt;=Prof_PISta,Prof_Z0+Prof_G1*(($Q$184)-Prof_Sta0),Prof_PIZ+Prof_G2*(($Q$184)-Prof_PISta)))+Bm1_dCL-Deck_T)-((Sp1_ZA+(Sp1_ZB-Sp1_ZA)*((($Q$184)-Sp1_BrgA)/Sp1_Lb)-Sup_Drop+Sp1_C/3*((($Q$184)-Sp1_BrgA)/Sp1_Lb)*(1-((($Q$184)-Sp1_BrgA)/Sp1_Lb))+(Bm1_Raise)/12)+Bm_D))*$Q$121</f>
        <v>4.7419290634942968</v>
      </c>
    </row>
    <row r="185" spans="17:19" x14ac:dyDescent="0.45">
      <c r="Q185" s="47">
        <f>Sp1_Bm0+21/40*(Sp1_Bm1-Sp1_Bm0)</f>
        <v>1649.631875</v>
      </c>
      <c r="R185" s="47">
        <f>(((Sp1_ZA+(Sp1_ZB-Sp1_ZA)*((($Q$185)-Sp1_BrgA)/Sp1_Lb)-Sup_Drop+Sp1_C/3*((($Q$185)-Sp1_BrgA)/Sp1_Lb)*(1-((($Q$185)-Sp1_BrgA)/Sp1_Lb))+(Bm1_Raise)/12)+Bm_D)-((Sp1_ZA+(Sp1_ZB-Sp1_ZA)*(($Q$185)-Sp1_BrgA)/Sp1_Lb)-Sup_Drop+Bm_D+Bm1_Raise/12))*$Q$121</f>
        <v>0.41424113248865524</v>
      </c>
      <c r="S185" s="47">
        <f>((IF(Prof_Mode="parabolic",Prof_Z0+Prof_G1*(($Q$185)-Prof_Sta0)+Prof_Kq*(($Q$185)-Prof_Sta0)^2,IF(($Q$185)&lt;=Prof_PISta,Prof_Z0+Prof_G1*(($Q$185)-Prof_Sta0),Prof_PIZ+Prof_G2*(($Q$185)-Prof_PISta)))+Bm1_dCL-Deck_T)-((Sp1_ZA+(Sp1_ZB-Sp1_ZA)*((($Q$185)-Sp1_BrgA)/Sp1_Lb)-Sup_Drop+Sp1_C/3*((($Q$185)-Sp1_BrgA)/Sp1_Lb)*(1-((($Q$185)-Sp1_BrgA)/Sp1_Lb))+(Bm1_Raise)/12)+Bm_D))*$Q$121</f>
        <v>4.7429970776946107</v>
      </c>
    </row>
    <row r="186" spans="17:19" x14ac:dyDescent="0.45">
      <c r="Q186" s="47">
        <f>Sp1_Bm0+22/40*(Sp1_Bm1-Sp1_Bm0)</f>
        <v>1652.3062500000001</v>
      </c>
      <c r="R186" s="47">
        <f>(((Sp1_ZA+(Sp1_ZB-Sp1_ZA)*((($Q$186)-Sp1_BrgA)/Sp1_Lb)-Sup_Drop+Sp1_C/3*((($Q$186)-Sp1_BrgA)/Sp1_Lb)*(1-((($Q$186)-Sp1_BrgA)/Sp1_Lb))+(Bm1_Raise)/12)+Bm_D)-((Sp1_ZA+(Sp1_ZB-Sp1_ZA)*(($Q$186)-Sp1_BrgA)/Sp1_Lb)-Sup_Drop+Bm_D+Bm1_Raise/12))*$Q$121</f>
        <v>0.41103708988941889</v>
      </c>
      <c r="S186" s="47">
        <f>((IF(Prof_Mode="parabolic",Prof_Z0+Prof_G1*(($Q$186)-Prof_Sta0)+Prof_Kq*(($Q$186)-Prof_Sta0)^2,IF(($Q$186)&lt;=Prof_PISta,Prof_Z0+Prof_G1*(($Q$186)-Prof_Sta0),Prof_PIZ+Prof_G2*(($Q$186)-Prof_PISta)))+Bm1_dCL-Deck_T)-((Sp1_ZA+(Sp1_ZB-Sp1_ZA)*((($Q$186)-Sp1_BrgA)/Sp1_Lb)-Sup_Drop+Sp1_C/3*((($Q$186)-Sp1_BrgA)/Sp1_Lb)*(1-((($Q$186)-Sp1_BrgA)/Sp1_Lb))+(Bm1_Raise)/12)+Bm_D))*$Q$121</f>
        <v>4.746201120293847</v>
      </c>
    </row>
    <row r="187" spans="17:19" x14ac:dyDescent="0.45">
      <c r="Q187" s="47">
        <f>Sp1_Bm0+23/40*(Sp1_Bm1-Sp1_Bm0)</f>
        <v>1654.9806249999999</v>
      </c>
      <c r="R187" s="47">
        <f>(((Sp1_ZA+(Sp1_ZB-Sp1_ZA)*((($Q$187)-Sp1_BrgA)/Sp1_Lb)-Sup_Drop+Sp1_C/3*((($Q$187)-Sp1_BrgA)/Sp1_Lb)*(1-((($Q$187)-Sp1_BrgA)/Sp1_Lb))+(Bm1_Raise)/12)+Bm_D)-((Sp1_ZA+(Sp1_ZB-Sp1_ZA)*(($Q$187)-Sp1_BrgA)/Sp1_Lb)-Sup_Drop+Bm_D+Bm1_Raise/12))*$Q$121</f>
        <v>0.40569701889012322</v>
      </c>
      <c r="S187" s="47">
        <f>((IF(Prof_Mode="parabolic",Prof_Z0+Prof_G1*(($Q$187)-Prof_Sta0)+Prof_Kq*(($Q$187)-Prof_Sta0)^2,IF(($Q$187)&lt;=Prof_PISta,Prof_Z0+Prof_G1*(($Q$187)-Prof_Sta0),Prof_PIZ+Prof_G2*(($Q$187)-Prof_PISta)))+Bm1_dCL-Deck_T)-((Sp1_ZA+(Sp1_ZB-Sp1_ZA)*((($Q$187)-Sp1_BrgA)/Sp1_Lb)-Sup_Drop+Sp1_C/3*((($Q$187)-Sp1_BrgA)/Sp1_Lb)*(1-((($Q$187)-Sp1_BrgA)/Sp1_Lb))+(Bm1_Raise)/12)+Bm_D))*$Q$121</f>
        <v>4.7515411912931427</v>
      </c>
    </row>
    <row r="188" spans="17:19" x14ac:dyDescent="0.45">
      <c r="Q188" s="47">
        <f>Sp1_Bm0+24/40*(Sp1_Bm1-Sp1_Bm0)</f>
        <v>1657.655</v>
      </c>
      <c r="R188" s="47">
        <f>(((Sp1_ZA+(Sp1_ZB-Sp1_ZA)*((($Q$188)-Sp1_BrgA)/Sp1_Lb)-Sup_Drop+Sp1_C/3*((($Q$188)-Sp1_BrgA)/Sp1_Lb)*(1-((($Q$188)-Sp1_BrgA)/Sp1_Lb))+(Bm1_Raise)/12)+Bm_D)-((Sp1_ZA+(Sp1_ZB-Sp1_ZA)*(($Q$188)-Sp1_BrgA)/Sp1_Lb)-Sup_Drop+Bm_D+Bm1_Raise/12))*$Q$121</f>
        <v>0.39822091949133664</v>
      </c>
      <c r="S188" s="47">
        <f>((IF(Prof_Mode="parabolic",Prof_Z0+Prof_G1*(($Q$188)-Prof_Sta0)+Prof_Kq*(($Q$188)-Prof_Sta0)^2,IF(($Q$188)&lt;=Prof_PISta,Prof_Z0+Prof_G1*(($Q$188)-Prof_Sta0),Prof_PIZ+Prof_G2*(($Q$188)-Prof_PISta)))+Bm1_dCL-Deck_T)-((Sp1_ZA+(Sp1_ZB-Sp1_ZA)*((($Q$188)-Sp1_BrgA)/Sp1_Lb)-Sup_Drop+Sp1_C/3*((($Q$188)-Sp1_BrgA)/Sp1_Lb)*(1-((($Q$188)-Sp1_BrgA)/Sp1_Lb))+(Bm1_Raise)/12)+Bm_D))*$Q$121</f>
        <v>4.7590172906919292</v>
      </c>
    </row>
    <row r="189" spans="17:19" x14ac:dyDescent="0.45">
      <c r="Q189" s="47">
        <f>Sp1_Bm0+25/40*(Sp1_Bm1-Sp1_Bm0)</f>
        <v>1660.329375</v>
      </c>
      <c r="R189" s="47">
        <f>(((Sp1_ZA+(Sp1_ZB-Sp1_ZA)*((($Q$189)-Sp1_BrgA)/Sp1_Lb)-Sup_Drop+Sp1_C/3*((($Q$189)-Sp1_BrgA)/Sp1_Lb)*(1-((($Q$189)-Sp1_BrgA)/Sp1_Lb))+(Bm1_Raise)/12)+Bm_D)-((Sp1_ZA+(Sp1_ZB-Sp1_ZA)*(($Q$189)-Sp1_BrgA)/Sp1_Lb)-Sup_Drop+Bm_D+Bm1_Raise/12))*$Q$121</f>
        <v>0.38860879169305917</v>
      </c>
      <c r="S189" s="47">
        <f>((IF(Prof_Mode="parabolic",Prof_Z0+Prof_G1*(($Q$189)-Prof_Sta0)+Prof_Kq*(($Q$189)-Prof_Sta0)^2,IF(($Q$189)&lt;=Prof_PISta,Prof_Z0+Prof_G1*(($Q$189)-Prof_Sta0),Prof_PIZ+Prof_G2*(($Q$189)-Prof_PISta)))+Bm1_dCL-Deck_T)-((Sp1_ZA+(Sp1_ZB-Sp1_ZA)*((($Q$189)-Sp1_BrgA)/Sp1_Lb)-Sup_Drop+Sp1_C/3*((($Q$189)-Sp1_BrgA)/Sp1_Lb)*(1-((($Q$189)-Sp1_BrgA)/Sp1_Lb))+(Bm1_Raise)/12)+Bm_D))*$Q$121</f>
        <v>4.7686294184902067</v>
      </c>
    </row>
    <row r="190" spans="17:19" x14ac:dyDescent="0.45">
      <c r="Q190" s="47">
        <f>Sp1_Bm0+26/40*(Sp1_Bm1-Sp1_Bm0)</f>
        <v>1663.0037499999999</v>
      </c>
      <c r="R190" s="47">
        <f>(((Sp1_ZA+(Sp1_ZB-Sp1_ZA)*((($Q$190)-Sp1_BrgA)/Sp1_Lb)-Sup_Drop+Sp1_C/3*((($Q$190)-Sp1_BrgA)/Sp1_Lb)*(1-((($Q$190)-Sp1_BrgA)/Sp1_Lb))+(Bm1_Raise)/12)+Bm_D)-((Sp1_ZA+(Sp1_ZB-Sp1_ZA)*(($Q$190)-Sp1_BrgA)/Sp1_Lb)-Sup_Drop+Bm_D+Bm1_Raise/12))*$Q$121</f>
        <v>0.37686063549500659</v>
      </c>
      <c r="S190" s="47">
        <f>((IF(Prof_Mode="parabolic",Prof_Z0+Prof_G1*(($Q$190)-Prof_Sta0)+Prof_Kq*(($Q$190)-Prof_Sta0)^2,IF(($Q$190)&lt;=Prof_PISta,Prof_Z0+Prof_G1*(($Q$190)-Prof_Sta0),Prof_PIZ+Prof_G2*(($Q$190)-Prof_PISta)))+Bm1_dCL-Deck_T)-((Sp1_ZA+(Sp1_ZB-Sp1_ZA)*((($Q$190)-Sp1_BrgA)/Sp1_Lb)-Sup_Drop+Sp1_C/3*((($Q$190)-Sp1_BrgA)/Sp1_Lb)*(1-((($Q$190)-Sp1_BrgA)/Sp1_Lb))+(Bm1_Raise)/12)+Bm_D))*$Q$121</f>
        <v>4.7803775746882593</v>
      </c>
    </row>
    <row r="191" spans="17:19" x14ac:dyDescent="0.45">
      <c r="Q191" s="47">
        <f>Sp1_Bm0+27/40*(Sp1_Bm1-Sp1_Bm0)</f>
        <v>1665.6781249999999</v>
      </c>
      <c r="R191" s="47">
        <f>(((Sp1_ZA+(Sp1_ZB-Sp1_ZA)*((($Q$191)-Sp1_BrgA)/Sp1_Lb)-Sup_Drop+Sp1_C/3*((($Q$191)-Sp1_BrgA)/Sp1_Lb)*(1-((($Q$191)-Sp1_BrgA)/Sp1_Lb))+(Bm1_Raise)/12)+Bm_D)-((Sp1_ZA+(Sp1_ZB-Sp1_ZA)*(($Q$191)-Sp1_BrgA)/Sp1_Lb)-Sup_Drop+Bm_D+Bm1_Raise/12))*$Q$121</f>
        <v>0.36297645089717889</v>
      </c>
      <c r="S191" s="47">
        <f>((IF(Prof_Mode="parabolic",Prof_Z0+Prof_G1*(($Q$191)-Prof_Sta0)+Prof_Kq*(($Q$191)-Prof_Sta0)^2,IF(($Q$191)&lt;=Prof_PISta,Prof_Z0+Prof_G1*(($Q$191)-Prof_Sta0),Prof_PIZ+Prof_G2*(($Q$191)-Prof_PISta)))+Bm1_dCL-Deck_T)-((Sp1_ZA+(Sp1_ZB-Sp1_ZA)*((($Q$191)-Sp1_BrgA)/Sp1_Lb)-Sup_Drop+Sp1_C/3*((($Q$191)-Sp1_BrgA)/Sp1_Lb)*(1-((($Q$191)-Sp1_BrgA)/Sp1_Lb))+(Bm1_Raise)/12)+Bm_D))*$Q$121</f>
        <v>4.7942617592858028</v>
      </c>
    </row>
    <row r="192" spans="17:19" x14ac:dyDescent="0.45">
      <c r="Q192" s="47">
        <f>Sp1_Bm0+28/40*(Sp1_Bm1-Sp1_Bm0)</f>
        <v>1668.3525</v>
      </c>
      <c r="R192" s="47">
        <f>(((Sp1_ZA+(Sp1_ZB-Sp1_ZA)*((($Q$192)-Sp1_BrgA)/Sp1_Lb)-Sup_Drop+Sp1_C/3*((($Q$192)-Sp1_BrgA)/Sp1_Lb)*(1-((($Q$192)-Sp1_BrgA)/Sp1_Lb))+(Bm1_Raise)/12)+Bm_D)-((Sp1_ZA+(Sp1_ZB-Sp1_ZA)*(($Q$192)-Sp1_BrgA)/Sp1_Lb)-Sup_Drop+Bm_D+Bm1_Raise/12))*$Q$121</f>
        <v>0.3469562378998603</v>
      </c>
      <c r="S192" s="47">
        <f>((IF(Prof_Mode="parabolic",Prof_Z0+Prof_G1*(($Q$192)-Prof_Sta0)+Prof_Kq*(($Q$192)-Prof_Sta0)^2,IF(($Q$192)&lt;=Prof_PISta,Prof_Z0+Prof_G1*(($Q$192)-Prof_Sta0),Prof_PIZ+Prof_G2*(($Q$192)-Prof_PISta)))+Bm1_dCL-Deck_T)-((Sp1_ZA+(Sp1_ZB-Sp1_ZA)*((($Q$192)-Sp1_BrgA)/Sp1_Lb)-Sup_Drop+Sp1_C/3*((($Q$192)-Sp1_BrgA)/Sp1_Lb)*(1-((($Q$192)-Sp1_BrgA)/Sp1_Lb))+(Bm1_Raise)/12)+Bm_D))*$Q$121</f>
        <v>4.8102819722834056</v>
      </c>
    </row>
    <row r="193" spans="16:19" x14ac:dyDescent="0.45">
      <c r="Q193" s="47">
        <f>Sp1_Bm0+29/40*(Sp1_Bm1-Sp1_Bm0)</f>
        <v>1671.026875</v>
      </c>
      <c r="R193" s="47">
        <f>(((Sp1_ZA+(Sp1_ZB-Sp1_ZA)*((($Q$193)-Sp1_BrgA)/Sp1_Lb)-Sup_Drop+Sp1_C/3*((($Q$193)-Sp1_BrgA)/Sp1_Lb)*(1-((($Q$193)-Sp1_BrgA)/Sp1_Lb))+(Bm1_Raise)/12)+Bm_D)-((Sp1_ZA+(Sp1_ZB-Sp1_ZA)*(($Q$193)-Sp1_BrgA)/Sp1_Lb)-Sup_Drop+Bm_D+Bm1_Raise/12))*$Q$121</f>
        <v>0.32879999650305081</v>
      </c>
      <c r="S193" s="47">
        <f>((IF(Prof_Mode="parabolic",Prof_Z0+Prof_G1*(($Q$193)-Prof_Sta0)+Prof_Kq*(($Q$193)-Prof_Sta0)^2,IF(($Q$193)&lt;=Prof_PISta,Prof_Z0+Prof_G1*(($Q$193)-Prof_Sta0),Prof_PIZ+Prof_G2*(($Q$193)-Prof_PISta)))+Bm1_dCL-Deck_T)-((Sp1_ZA+(Sp1_ZB-Sp1_ZA)*((($Q$193)-Sp1_BrgA)/Sp1_Lb)-Sup_Drop+Sp1_C/3*((($Q$193)-Sp1_BrgA)/Sp1_Lb)*(1-((($Q$193)-Sp1_BrgA)/Sp1_Lb))+(Bm1_Raise)/12)+Bm_D))*$Q$121</f>
        <v>4.8284382136802151</v>
      </c>
    </row>
    <row r="194" spans="16:19" x14ac:dyDescent="0.45">
      <c r="Q194" s="47">
        <f>Sp1_Bm0+30/40*(Sp1_Bm1-Sp1_Bm0)</f>
        <v>1673.7012500000001</v>
      </c>
      <c r="R194" s="47">
        <f>(((Sp1_ZA+(Sp1_ZB-Sp1_ZA)*((($Q$194)-Sp1_BrgA)/Sp1_Lb)-Sup_Drop+Sp1_C/3*((($Q$194)-Sp1_BrgA)/Sp1_Lb)*(1-((($Q$194)-Sp1_BrgA)/Sp1_Lb))+(Bm1_Raise)/12)+Bm_D)-((Sp1_ZA+(Sp1_ZB-Sp1_ZA)*(($Q$194)-Sp1_BrgA)/Sp1_Lb)-Sup_Drop+Bm_D+Bm1_Raise/12))*$Q$121</f>
        <v>0.3085077267064662</v>
      </c>
      <c r="S194" s="47">
        <f>((IF(Prof_Mode="parabolic",Prof_Z0+Prof_G1*(($Q$194)-Prof_Sta0)+Prof_Kq*(($Q$194)-Prof_Sta0)^2,IF(($Q$194)&lt;=Prof_PISta,Prof_Z0+Prof_G1*(($Q$194)-Prof_Sta0),Prof_PIZ+Prof_G2*(($Q$194)-Prof_PISta)))+Bm1_dCL-Deck_T)-((Sp1_ZA+(Sp1_ZB-Sp1_ZA)*((($Q$194)-Sp1_BrgA)/Sp1_Lb)-Sup_Drop+Sp1_C/3*((($Q$194)-Sp1_BrgA)/Sp1_Lb)*(1-((($Q$194)-Sp1_BrgA)/Sp1_Lb))+(Bm1_Raise)/12)+Bm_D))*$Q$121</f>
        <v>4.8487304834765155</v>
      </c>
    </row>
    <row r="195" spans="16:19" x14ac:dyDescent="0.45">
      <c r="Q195" s="47">
        <f>Sp1_Bm0+31/40*(Sp1_Bm1-Sp1_Bm0)</f>
        <v>1676.3756249999999</v>
      </c>
      <c r="R195" s="47">
        <f>(((Sp1_ZA+(Sp1_ZB-Sp1_ZA)*((($Q$195)-Sp1_BrgA)/Sp1_Lb)-Sup_Drop+Sp1_C/3*((($Q$195)-Sp1_BrgA)/Sp1_Lb)*(1-((($Q$195)-Sp1_BrgA)/Sp1_Lb))+(Bm1_Raise)/12)+Bm_D)-((Sp1_ZA+(Sp1_ZB-Sp1_ZA)*(($Q$195)-Sp1_BrgA)/Sp1_Lb)-Sup_Drop+Bm_D+Bm1_Raise/12))*$Q$121</f>
        <v>0.28607942851010648</v>
      </c>
      <c r="S195" s="47">
        <f>((IF(Prof_Mode="parabolic",Prof_Z0+Prof_G1*(($Q$195)-Prof_Sta0)+Prof_Kq*(($Q$195)-Prof_Sta0)^2,IF(($Q$195)&lt;=Prof_PISta,Prof_Z0+Prof_G1*(($Q$195)-Prof_Sta0),Prof_PIZ+Prof_G2*(($Q$195)-Prof_PISta)))+Bm1_dCL-Deck_T)-((Sp1_ZA+(Sp1_ZB-Sp1_ZA)*((($Q$195)-Sp1_BrgA)/Sp1_Lb)-Sup_Drop+Sp1_C/3*((($Q$195)-Sp1_BrgA)/Sp1_Lb)*(1-((($Q$195)-Sp1_BrgA)/Sp1_Lb))+(Bm1_Raise)/12)+Bm_D))*$Q$121</f>
        <v>4.8711587816731594</v>
      </c>
    </row>
    <row r="196" spans="16:19" x14ac:dyDescent="0.45">
      <c r="Q196" s="47">
        <f>Sp1_Bm0+32/40*(Sp1_Bm1-Sp1_Bm0)</f>
        <v>1679.05</v>
      </c>
      <c r="R196" s="47">
        <f>(((Sp1_ZA+(Sp1_ZB-Sp1_ZA)*((($Q$196)-Sp1_BrgA)/Sp1_Lb)-Sup_Drop+Sp1_C/3*((($Q$196)-Sp1_BrgA)/Sp1_Lb)*(1-((($Q$196)-Sp1_BrgA)/Sp1_Lb))+(Bm1_Raise)/12)+Bm_D)-((Sp1_ZA+(Sp1_ZB-Sp1_ZA)*(($Q$196)-Sp1_BrgA)/Sp1_Lb)-Sup_Drop+Bm_D+Bm1_Raise/12))*$Q$121</f>
        <v>0.26151510191425587</v>
      </c>
      <c r="S196" s="47">
        <f>((IF(Prof_Mode="parabolic",Prof_Z0+Prof_G1*(($Q$196)-Prof_Sta0)+Prof_Kq*(($Q$196)-Prof_Sta0)^2,IF(($Q$196)&lt;=Prof_PISta,Prof_Z0+Prof_G1*(($Q$196)-Prof_Sta0),Prof_PIZ+Prof_G2*(($Q$196)-Prof_PISta)))+Bm1_dCL-Deck_T)-((Sp1_ZA+(Sp1_ZB-Sp1_ZA)*((($Q$196)-Sp1_BrgA)/Sp1_Lb)-Sup_Drop+Sp1_C/3*((($Q$196)-Sp1_BrgA)/Sp1_Lb)*(1-((($Q$196)-Sp1_BrgA)/Sp1_Lb))+(Bm1_Raise)/12)+Bm_D))*$Q$121</f>
        <v>4.89572310826901</v>
      </c>
    </row>
    <row r="197" spans="16:19" x14ac:dyDescent="0.45">
      <c r="Q197" s="47">
        <f>Sp1_Bm0+33/40*(Sp1_Bm1-Sp1_Bm0)</f>
        <v>1681.724375</v>
      </c>
      <c r="R197" s="47">
        <f>(((Sp1_ZA+(Sp1_ZB-Sp1_ZA)*((($Q$197)-Sp1_BrgA)/Sp1_Lb)-Sup_Drop+Sp1_C/3*((($Q$197)-Sp1_BrgA)/Sp1_Lb)*(1-((($Q$197)-Sp1_BrgA)/Sp1_Lb))+(Bm1_Raise)/12)+Bm_D)-((Sp1_ZA+(Sp1_ZB-Sp1_ZA)*(($Q$197)-Sp1_BrgA)/Sp1_Lb)-Sup_Drop+Bm_D+Bm1_Raise/12))*$Q$121</f>
        <v>0.23481474691863014</v>
      </c>
      <c r="S197" s="47">
        <f>((IF(Prof_Mode="parabolic",Prof_Z0+Prof_G1*(($Q$197)-Prof_Sta0)+Prof_Kq*(($Q$197)-Prof_Sta0)^2,IF(($Q$197)&lt;=Prof_PISta,Prof_Z0+Prof_G1*(($Q$197)-Prof_Sta0),Prof_PIZ+Prof_G2*(($Q$197)-Prof_PISta)))+Bm1_dCL-Deck_T)-((Sp1_ZA+(Sp1_ZB-Sp1_ZA)*((($Q$197)-Sp1_BrgA)/Sp1_Lb)-Sup_Drop+Sp1_C/3*((($Q$197)-Sp1_BrgA)/Sp1_Lb)*(1-((($Q$197)-Sp1_BrgA)/Sp1_Lb))+(Bm1_Raise)/12)+Bm_D))*$Q$121</f>
        <v>4.9224234632643515</v>
      </c>
    </row>
    <row r="198" spans="16:19" x14ac:dyDescent="0.45">
      <c r="Q198" s="47">
        <f>Sp1_Bm0+34/40*(Sp1_Bm1-Sp1_Bm0)</f>
        <v>1684.3987499999998</v>
      </c>
      <c r="R198" s="47">
        <f>(((Sp1_ZA+(Sp1_ZB-Sp1_ZA)*((($Q$198)-Sp1_BrgA)/Sp1_Lb)-Sup_Drop+Sp1_C/3*((($Q$198)-Sp1_BrgA)/Sp1_Lb)*(1-((($Q$198)-Sp1_BrgA)/Sp1_Lb))+(Bm1_Raise)/12)+Bm_D)-((Sp1_ZA+(Sp1_ZB-Sp1_ZA)*(($Q$198)-Sp1_BrgA)/Sp1_Lb)-Sup_Drop+Bm_D+Bm1_Raise/12))*$Q$121</f>
        <v>0.20597836352351351</v>
      </c>
      <c r="S198" s="47">
        <f>((IF(Prof_Mode="parabolic",Prof_Z0+Prof_G1*(($Q$198)-Prof_Sta0)+Prof_Kq*(($Q$198)-Prof_Sta0)^2,IF(($Q$198)&lt;=Prof_PISta,Prof_Z0+Prof_G1*(($Q$198)-Prof_Sta0),Prof_PIZ+Prof_G2*(($Q$198)-Prof_PISta)))+Bm1_dCL-Deck_T)-((Sp1_ZA+(Sp1_ZB-Sp1_ZA)*((($Q$198)-Sp1_BrgA)/Sp1_Lb)-Sup_Drop+Sp1_C/3*((($Q$198)-Sp1_BrgA)/Sp1_Lb)*(1-((($Q$198)-Sp1_BrgA)/Sp1_Lb))+(Bm1_Raise)/12)+Bm_D))*$Q$121</f>
        <v>4.9512598466594682</v>
      </c>
    </row>
    <row r="199" spans="16:19" x14ac:dyDescent="0.45">
      <c r="Q199" s="47">
        <f>Sp1_Bm0+35/40*(Sp1_Bm1-Sp1_Bm0)</f>
        <v>1687.0731249999999</v>
      </c>
      <c r="R199" s="47">
        <f>(((Sp1_ZA+(Sp1_ZB-Sp1_ZA)*((($Q$199)-Sp1_BrgA)/Sp1_Lb)-Sup_Drop+Sp1_C/3*((($Q$199)-Sp1_BrgA)/Sp1_Lb)*(1-((($Q$199)-Sp1_BrgA)/Sp1_Lb))+(Bm1_Raise)/12)+Bm_D)-((Sp1_ZA+(Sp1_ZB-Sp1_ZA)*(($Q$199)-Sp1_BrgA)/Sp1_Lb)-Sup_Drop+Bm_D+Bm1_Raise/12))*$Q$121</f>
        <v>0.17500595172862177</v>
      </c>
      <c r="S199" s="47">
        <f>((IF(Prof_Mode="parabolic",Prof_Z0+Prof_G1*(($Q$199)-Prof_Sta0)+Prof_Kq*(($Q$199)-Prof_Sta0)^2,IF(($Q$199)&lt;=Prof_PISta,Prof_Z0+Prof_G1*(($Q$199)-Prof_Sta0),Prof_PIZ+Prof_G2*(($Q$199)-Prof_PISta)))+Bm1_dCL-Deck_T)-((Sp1_ZA+(Sp1_ZB-Sp1_ZA)*((($Q$199)-Sp1_BrgA)/Sp1_Lb)-Sup_Drop+Sp1_C/3*((($Q$199)-Sp1_BrgA)/Sp1_Lb)*(1-((($Q$199)-Sp1_BrgA)/Sp1_Lb))+(Bm1_Raise)/12)+Bm_D))*$Q$121</f>
        <v>4.9822322584546441</v>
      </c>
    </row>
    <row r="200" spans="16:19" x14ac:dyDescent="0.45">
      <c r="Q200" s="47">
        <f>Sp1_Bm0+36/40*(Sp1_Bm1-Sp1_Bm0)</f>
        <v>1689.7474999999999</v>
      </c>
      <c r="R200" s="47">
        <f>(((Sp1_ZA+(Sp1_ZB-Sp1_ZA)*((($Q$200)-Sp1_BrgA)/Sp1_Lb)-Sup_Drop+Sp1_C/3*((($Q$200)-Sp1_BrgA)/Sp1_Lb)*(1-((($Q$200)-Sp1_BrgA)/Sp1_Lb))+(Bm1_Raise)/12)+Bm_D)-((Sp1_ZA+(Sp1_ZB-Sp1_ZA)*(($Q$200)-Sp1_BrgA)/Sp1_Lb)-Sup_Drop+Bm_D+Bm1_Raise/12))*$Q$121</f>
        <v>0.14189751153395491</v>
      </c>
      <c r="S200" s="47">
        <f>((IF(Prof_Mode="parabolic",Prof_Z0+Prof_G1*(($Q$200)-Prof_Sta0)+Prof_Kq*(($Q$200)-Prof_Sta0)^2,IF(($Q$200)&lt;=Prof_PISta,Prof_Z0+Prof_G1*(($Q$200)-Prof_Sta0),Prof_PIZ+Prof_G2*(($Q$200)-Prof_PISta)))+Bm1_dCL-Deck_T)-((Sp1_ZA+(Sp1_ZB-Sp1_ZA)*((($Q$200)-Sp1_BrgA)/Sp1_Lb)-Sup_Drop+Sp1_C/3*((($Q$200)-Sp1_BrgA)/Sp1_Lb)*(1-((($Q$200)-Sp1_BrgA)/Sp1_Lb))+(Bm1_Raise)/12)+Bm_D))*$Q$121</f>
        <v>5.015340698649311</v>
      </c>
    </row>
    <row r="201" spans="16:19" x14ac:dyDescent="0.45">
      <c r="Q201" s="47">
        <f>Sp1_Bm0+37/40*(Sp1_Bm1-Sp1_Bm0)</f>
        <v>1692.421875</v>
      </c>
      <c r="R201" s="47">
        <f>(((Sp1_ZA+(Sp1_ZB-Sp1_ZA)*((($Q$201)-Sp1_BrgA)/Sp1_Lb)-Sup_Drop+Sp1_C/3*((($Q$201)-Sp1_BrgA)/Sp1_Lb)*(1-((($Q$201)-Sp1_BrgA)/Sp1_Lb))+(Bm1_Raise)/12)+Bm_D)-((Sp1_ZA+(Sp1_ZB-Sp1_ZA)*(($Q$201)-Sp1_BrgA)/Sp1_Lb)-Sup_Drop+Bm_D+Bm1_Raise/12))*$Q$121</f>
        <v>0.10665304293979716</v>
      </c>
      <c r="S201" s="47">
        <f>((IF(Prof_Mode="parabolic",Prof_Z0+Prof_G1*(($Q$201)-Prof_Sta0)+Prof_Kq*(($Q$201)-Prof_Sta0)^2,IF(($Q$201)&lt;=Prof_PISta,Prof_Z0+Prof_G1*(($Q$201)-Prof_Sta0),Prof_PIZ+Prof_G2*(($Q$201)-Prof_PISta)))+Bm1_dCL-Deck_T)-((Sp1_ZA+(Sp1_ZB-Sp1_ZA)*((($Q$201)-Sp1_BrgA)/Sp1_Lb)-Sup_Drop+Sp1_C/3*((($Q$201)-Sp1_BrgA)/Sp1_Lb)*(1-((($Q$201)-Sp1_BrgA)/Sp1_Lb))+(Bm1_Raise)/12)+Bm_D))*$Q$121</f>
        <v>5.0505851672434687</v>
      </c>
    </row>
    <row r="202" spans="16:19" x14ac:dyDescent="0.45">
      <c r="Q202" s="47">
        <f>Sp1_Bm0+38/40*(Sp1_Bm1-Sp1_Bm0)</f>
        <v>1695.0962500000001</v>
      </c>
      <c r="R202" s="47">
        <f>(((Sp1_ZA+(Sp1_ZB-Sp1_ZA)*((($Q$202)-Sp1_BrgA)/Sp1_Lb)-Sup_Drop+Sp1_C/3*((($Q$202)-Sp1_BrgA)/Sp1_Lb)*(1-((($Q$202)-Sp1_BrgA)/Sp1_Lb))+(Bm1_Raise)/12)+Bm_D)-((Sp1_ZA+(Sp1_ZB-Sp1_ZA)*(($Q$202)-Sp1_BrgA)/Sp1_Lb)-Sup_Drop+Bm_D+Bm1_Raise/12))*$Q$121</f>
        <v>6.9272545946148512E-2</v>
      </c>
      <c r="S202" s="47">
        <f>((IF(Prof_Mode="parabolic",Prof_Z0+Prof_G1*(($Q$202)-Prof_Sta0)+Prof_Kq*(($Q$202)-Prof_Sta0)^2,IF(($Q$202)&lt;=Prof_PISta,Prof_Z0+Prof_G1*(($Q$202)-Prof_Sta0),Prof_PIZ+Prof_G2*(($Q$202)-Prof_PISta)))+Bm1_dCL-Deck_T)-((Sp1_ZA+(Sp1_ZB-Sp1_ZA)*((($Q$202)-Sp1_BrgA)/Sp1_Lb)-Sup_Drop+Sp1_C/3*((($Q$202)-Sp1_BrgA)/Sp1_Lb)*(1-((($Q$202)-Sp1_BrgA)/Sp1_Lb))+(Bm1_Raise)/12)+Bm_D))*$Q$121</f>
        <v>5.0879656642371174</v>
      </c>
    </row>
    <row r="203" spans="16:19" x14ac:dyDescent="0.45">
      <c r="Q203" s="47">
        <f>Sp1_Bm0+39/40*(Sp1_Bm1-Sp1_Bm0)</f>
        <v>1697.7706249999999</v>
      </c>
      <c r="R203" s="47">
        <f>(((Sp1_ZA+(Sp1_ZB-Sp1_ZA)*((($Q$203)-Sp1_BrgA)/Sp1_Lb)-Sup_Drop+Sp1_C/3*((($Q$203)-Sp1_BrgA)/Sp1_Lb)*(1-((($Q$203)-Sp1_BrgA)/Sp1_Lb))+(Bm1_Raise)/12)+Bm_D)-((Sp1_ZA+(Sp1_ZB-Sp1_ZA)*(($Q$203)-Sp1_BrgA)/Sp1_Lb)-Sup_Drop+Bm_D+Bm1_Raise/12))*$Q$121</f>
        <v>2.9756020552724749E-2</v>
      </c>
      <c r="S203" s="47">
        <f>((IF(Prof_Mode="parabolic",Prof_Z0+Prof_G1*(($Q$203)-Prof_Sta0)+Prof_Kq*(($Q$203)-Prof_Sta0)^2,IF(($Q$203)&lt;=Prof_PISta,Prof_Z0+Prof_G1*(($Q$203)-Prof_Sta0),Prof_PIZ+Prof_G2*(($Q$203)-Prof_PISta)))+Bm1_dCL-Deck_T)-((Sp1_ZA+(Sp1_ZB-Sp1_ZA)*((($Q$203)-Sp1_BrgA)/Sp1_Lb)-Sup_Drop+Sp1_C/3*((($Q$203)-Sp1_BrgA)/Sp1_Lb)*(1-((($Q$203)-Sp1_BrgA)/Sp1_Lb))+(Bm1_Raise)/12)+Bm_D))*$Q$121</f>
        <v>5.1274821896305411</v>
      </c>
    </row>
    <row r="204" spans="16:19" x14ac:dyDescent="0.45">
      <c r="Q204" s="47">
        <f>Sp1_Bm0+40/40*(Sp1_Bm1-Sp1_Bm0)</f>
        <v>1700.4449999999999</v>
      </c>
      <c r="R204" s="47">
        <f>(((Sp1_ZA+(Sp1_ZB-Sp1_ZA)*((($Q$204)-Sp1_BrgA)/Sp1_Lb)-Sup_Drop+Sp1_C/3*((($Q$204)-Sp1_BrgA)/Sp1_Lb)*(1-((($Q$204)-Sp1_BrgA)/Sp1_Lb))+(Bm1_Raise)/12)+Bm_D)-((Sp1_ZA+(Sp1_ZB-Sp1_ZA)*(($Q$204)-Sp1_BrgA)/Sp1_Lb)-Sup_Drop+Bm_D+Bm1_Raise/12))*$Q$121</f>
        <v>-1.1896533240474128E-2</v>
      </c>
      <c r="S204" s="47">
        <f>((IF(Prof_Mode="parabolic",Prof_Z0+Prof_G1*(($Q$204)-Prof_Sta0)+Prof_Kq*(($Q$204)-Prof_Sta0)^2,IF(($Q$204)&lt;=Prof_PISta,Prof_Z0+Prof_G1*(($Q$204)-Prof_Sta0),Prof_PIZ+Prof_G2*(($Q$204)-Prof_PISta)))+Bm1_dCL-Deck_T)-((Sp1_ZA+(Sp1_ZB-Sp1_ZA)*((($Q$204)-Sp1_BrgA)/Sp1_Lb)-Sup_Drop+Sp1_C/3*((($Q$204)-Sp1_BrgA)/Sp1_Lb)*(1-((($Q$204)-Sp1_BrgA)/Sp1_Lb))+(Bm1_Raise)/12)+Bm_D))*$Q$121</f>
        <v>5.1691347434234558</v>
      </c>
    </row>
    <row r="206" spans="16:19" x14ac:dyDescent="0.45">
      <c r="P206" s="44" t="s">
        <v>995</v>
      </c>
      <c r="Q206" s="47">
        <f>Sp1_Bm0</f>
        <v>1593.47</v>
      </c>
      <c r="R206" s="47">
        <f>0</f>
        <v>0</v>
      </c>
    </row>
    <row r="207" spans="16:19" x14ac:dyDescent="0.45">
      <c r="Q207" s="47">
        <f>Sp1_Bm1</f>
        <v>1700.4449999999999</v>
      </c>
      <c r="R207" s="47">
        <f>0</f>
        <v>0</v>
      </c>
    </row>
    <row r="209" spans="16:18" x14ac:dyDescent="0.45">
      <c r="P209" s="44" t="s">
        <v>996</v>
      </c>
      <c r="Q209" s="47">
        <f>$Q$132</f>
        <v>1620.2137499999999</v>
      </c>
      <c r="R209" s="47">
        <f>$R$132</f>
        <v>5.1572382101832659</v>
      </c>
    </row>
    <row r="211" spans="16:18" x14ac:dyDescent="0.45">
      <c r="P211" s="44" t="str">
        <f>"cambered beam top, C = "&amp;TEXT(Sp1_C,"0.000")&amp;" in"</f>
        <v>cambered beam top, C = 0.125 in</v>
      </c>
      <c r="Q211" s="47">
        <f>$Q$179</f>
        <v>1633.5856249999999</v>
      </c>
      <c r="R211" s="47">
        <f>$R$179</f>
        <v>0.38860879169305917</v>
      </c>
    </row>
    <row r="213" spans="16:18" x14ac:dyDescent="0.45">
      <c r="P213" s="44" t="s">
        <v>997</v>
      </c>
      <c r="Q213" s="47">
        <f>Sp1_Bm0+0.75*(Sp1_Bm1-Sp1_Bm0)</f>
        <v>1673.7012500000001</v>
      </c>
      <c r="R213" s="47">
        <f>0</f>
        <v>0</v>
      </c>
    </row>
    <row r="215" spans="16:18" x14ac:dyDescent="0.45">
      <c r="P215" s="44" t="s">
        <v>998</v>
      </c>
      <c r="Q215" s="47">
        <f>Sp1_BrgA</f>
        <v>1594.22</v>
      </c>
      <c r="R215" s="47">
        <f>(((Sp1_ZA+(Sp1_ZB-Sp1_ZA)*(((Sp1_BrgA)-Sp1_BrgA)/Sp1_Lb)-Sup_Drop+Sp1_C/3*(((Sp1_BrgA)-Sp1_BrgA)/Sp1_Lb)*(1-(((Sp1_BrgA)-Sp1_BrgA)/Sp1_Lb))+(Bm1_Raise)/12)+Bm_D)-((Sp1_ZA+(Sp1_ZB-Sp1_ZA)*((Sp1_BrgA)-Sp1_BrgA)/Sp1_Lb)-Sup_Drop+Bm_D+Bm1_Raise/12))*$Q$121</f>
        <v>0</v>
      </c>
    </row>
    <row r="216" spans="16:18" x14ac:dyDescent="0.45">
      <c r="Q216" s="47">
        <f>Sp1_BrgA</f>
        <v>1594.22</v>
      </c>
      <c r="R216" s="47">
        <f>((IF(Prof_Mode="parabolic",Prof_Z0+Prof_G1*((Sp1_BrgA)-Prof_Sta0)+Prof_Kq*((Sp1_BrgA)-Prof_Sta0)^2,IF((Sp1_BrgA)&lt;=Prof_PISta,Prof_Z0+Prof_G1*((Sp1_BrgA)-Prof_Sta0),Prof_PIZ+Prof_G2*((Sp1_BrgA)-Prof_PISta)))+Bm1_dCL-Deck_T)-((Sp1_ZA+(Sp1_ZB-Sp1_ZA)*((Sp1_BrgA)-Sp1_BrgA)/Sp1_Lb)-Sup_Drop+Bm_D+Bm1_Raise/12))*$Q$121</f>
        <v>5.1572382101832659</v>
      </c>
    </row>
    <row r="218" spans="16:18" x14ac:dyDescent="0.45">
      <c r="P218" s="44" t="str">
        <f>"Dim B"&amp;CHAR(10)&amp;TEXT('Camber &amp; Haunch'!C38,"0.000")&amp;" in"</f>
        <v>Dim B
1.547 in</v>
      </c>
      <c r="Q218" s="47">
        <f>Sp1_BrgA</f>
        <v>1594.22</v>
      </c>
      <c r="R218" s="47">
        <f>((IF(Prof_Mode="parabolic",Prof_Z0+Prof_G1*((Sp1_BrgA)-Prof_Sta0)+Prof_Kq*((Sp1_BrgA)-Prof_Sta0)^2,IF((Sp1_BrgA)&lt;=Prof_PISta,Prof_Z0+Prof_G1*((Sp1_BrgA)-Prof_Sta0),Prof_PIZ+Prof_G2*((Sp1_BrgA)-Prof_PISta)))+Bm1_dCL-Deck_T)-((Sp1_ZA+(Sp1_ZB-Sp1_ZA)*((Sp1_BrgA)-Sp1_BrgA)/Sp1_Lb)-Sup_Drop+Bm_D+Bm1_Raise/12))*$Q$121</f>
        <v>5.1572382101832659</v>
      </c>
    </row>
    <row r="220" spans="16:18" x14ac:dyDescent="0.45">
      <c r="P220" s="44" t="s">
        <v>999</v>
      </c>
      <c r="Q220" s="47">
        <f>Sp1_Mid</f>
        <v>1646.9575</v>
      </c>
      <c r="R220" s="47">
        <f>(((Sp1_ZA+(Sp1_ZB-Sp1_ZA)*(((Sp1_Mid)-Sp1_BrgA)/Sp1_Lb)-Sup_Drop+Sp1_C/3*(((Sp1_Mid)-Sp1_BrgA)/Sp1_Lb)*(1-(((Sp1_Mid)-Sp1_BrgA)/Sp1_Lb))+(Bm1_Raise)/12)+Bm_D)-((Sp1_ZA+(Sp1_ZB-Sp1_ZA)*((Sp1_Mid)-Sp1_BrgA)/Sp1_Lb)-Sup_Drop+Bm_D+Bm1_Raise/12))*$Q$121</f>
        <v>0.4153091466886849</v>
      </c>
    </row>
    <row r="221" spans="16:18" x14ac:dyDescent="0.45">
      <c r="Q221" s="47">
        <f>Sp1_Mid</f>
        <v>1646.9575</v>
      </c>
      <c r="R221" s="47">
        <f>((IF(Prof_Mode="parabolic",Prof_Z0+Prof_G1*((Sp1_Mid)-Prof_Sta0)+Prof_Kq*((Sp1_Mid)-Prof_Sta0)^2,IF((Sp1_Mid)&lt;=Prof_PISta,Prof_Z0+Prof_G1*((Sp1_Mid)-Prof_Sta0),Prof_PIZ+Prof_G2*((Sp1_Mid)-Prof_PISta)))+Bm1_dCL-Deck_T)-((Sp1_ZA+(Sp1_ZB-Sp1_ZA)*((Sp1_Mid)-Sp1_BrgA)/Sp1_Lb)-Sup_Drop+Bm_D+Bm1_Raise/12))*$Q$121</f>
        <v>5.1572382101829817</v>
      </c>
    </row>
    <row r="223" spans="16:18" x14ac:dyDescent="0.45">
      <c r="P223" s="44" t="str">
        <f>"Dim C"&amp;CHAR(10)&amp;TEXT('Camber &amp; Haunch'!D38,"0.000")&amp;" in"</f>
        <v>Dim C
1.423 in</v>
      </c>
      <c r="Q223" s="47">
        <f>Sp1_Mid</f>
        <v>1646.9575</v>
      </c>
      <c r="R223" s="47">
        <f>((IF(Prof_Mode="parabolic",Prof_Z0+Prof_G1*((Sp1_Mid)-Prof_Sta0)+Prof_Kq*((Sp1_Mid)-Prof_Sta0)^2,IF((Sp1_Mid)&lt;=Prof_PISta,Prof_Z0+Prof_G1*((Sp1_Mid)-Prof_Sta0),Prof_PIZ+Prof_G2*((Sp1_Mid)-Prof_PISta)))+Bm1_dCL-Deck_T)-((Sp1_ZA+(Sp1_ZB-Sp1_ZA)*((Sp1_Mid)-Sp1_BrgA)/Sp1_Lb)-Sup_Drop+Bm_D+Bm1_Raise/12))*$Q$121</f>
        <v>5.1572382101829817</v>
      </c>
    </row>
    <row r="225" spans="16:18" x14ac:dyDescent="0.45">
      <c r="P225" s="44" t="s">
        <v>1000</v>
      </c>
      <c r="Q225" s="47">
        <f>Sp1_BrgB</f>
        <v>1699.6949999999999</v>
      </c>
      <c r="R225" s="47">
        <f>(((Sp1_ZA+(Sp1_ZB-Sp1_ZA)*(((Sp1_BrgB)-Sp1_BrgA)/Sp1_Lb)-Sup_Drop+Sp1_C/3*(((Sp1_BrgB)-Sp1_BrgA)/Sp1_Lb)*(1-(((Sp1_BrgB)-Sp1_BrgA)/Sp1_Lb))+(Bm1_Raise)/12)+Bm_D)-((Sp1_ZA+(Sp1_ZB-Sp1_ZA)*((Sp1_BrgB)-Sp1_BrgA)/Sp1_Lb)-Sup_Drop+Bm_D+Bm1_Raise/12))*$Q$121</f>
        <v>0</v>
      </c>
    </row>
    <row r="226" spans="16:18" x14ac:dyDescent="0.45">
      <c r="Q226" s="47">
        <f>Sp1_BrgB</f>
        <v>1699.6949999999999</v>
      </c>
      <c r="R226" s="47">
        <f>((IF(Prof_Mode="parabolic",Prof_Z0+Prof_G1*((Sp1_BrgB)-Prof_Sta0)+Prof_Kq*((Sp1_BrgB)-Prof_Sta0)^2,IF((Sp1_BrgB)&lt;=Prof_PISta,Prof_Z0+Prof_G1*((Sp1_BrgB)-Prof_Sta0),Prof_PIZ+Prof_G2*((Sp1_BrgB)-Prof_PISta)))+Bm1_dCL-Deck_T)-((Sp1_ZA+(Sp1_ZB-Sp1_ZA)*((Sp1_BrgB)-Sp1_BrgA)/Sp1_Lb)-Sup_Drop+Bm_D+Bm1_Raise/12))*$Q$121</f>
        <v>5.1572382101832659</v>
      </c>
    </row>
    <row r="228" spans="16:18" x14ac:dyDescent="0.45">
      <c r="P228" s="44" t="str">
        <f>"Dim D"&amp;CHAR(10)&amp;TEXT('Camber &amp; Haunch'!E38,"0.000")&amp;" in"</f>
        <v>Dim D
1.547 in</v>
      </c>
      <c r="Q228" s="47">
        <f>Sp1_BrgB</f>
        <v>1699.6949999999999</v>
      </c>
      <c r="R228" s="47">
        <f>((IF(Prof_Mode="parabolic",Prof_Z0+Prof_G1*((Sp1_BrgB)-Prof_Sta0)+Prof_Kq*((Sp1_BrgB)-Prof_Sta0)^2,IF((Sp1_BrgB)&lt;=Prof_PISta,Prof_Z0+Prof_G1*((Sp1_BrgB)-Prof_Sta0),Prof_PIZ+Prof_G2*((Sp1_BrgB)-Prof_PISta)))+Bm1_dCL-Deck_T)-((Sp1_ZA+(Sp1_ZB-Sp1_ZA)*((Sp1_BrgB)-Sp1_BrgA)/Sp1_Lb)-Sup_Drop+Bm_D+Bm1_Raise/12))*$Q$121</f>
        <v>5.1572382101832659</v>
      </c>
    </row>
    <row r="230" spans="16:18" x14ac:dyDescent="0.45">
      <c r="P230" s="44" t="s">
        <v>802</v>
      </c>
      <c r="Q230" s="47">
        <f>Sp1_Bm0-2</f>
        <v>1591.47</v>
      </c>
      <c r="R230" s="47">
        <f>-1.5</f>
        <v>-1.5</v>
      </c>
    </row>
    <row r="231" spans="16:18" x14ac:dyDescent="0.45">
      <c r="Q231" s="47">
        <f>Sp1_Bm1+2</f>
        <v>1702.4449999999999</v>
      </c>
      <c r="R231" s="47">
        <f>MAX(R122:R162)+2.5</f>
        <v>7.6572382101832659</v>
      </c>
    </row>
  </sheetData>
  <mergeCells count="33">
    <mergeCell ref="B76"/>
    <mergeCell ref="B72:M72"/>
    <mergeCell ref="B29:M29"/>
    <mergeCell ref="K77:M77"/>
    <mergeCell ref="C73:G73"/>
    <mergeCell ref="B75"/>
    <mergeCell ref="H75:J75"/>
    <mergeCell ref="C75:G75"/>
    <mergeCell ref="K73:M73"/>
    <mergeCell ref="B68:M68"/>
    <mergeCell ref="B65:M65"/>
    <mergeCell ref="H77:J77"/>
    <mergeCell ref="H73:J73"/>
    <mergeCell ref="C77:G77"/>
    <mergeCell ref="B74"/>
    <mergeCell ref="K75:M75"/>
    <mergeCell ref="C74:G74"/>
    <mergeCell ref="B3:M3"/>
    <mergeCell ref="B73"/>
    <mergeCell ref="B78"/>
    <mergeCell ref="B18:M18"/>
    <mergeCell ref="H74:J74"/>
    <mergeCell ref="C78:G78"/>
    <mergeCell ref="K76:M76"/>
    <mergeCell ref="B6:M6"/>
    <mergeCell ref="H76:J76"/>
    <mergeCell ref="B77"/>
    <mergeCell ref="K78:M78"/>
    <mergeCell ref="C76:G76"/>
    <mergeCell ref="K74:M74"/>
    <mergeCell ref="H78:J78"/>
    <mergeCell ref="B47:M47"/>
    <mergeCell ref="B25:M25"/>
  </mergeCells>
  <conditionalFormatting sqref="B3:M3">
    <cfRule type="expression" dxfId="59" priority="1">
      <formula>Inputs_Edited=0</formula>
    </cfRule>
    <cfRule type="expression" dxfId="58" priority="2">
      <formula>Inputs_Edited&gt;0</formula>
    </cfRule>
  </conditionalFormatting>
  <pageMargins left="0.75" right="0.75" top="1" bottom="1" header="0.5" footer="0.5"/>
  <pageSetup fitToHeight="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2A36"/>
  </sheetPr>
  <dimension ref="A1:Q30"/>
  <sheetViews>
    <sheetView showGridLines="0" workbookViewId="0">
      <pane xSplit="2" ySplit="6" topLeftCell="C7" activePane="bottomRight" state="frozen"/>
      <selection pane="topRight"/>
      <selection pane="bottomLeft"/>
      <selection pane="bottomRight"/>
    </sheetView>
  </sheetViews>
  <sheetFormatPr defaultRowHeight="14.25" x14ac:dyDescent="0.45"/>
  <cols>
    <col min="1" max="1" width="3" customWidth="1"/>
    <col min="2" max="2" width="30" customWidth="1"/>
    <col min="3" max="4" width="12" customWidth="1"/>
    <col min="5" max="17" width="11.46484375" customWidth="1"/>
  </cols>
  <sheetData>
    <row r="1" spans="1:17" ht="17.649999999999999" x14ac:dyDescent="0.5">
      <c r="A1" s="15" t="s">
        <v>1002</v>
      </c>
      <c r="N1" s="37" t="s">
        <v>107</v>
      </c>
      <c r="O1" s="2" t="str">
        <f>""&amp;TB_Project</f>
        <v>D2 I-95 Pedestrian Bridge</v>
      </c>
    </row>
    <row r="2" spans="1:17" x14ac:dyDescent="0.45">
      <c r="A2" s="8" t="s">
        <v>1003</v>
      </c>
      <c r="N2" s="37" t="s">
        <v>115</v>
      </c>
      <c r="O2" s="2" t="str">
        <f>""&amp;TB_JobNo</f>
        <v/>
      </c>
    </row>
    <row r="3" spans="1:17" x14ac:dyDescent="0.45">
      <c r="N3" s="37" t="s">
        <v>722</v>
      </c>
      <c r="O3" s="2" t="str">
        <f>TB_CalcBy&amp;"  "&amp;TB_CalcDate</f>
        <v xml:space="preserve">  </v>
      </c>
    </row>
    <row r="4" spans="1:17" x14ac:dyDescent="0.45">
      <c r="N4" s="37" t="s">
        <v>723</v>
      </c>
      <c r="O4" s="2" t="str">
        <f>TB_CheckBy&amp;"  "&amp;TB_CheckDate</f>
        <v xml:space="preserve">  </v>
      </c>
    </row>
    <row r="6" spans="1:17" x14ac:dyDescent="0.45">
      <c r="A6" s="17" t="s">
        <v>468</v>
      </c>
      <c r="B6" s="18"/>
      <c r="C6" s="18"/>
      <c r="D6" s="18"/>
      <c r="E6" s="18"/>
      <c r="F6" s="18"/>
      <c r="G6" s="18"/>
      <c r="H6" s="18"/>
      <c r="I6" s="18"/>
      <c r="J6" s="18"/>
      <c r="K6" s="18"/>
      <c r="L6" s="18"/>
      <c r="M6" s="18"/>
      <c r="N6" s="18"/>
      <c r="O6" s="18"/>
      <c r="P6" s="18"/>
      <c r="Q6" s="18"/>
    </row>
    <row r="7" spans="1:17" ht="30" customHeight="1" x14ac:dyDescent="0.45">
      <c r="B7" s="19" t="s">
        <v>940</v>
      </c>
      <c r="C7" s="19" t="s">
        <v>766</v>
      </c>
      <c r="D7" s="19" t="s">
        <v>1004</v>
      </c>
      <c r="E7" s="19" t="s">
        <v>1005</v>
      </c>
      <c r="F7" s="19" t="s">
        <v>1006</v>
      </c>
      <c r="G7" s="19" t="s">
        <v>1007</v>
      </c>
      <c r="H7" s="19" t="s">
        <v>1008</v>
      </c>
      <c r="I7" s="19" t="s">
        <v>1009</v>
      </c>
      <c r="J7" s="19" t="s">
        <v>1010</v>
      </c>
      <c r="K7" s="19" t="s">
        <v>1011</v>
      </c>
      <c r="L7" s="19" t="s">
        <v>1012</v>
      </c>
      <c r="M7" s="19" t="s">
        <v>1013</v>
      </c>
      <c r="N7" s="19" t="s">
        <v>1014</v>
      </c>
      <c r="O7" s="19" t="s">
        <v>1015</v>
      </c>
      <c r="P7" s="19" t="s">
        <v>1006</v>
      </c>
      <c r="Q7" s="19" t="s">
        <v>1016</v>
      </c>
    </row>
    <row r="8" spans="1:17" x14ac:dyDescent="0.45">
      <c r="B8" s="7" t="s">
        <v>747</v>
      </c>
      <c r="E8" s="41">
        <f>Sp1_Sta0</f>
        <v>1593.22</v>
      </c>
      <c r="F8" s="41">
        <f>Sp1_BrgA</f>
        <v>1594.22</v>
      </c>
      <c r="G8" s="41">
        <f>Sp1_BrgA+1*Sp1_Lb/Des_FGEInc</f>
        <v>1604.7674999999999</v>
      </c>
      <c r="H8" s="41">
        <f>Sp1_BrgA+2*Sp1_Lb/Des_FGEInc</f>
        <v>1615.3150000000001</v>
      </c>
      <c r="I8" s="41">
        <f>Sp1_BrgA+3*Sp1_Lb/Des_FGEInc</f>
        <v>1625.8625</v>
      </c>
      <c r="J8" s="41">
        <f>Sp1_BrgA+4*Sp1_Lb/Des_FGEInc</f>
        <v>1636.41</v>
      </c>
      <c r="K8" s="41">
        <f>Sp1_BrgA+5*Sp1_Lb/Des_FGEInc</f>
        <v>1646.9575</v>
      </c>
      <c r="L8" s="41">
        <f>Sp1_BrgA+6*Sp1_Lb/Des_FGEInc</f>
        <v>1657.5049999999999</v>
      </c>
      <c r="M8" s="41">
        <f>Sp1_BrgA+7*Sp1_Lb/Des_FGEInc</f>
        <v>1668.0525</v>
      </c>
      <c r="N8" s="41">
        <f>Sp1_BrgA+8*Sp1_Lb/Des_FGEInc</f>
        <v>1678.6</v>
      </c>
      <c r="O8" s="41">
        <f>Sp1_BrgA+9*Sp1_Lb/Des_FGEInc</f>
        <v>1689.1475</v>
      </c>
      <c r="P8" s="41">
        <f>Sp1_BrgB</f>
        <v>1699.6949999999999</v>
      </c>
      <c r="Q8" s="41">
        <f>Sp1_Sta1</f>
        <v>1700.57</v>
      </c>
    </row>
    <row r="9" spans="1:17" x14ac:dyDescent="0.45">
      <c r="B9" s="11" t="s">
        <v>749</v>
      </c>
      <c r="E9" s="60" t="str">
        <f t="shared" ref="E9:Q9" si="0">TEXT(INT(ROUND(E8*100,0)/10000),"0")&amp;"+"&amp;TEXT(MOD(ROUND(E8*100,0),10000)/100,"00.00")</f>
        <v>15+93.22</v>
      </c>
      <c r="F9" s="60" t="str">
        <f t="shared" si="0"/>
        <v>15+94.22</v>
      </c>
      <c r="G9" s="60" t="str">
        <f t="shared" si="0"/>
        <v>16+04.77</v>
      </c>
      <c r="H9" s="60" t="str">
        <f t="shared" si="0"/>
        <v>16+15.32</v>
      </c>
      <c r="I9" s="60" t="str">
        <f t="shared" si="0"/>
        <v>16+25.86</v>
      </c>
      <c r="J9" s="60" t="str">
        <f t="shared" si="0"/>
        <v>16+36.41</v>
      </c>
      <c r="K9" s="60" t="str">
        <f t="shared" si="0"/>
        <v>16+46.96</v>
      </c>
      <c r="L9" s="60" t="str">
        <f t="shared" si="0"/>
        <v>16+57.51</v>
      </c>
      <c r="M9" s="60" t="str">
        <f t="shared" si="0"/>
        <v>16+68.05</v>
      </c>
      <c r="N9" s="60" t="str">
        <f t="shared" si="0"/>
        <v>16+78.60</v>
      </c>
      <c r="O9" s="60" t="str">
        <f t="shared" si="0"/>
        <v>16+89.15</v>
      </c>
      <c r="P9" s="60" t="str">
        <f t="shared" si="0"/>
        <v>16+99.70</v>
      </c>
      <c r="Q9" s="60" t="str">
        <f t="shared" si="0"/>
        <v>17+00.57</v>
      </c>
    </row>
    <row r="10" spans="1:17" x14ac:dyDescent="0.45">
      <c r="B10" s="11" t="s">
        <v>1017</v>
      </c>
      <c r="E10" s="61" t="str">
        <f t="shared" ref="E10:Q10" si="1">IF(AND(E8&gt;=Sp1_Dk0-0.000000001,E8&lt;=Sp1_Dk1+0.000000001),"deck","PGL ext.")</f>
        <v>PGL ext.</v>
      </c>
      <c r="F10" s="61" t="str">
        <f t="shared" si="1"/>
        <v>deck</v>
      </c>
      <c r="G10" s="61" t="str">
        <f t="shared" si="1"/>
        <v>deck</v>
      </c>
      <c r="H10" s="61" t="str">
        <f t="shared" si="1"/>
        <v>deck</v>
      </c>
      <c r="I10" s="61" t="str">
        <f t="shared" si="1"/>
        <v>deck</v>
      </c>
      <c r="J10" s="61" t="str">
        <f t="shared" si="1"/>
        <v>deck</v>
      </c>
      <c r="K10" s="61" t="str">
        <f t="shared" si="1"/>
        <v>deck</v>
      </c>
      <c r="L10" s="61" t="str">
        <f t="shared" si="1"/>
        <v>deck</v>
      </c>
      <c r="M10" s="61" t="str">
        <f t="shared" si="1"/>
        <v>deck</v>
      </c>
      <c r="N10" s="61" t="str">
        <f t="shared" si="1"/>
        <v>deck</v>
      </c>
      <c r="O10" s="61" t="str">
        <f t="shared" si="1"/>
        <v>deck</v>
      </c>
      <c r="P10" s="61" t="str">
        <f t="shared" si="1"/>
        <v>deck</v>
      </c>
      <c r="Q10" s="61" t="str">
        <f t="shared" si="1"/>
        <v>deck</v>
      </c>
    </row>
    <row r="11" spans="1:17" x14ac:dyDescent="0.45">
      <c r="B11" s="7" t="s">
        <v>1018</v>
      </c>
      <c r="E11" s="41">
        <f t="shared" ref="E11:Q11" si="2">IF(Prof_Mode="parabolic",Prof_Z0+Prof_G1*((E8)-Prof_Sta0)+Prof_Kq*((E8)-Prof_Sta0)^2,IF((E8)&lt;=Prof_PISta,Prof_Z0+Prof_G1*((E8)-Prof_Sta0),Prof_PIZ+Prof_G2*((E8)-Prof_PISta)))</f>
        <v>47.661000000000001</v>
      </c>
      <c r="F11" s="41">
        <f t="shared" si="2"/>
        <v>47.665998835584539</v>
      </c>
      <c r="G11" s="41">
        <f t="shared" si="2"/>
        <v>47.718724053912439</v>
      </c>
      <c r="H11" s="41">
        <f t="shared" si="2"/>
        <v>47.771449272240339</v>
      </c>
      <c r="I11" s="41">
        <f t="shared" si="2"/>
        <v>47.82417449056824</v>
      </c>
      <c r="J11" s="41">
        <f t="shared" si="2"/>
        <v>47.876899708896133</v>
      </c>
      <c r="K11" s="41">
        <f t="shared" si="2"/>
        <v>47.929624927224033</v>
      </c>
      <c r="L11" s="41">
        <f t="shared" si="2"/>
        <v>47.982350145551933</v>
      </c>
      <c r="M11" s="41">
        <f t="shared" si="2"/>
        <v>48.035075363879834</v>
      </c>
      <c r="N11" s="41">
        <f t="shared" si="2"/>
        <v>48.087800582207734</v>
      </c>
      <c r="O11" s="41">
        <f t="shared" si="2"/>
        <v>48.140525800535634</v>
      </c>
      <c r="P11" s="41">
        <f t="shared" si="2"/>
        <v>48.193251018863535</v>
      </c>
      <c r="Q11" s="41">
        <f t="shared" si="2"/>
        <v>48.197625000000002</v>
      </c>
    </row>
    <row r="12" spans="1:17" x14ac:dyDescent="0.45">
      <c r="B12" s="11" t="s">
        <v>1019</v>
      </c>
      <c r="C12" s="40">
        <f>Deck_YL</f>
        <v>-6.7916666666666652</v>
      </c>
      <c r="D12" s="41">
        <f>IF(Deck_Mode="uniform",Deck_Uni*(C12),Deck_Crown*ABS(C12))</f>
        <v>-0.13583333333333331</v>
      </c>
      <c r="E12" s="62">
        <f t="shared" ref="E12:Q16" si="3">E$11+$D12</f>
        <v>47.525166666666671</v>
      </c>
      <c r="F12" s="62">
        <f t="shared" si="3"/>
        <v>47.530165502251208</v>
      </c>
      <c r="G12" s="62">
        <f t="shared" si="3"/>
        <v>47.582890720579108</v>
      </c>
      <c r="H12" s="62">
        <f t="shared" si="3"/>
        <v>47.635615938907009</v>
      </c>
      <c r="I12" s="62">
        <f t="shared" si="3"/>
        <v>47.688341157234909</v>
      </c>
      <c r="J12" s="62">
        <f t="shared" si="3"/>
        <v>47.741066375562802</v>
      </c>
      <c r="K12" s="62">
        <f t="shared" si="3"/>
        <v>47.793791593890703</v>
      </c>
      <c r="L12" s="62">
        <f t="shared" si="3"/>
        <v>47.846516812218603</v>
      </c>
      <c r="M12" s="62">
        <f t="shared" si="3"/>
        <v>47.899242030546503</v>
      </c>
      <c r="N12" s="62">
        <f t="shared" si="3"/>
        <v>47.951967248874404</v>
      </c>
      <c r="O12" s="62">
        <f t="shared" si="3"/>
        <v>48.004692467202304</v>
      </c>
      <c r="P12" s="62">
        <f t="shared" si="3"/>
        <v>48.057417685530204</v>
      </c>
      <c r="Q12" s="62">
        <f t="shared" si="3"/>
        <v>48.061791666666672</v>
      </c>
    </row>
    <row r="13" spans="1:17" x14ac:dyDescent="0.45">
      <c r="B13" s="11" t="s">
        <v>1020</v>
      </c>
      <c r="C13" s="40">
        <f>Bm1_Off</f>
        <v>-4.291666666666667</v>
      </c>
      <c r="D13" s="41">
        <f>IF(Deck_Mode="uniform",Deck_Uni*(C13),Deck_Crown*ABS(C13))</f>
        <v>-8.5833333333333345E-2</v>
      </c>
      <c r="E13" s="62">
        <f t="shared" si="3"/>
        <v>47.575166666666668</v>
      </c>
      <c r="F13" s="62">
        <f t="shared" si="3"/>
        <v>47.580165502251205</v>
      </c>
      <c r="G13" s="62">
        <f t="shared" si="3"/>
        <v>47.632890720579105</v>
      </c>
      <c r="H13" s="62">
        <f t="shared" si="3"/>
        <v>47.685615938907006</v>
      </c>
      <c r="I13" s="62">
        <f t="shared" si="3"/>
        <v>47.738341157234906</v>
      </c>
      <c r="J13" s="62">
        <f t="shared" si="3"/>
        <v>47.791066375562799</v>
      </c>
      <c r="K13" s="62">
        <f t="shared" si="3"/>
        <v>47.8437915938907</v>
      </c>
      <c r="L13" s="62">
        <f t="shared" si="3"/>
        <v>47.8965168122186</v>
      </c>
      <c r="M13" s="62">
        <f t="shared" si="3"/>
        <v>47.9492420305465</v>
      </c>
      <c r="N13" s="62">
        <f t="shared" si="3"/>
        <v>48.001967248874401</v>
      </c>
      <c r="O13" s="62">
        <f t="shared" si="3"/>
        <v>48.054692467202301</v>
      </c>
      <c r="P13" s="62">
        <f t="shared" si="3"/>
        <v>48.107417685530201</v>
      </c>
      <c r="Q13" s="62">
        <f t="shared" si="3"/>
        <v>48.111791666666669</v>
      </c>
    </row>
    <row r="14" spans="1:17" x14ac:dyDescent="0.45">
      <c r="B14" s="11" t="s">
        <v>794</v>
      </c>
      <c r="C14" s="41">
        <v>0</v>
      </c>
      <c r="D14" s="41">
        <f>IF(Deck_Mode="uniform",Deck_Uni*(C14),Deck_Crown*ABS(C14))</f>
        <v>0</v>
      </c>
      <c r="E14" s="62">
        <f t="shared" si="3"/>
        <v>47.661000000000001</v>
      </c>
      <c r="F14" s="62">
        <f t="shared" si="3"/>
        <v>47.665998835584539</v>
      </c>
      <c r="G14" s="62">
        <f t="shared" si="3"/>
        <v>47.718724053912439</v>
      </c>
      <c r="H14" s="62">
        <f t="shared" si="3"/>
        <v>47.771449272240339</v>
      </c>
      <c r="I14" s="62">
        <f t="shared" si="3"/>
        <v>47.82417449056824</v>
      </c>
      <c r="J14" s="62">
        <f t="shared" si="3"/>
        <v>47.876899708896133</v>
      </c>
      <c r="K14" s="62">
        <f t="shared" si="3"/>
        <v>47.929624927224033</v>
      </c>
      <c r="L14" s="62">
        <f t="shared" si="3"/>
        <v>47.982350145551933</v>
      </c>
      <c r="M14" s="62">
        <f t="shared" si="3"/>
        <v>48.035075363879834</v>
      </c>
      <c r="N14" s="62">
        <f t="shared" si="3"/>
        <v>48.087800582207734</v>
      </c>
      <c r="O14" s="62">
        <f t="shared" si="3"/>
        <v>48.140525800535634</v>
      </c>
      <c r="P14" s="62">
        <f t="shared" si="3"/>
        <v>48.193251018863535</v>
      </c>
      <c r="Q14" s="62">
        <f t="shared" si="3"/>
        <v>48.197625000000002</v>
      </c>
    </row>
    <row r="15" spans="1:17" x14ac:dyDescent="0.45">
      <c r="B15" s="11" t="s">
        <v>1021</v>
      </c>
      <c r="C15" s="40">
        <f>Bm2_Off</f>
        <v>4.291666666666667</v>
      </c>
      <c r="D15" s="41">
        <f>IF(Deck_Mode="uniform",Deck_Uni*(C15),Deck_Crown*ABS(C15))</f>
        <v>-8.5833333333333345E-2</v>
      </c>
      <c r="E15" s="62">
        <f t="shared" si="3"/>
        <v>47.575166666666668</v>
      </c>
      <c r="F15" s="62">
        <f t="shared" si="3"/>
        <v>47.580165502251205</v>
      </c>
      <c r="G15" s="62">
        <f t="shared" si="3"/>
        <v>47.632890720579105</v>
      </c>
      <c r="H15" s="62">
        <f t="shared" si="3"/>
        <v>47.685615938907006</v>
      </c>
      <c r="I15" s="62">
        <f t="shared" si="3"/>
        <v>47.738341157234906</v>
      </c>
      <c r="J15" s="62">
        <f t="shared" si="3"/>
        <v>47.791066375562799</v>
      </c>
      <c r="K15" s="62">
        <f t="shared" si="3"/>
        <v>47.8437915938907</v>
      </c>
      <c r="L15" s="62">
        <f t="shared" si="3"/>
        <v>47.8965168122186</v>
      </c>
      <c r="M15" s="62">
        <f t="shared" si="3"/>
        <v>47.9492420305465</v>
      </c>
      <c r="N15" s="62">
        <f t="shared" si="3"/>
        <v>48.001967248874401</v>
      </c>
      <c r="O15" s="62">
        <f t="shared" si="3"/>
        <v>48.054692467202301</v>
      </c>
      <c r="P15" s="62">
        <f t="shared" si="3"/>
        <v>48.107417685530201</v>
      </c>
      <c r="Q15" s="62">
        <f t="shared" si="3"/>
        <v>48.111791666666669</v>
      </c>
    </row>
    <row r="16" spans="1:17" x14ac:dyDescent="0.45">
      <c r="B16" s="11" t="s">
        <v>1022</v>
      </c>
      <c r="C16" s="40">
        <f>Deck_YR</f>
        <v>6.7916666666666652</v>
      </c>
      <c r="D16" s="41">
        <f>IF(Deck_Mode="uniform",Deck_Uni*(C16),Deck_Crown*ABS(C16))</f>
        <v>-0.13583333333333331</v>
      </c>
      <c r="E16" s="62">
        <f t="shared" si="3"/>
        <v>47.525166666666671</v>
      </c>
      <c r="F16" s="62">
        <f t="shared" si="3"/>
        <v>47.530165502251208</v>
      </c>
      <c r="G16" s="62">
        <f t="shared" si="3"/>
        <v>47.582890720579108</v>
      </c>
      <c r="H16" s="62">
        <f t="shared" si="3"/>
        <v>47.635615938907009</v>
      </c>
      <c r="I16" s="62">
        <f t="shared" si="3"/>
        <v>47.688341157234909</v>
      </c>
      <c r="J16" s="62">
        <f t="shared" si="3"/>
        <v>47.741066375562802</v>
      </c>
      <c r="K16" s="62">
        <f t="shared" si="3"/>
        <v>47.793791593890703</v>
      </c>
      <c r="L16" s="62">
        <f t="shared" si="3"/>
        <v>47.846516812218603</v>
      </c>
      <c r="M16" s="62">
        <f t="shared" si="3"/>
        <v>47.899242030546503</v>
      </c>
      <c r="N16" s="62">
        <f t="shared" si="3"/>
        <v>47.951967248874404</v>
      </c>
      <c r="O16" s="62">
        <f t="shared" si="3"/>
        <v>48.004692467202304</v>
      </c>
      <c r="P16" s="62">
        <f t="shared" si="3"/>
        <v>48.057417685530204</v>
      </c>
      <c r="Q16" s="62">
        <f t="shared" si="3"/>
        <v>48.061791666666672</v>
      </c>
    </row>
    <row r="17" spans="1:17" x14ac:dyDescent="0.45">
      <c r="B17" s="11" t="s">
        <v>1023</v>
      </c>
      <c r="C17" s="41">
        <f>Sp1_Lb/Des_FGEInc</f>
        <v>10.547499999999991</v>
      </c>
    </row>
    <row r="19" spans="1:17" x14ac:dyDescent="0.45">
      <c r="A19" s="17" t="s">
        <v>469</v>
      </c>
      <c r="B19" s="18"/>
      <c r="C19" s="18"/>
      <c r="D19" s="18"/>
      <c r="E19" s="18"/>
      <c r="F19" s="18"/>
      <c r="G19" s="18"/>
      <c r="H19" s="18"/>
      <c r="I19" s="18"/>
      <c r="J19" s="18"/>
      <c r="K19" s="18"/>
      <c r="L19" s="18"/>
      <c r="M19" s="18"/>
      <c r="N19" s="18"/>
      <c r="O19" s="18"/>
      <c r="P19" s="18"/>
      <c r="Q19" s="18"/>
    </row>
    <row r="20" spans="1:17" ht="30" customHeight="1" x14ac:dyDescent="0.45">
      <c r="B20" s="19" t="s">
        <v>940</v>
      </c>
      <c r="C20" s="19" t="s">
        <v>766</v>
      </c>
      <c r="D20" s="19" t="s">
        <v>1004</v>
      </c>
      <c r="E20" s="19" t="s">
        <v>1016</v>
      </c>
      <c r="F20" s="19" t="s">
        <v>1006</v>
      </c>
      <c r="G20" s="19" t="s">
        <v>1007</v>
      </c>
      <c r="H20" s="19" t="s">
        <v>1008</v>
      </c>
      <c r="I20" s="19" t="s">
        <v>1009</v>
      </c>
      <c r="J20" s="19" t="s">
        <v>1010</v>
      </c>
      <c r="K20" s="19" t="s">
        <v>1011</v>
      </c>
      <c r="L20" s="19" t="s">
        <v>1012</v>
      </c>
      <c r="M20" s="19" t="s">
        <v>1013</v>
      </c>
      <c r="N20" s="19" t="s">
        <v>1014</v>
      </c>
      <c r="O20" s="19" t="s">
        <v>1015</v>
      </c>
      <c r="P20" s="19" t="s">
        <v>1006</v>
      </c>
      <c r="Q20" s="19" t="s">
        <v>1024</v>
      </c>
    </row>
    <row r="21" spans="1:17" x14ac:dyDescent="0.45">
      <c r="B21" s="7" t="s">
        <v>747</v>
      </c>
      <c r="E21" s="41">
        <f>Sp2_Sta0</f>
        <v>1700.57</v>
      </c>
      <c r="F21" s="41">
        <f>Sp2_BrgA</f>
        <v>1701.4449999999999</v>
      </c>
      <c r="G21" s="41">
        <f>Sp2_BrgA+1*Sp2_Lb/Des_FGEInc</f>
        <v>1711.7474999999999</v>
      </c>
      <c r="H21" s="41">
        <f>Sp2_BrgA+2*Sp2_Lb/Des_FGEInc</f>
        <v>1722.05</v>
      </c>
      <c r="I21" s="41">
        <f>Sp2_BrgA+3*Sp2_Lb/Des_FGEInc</f>
        <v>1732.3525</v>
      </c>
      <c r="J21" s="41">
        <f>Sp2_BrgA+4*Sp2_Lb/Des_FGEInc</f>
        <v>1742.655</v>
      </c>
      <c r="K21" s="41">
        <f>Sp2_BrgA+5*Sp2_Lb/Des_FGEInc</f>
        <v>1752.9575</v>
      </c>
      <c r="L21" s="41">
        <f>Sp2_BrgA+6*Sp2_Lb/Des_FGEInc</f>
        <v>1763.26</v>
      </c>
      <c r="M21" s="41">
        <f>Sp2_BrgA+7*Sp2_Lb/Des_FGEInc</f>
        <v>1773.5625</v>
      </c>
      <c r="N21" s="41">
        <f>Sp2_BrgA+8*Sp2_Lb/Des_FGEInc</f>
        <v>1783.865</v>
      </c>
      <c r="O21" s="41">
        <f>Sp2_BrgA+9*Sp2_Lb/Des_FGEInc</f>
        <v>1794.1675</v>
      </c>
      <c r="P21" s="41">
        <f>Sp2_BrgB</f>
        <v>1804.47</v>
      </c>
      <c r="Q21" s="41">
        <f>Sp2_Sta1</f>
        <v>1805.47</v>
      </c>
    </row>
    <row r="22" spans="1:17" x14ac:dyDescent="0.45">
      <c r="B22" s="11" t="s">
        <v>749</v>
      </c>
      <c r="E22" s="60" t="str">
        <f t="shared" ref="E22:Q22" si="4">TEXT(INT(ROUND(E21*100,0)/10000),"0")&amp;"+"&amp;TEXT(MOD(ROUND(E21*100,0),10000)/100,"00.00")</f>
        <v>17+00.57</v>
      </c>
      <c r="F22" s="60" t="str">
        <f t="shared" si="4"/>
        <v>17+01.45</v>
      </c>
      <c r="G22" s="60" t="str">
        <f t="shared" si="4"/>
        <v>17+11.75</v>
      </c>
      <c r="H22" s="60" t="str">
        <f t="shared" si="4"/>
        <v>17+22.05</v>
      </c>
      <c r="I22" s="60" t="str">
        <f t="shared" si="4"/>
        <v>17+32.35</v>
      </c>
      <c r="J22" s="60" t="str">
        <f t="shared" si="4"/>
        <v>17+42.66</v>
      </c>
      <c r="K22" s="60" t="str">
        <f t="shared" si="4"/>
        <v>17+52.96</v>
      </c>
      <c r="L22" s="60" t="str">
        <f t="shared" si="4"/>
        <v>17+63.26</v>
      </c>
      <c r="M22" s="60" t="str">
        <f t="shared" si="4"/>
        <v>17+73.56</v>
      </c>
      <c r="N22" s="60" t="str">
        <f t="shared" si="4"/>
        <v>17+83.87</v>
      </c>
      <c r="O22" s="60" t="str">
        <f t="shared" si="4"/>
        <v>17+94.17</v>
      </c>
      <c r="P22" s="60" t="str">
        <f t="shared" si="4"/>
        <v>18+04.47</v>
      </c>
      <c r="Q22" s="60" t="str">
        <f t="shared" si="4"/>
        <v>18+05.47</v>
      </c>
    </row>
    <row r="23" spans="1:17" x14ac:dyDescent="0.45">
      <c r="B23" s="11" t="s">
        <v>1017</v>
      </c>
      <c r="E23" s="61" t="str">
        <f t="shared" ref="E23:Q23" si="5">IF(AND(E21&gt;=Sp2_Dk0-0.000000001,E21&lt;=Sp2_Dk1+0.000000001),"deck","PGL ext.")</f>
        <v>deck</v>
      </c>
      <c r="F23" s="61" t="str">
        <f t="shared" si="5"/>
        <v>deck</v>
      </c>
      <c r="G23" s="61" t="str">
        <f t="shared" si="5"/>
        <v>deck</v>
      </c>
      <c r="H23" s="61" t="str">
        <f t="shared" si="5"/>
        <v>deck</v>
      </c>
      <c r="I23" s="61" t="str">
        <f t="shared" si="5"/>
        <v>deck</v>
      </c>
      <c r="J23" s="61" t="str">
        <f t="shared" si="5"/>
        <v>deck</v>
      </c>
      <c r="K23" s="61" t="str">
        <f t="shared" si="5"/>
        <v>deck</v>
      </c>
      <c r="L23" s="61" t="str">
        <f t="shared" si="5"/>
        <v>deck</v>
      </c>
      <c r="M23" s="61" t="str">
        <f t="shared" si="5"/>
        <v>deck</v>
      </c>
      <c r="N23" s="61" t="str">
        <f t="shared" si="5"/>
        <v>deck</v>
      </c>
      <c r="O23" s="61" t="str">
        <f t="shared" si="5"/>
        <v>deck</v>
      </c>
      <c r="P23" s="61" t="str">
        <f t="shared" si="5"/>
        <v>deck</v>
      </c>
      <c r="Q23" s="61" t="str">
        <f t="shared" si="5"/>
        <v>PGL ext.</v>
      </c>
    </row>
    <row r="24" spans="1:17" x14ac:dyDescent="0.45">
      <c r="B24" s="7" t="s">
        <v>1018</v>
      </c>
      <c r="E24" s="41">
        <f t="shared" ref="E24:Q24" si="6">IF(Prof_Mode="parabolic",Prof_Z0+Prof_G1*((E21)-Prof_Sta0)+Prof_Kq*((E21)-Prof_Sta0)^2,IF((E21)&lt;=Prof_PISta,Prof_Z0+Prof_G1*((E21)-Prof_Sta0),Prof_PIZ+Prof_G2*((E21)-Prof_PISta)))</f>
        <v>48.197625000000002</v>
      </c>
      <c r="F24" s="41">
        <f t="shared" si="6"/>
        <v>48.193248957340323</v>
      </c>
      <c r="G24" s="41">
        <f t="shared" si="6"/>
        <v>48.141724180767397</v>
      </c>
      <c r="H24" s="41">
        <f t="shared" si="6"/>
        <v>48.090199404194472</v>
      </c>
      <c r="I24" s="41">
        <f t="shared" si="6"/>
        <v>48.038674627621546</v>
      </c>
      <c r="J24" s="41">
        <f t="shared" si="6"/>
        <v>47.987149851048621</v>
      </c>
      <c r="K24" s="41">
        <f t="shared" si="6"/>
        <v>47.935625074475695</v>
      </c>
      <c r="L24" s="41">
        <f t="shared" si="6"/>
        <v>47.884100297902769</v>
      </c>
      <c r="M24" s="41">
        <f t="shared" si="6"/>
        <v>47.832575521329836</v>
      </c>
      <c r="N24" s="41">
        <f t="shared" si="6"/>
        <v>47.781050744756911</v>
      </c>
      <c r="O24" s="41">
        <f t="shared" si="6"/>
        <v>47.729525968183985</v>
      </c>
      <c r="P24" s="41">
        <f t="shared" si="6"/>
        <v>47.67800119161106</v>
      </c>
      <c r="Q24" s="41">
        <f t="shared" si="6"/>
        <v>47.673000000000002</v>
      </c>
    </row>
    <row r="25" spans="1:17" x14ac:dyDescent="0.45">
      <c r="B25" s="11" t="s">
        <v>1019</v>
      </c>
      <c r="C25" s="40">
        <f>Deck_YL</f>
        <v>-6.7916666666666652</v>
      </c>
      <c r="D25" s="41">
        <f>IF(Deck_Mode="uniform",Deck_Uni*(C25),Deck_Crown*ABS(C25))</f>
        <v>-0.13583333333333331</v>
      </c>
      <c r="E25" s="62">
        <f t="shared" ref="E25:Q29" si="7">E$24+$D25</f>
        <v>48.061791666666672</v>
      </c>
      <c r="F25" s="62">
        <f t="shared" si="7"/>
        <v>48.057415624006993</v>
      </c>
      <c r="G25" s="62">
        <f t="shared" si="7"/>
        <v>48.005890847434067</v>
      </c>
      <c r="H25" s="62">
        <f t="shared" si="7"/>
        <v>47.954366070861141</v>
      </c>
      <c r="I25" s="62">
        <f t="shared" si="7"/>
        <v>47.902841294288216</v>
      </c>
      <c r="J25" s="62">
        <f t="shared" si="7"/>
        <v>47.85131651771529</v>
      </c>
      <c r="K25" s="62">
        <f t="shared" si="7"/>
        <v>47.799791741142364</v>
      </c>
      <c r="L25" s="62">
        <f t="shared" si="7"/>
        <v>47.748266964569439</v>
      </c>
      <c r="M25" s="62">
        <f t="shared" si="7"/>
        <v>47.696742187996506</v>
      </c>
      <c r="N25" s="62">
        <f t="shared" si="7"/>
        <v>47.64521741142358</v>
      </c>
      <c r="O25" s="62">
        <f t="shared" si="7"/>
        <v>47.593692634850655</v>
      </c>
      <c r="P25" s="62">
        <f t="shared" si="7"/>
        <v>47.542167858277729</v>
      </c>
      <c r="Q25" s="62">
        <f t="shared" si="7"/>
        <v>47.537166666666671</v>
      </c>
    </row>
    <row r="26" spans="1:17" x14ac:dyDescent="0.45">
      <c r="B26" s="11" t="s">
        <v>1025</v>
      </c>
      <c r="C26" s="40">
        <f>Bm1_Off</f>
        <v>-4.291666666666667</v>
      </c>
      <c r="D26" s="41">
        <f>IF(Deck_Mode="uniform",Deck_Uni*(C26),Deck_Crown*ABS(C26))</f>
        <v>-8.5833333333333345E-2</v>
      </c>
      <c r="E26" s="62">
        <f t="shared" si="7"/>
        <v>48.111791666666669</v>
      </c>
      <c r="F26" s="62">
        <f t="shared" si="7"/>
        <v>48.10741562400699</v>
      </c>
      <c r="G26" s="62">
        <f t="shared" si="7"/>
        <v>48.055890847434064</v>
      </c>
      <c r="H26" s="62">
        <f t="shared" si="7"/>
        <v>48.004366070861138</v>
      </c>
      <c r="I26" s="62">
        <f t="shared" si="7"/>
        <v>47.952841294288213</v>
      </c>
      <c r="J26" s="62">
        <f t="shared" si="7"/>
        <v>47.901316517715287</v>
      </c>
      <c r="K26" s="62">
        <f t="shared" si="7"/>
        <v>47.849791741142361</v>
      </c>
      <c r="L26" s="62">
        <f t="shared" si="7"/>
        <v>47.798266964569436</v>
      </c>
      <c r="M26" s="62">
        <f t="shared" si="7"/>
        <v>47.746742187996503</v>
      </c>
      <c r="N26" s="62">
        <f t="shared" si="7"/>
        <v>47.695217411423577</v>
      </c>
      <c r="O26" s="62">
        <f t="shared" si="7"/>
        <v>47.643692634850652</v>
      </c>
      <c r="P26" s="62">
        <f t="shared" si="7"/>
        <v>47.592167858277726</v>
      </c>
      <c r="Q26" s="62">
        <f t="shared" si="7"/>
        <v>47.587166666666668</v>
      </c>
    </row>
    <row r="27" spans="1:17" x14ac:dyDescent="0.45">
      <c r="B27" s="11" t="s">
        <v>794</v>
      </c>
      <c r="C27" s="41">
        <v>0</v>
      </c>
      <c r="D27" s="41">
        <f>IF(Deck_Mode="uniform",Deck_Uni*(C27),Deck_Crown*ABS(C27))</f>
        <v>0</v>
      </c>
      <c r="E27" s="62">
        <f t="shared" si="7"/>
        <v>48.197625000000002</v>
      </c>
      <c r="F27" s="62">
        <f t="shared" si="7"/>
        <v>48.193248957340323</v>
      </c>
      <c r="G27" s="62">
        <f t="shared" si="7"/>
        <v>48.141724180767397</v>
      </c>
      <c r="H27" s="62">
        <f t="shared" si="7"/>
        <v>48.090199404194472</v>
      </c>
      <c r="I27" s="62">
        <f t="shared" si="7"/>
        <v>48.038674627621546</v>
      </c>
      <c r="J27" s="62">
        <f t="shared" si="7"/>
        <v>47.987149851048621</v>
      </c>
      <c r="K27" s="62">
        <f t="shared" si="7"/>
        <v>47.935625074475695</v>
      </c>
      <c r="L27" s="62">
        <f t="shared" si="7"/>
        <v>47.884100297902769</v>
      </c>
      <c r="M27" s="62">
        <f t="shared" si="7"/>
        <v>47.832575521329836</v>
      </c>
      <c r="N27" s="62">
        <f t="shared" si="7"/>
        <v>47.781050744756911</v>
      </c>
      <c r="O27" s="62">
        <f t="shared" si="7"/>
        <v>47.729525968183985</v>
      </c>
      <c r="P27" s="62">
        <f t="shared" si="7"/>
        <v>47.67800119161106</v>
      </c>
      <c r="Q27" s="62">
        <f t="shared" si="7"/>
        <v>47.673000000000002</v>
      </c>
    </row>
    <row r="28" spans="1:17" x14ac:dyDescent="0.45">
      <c r="B28" s="11" t="s">
        <v>1026</v>
      </c>
      <c r="C28" s="40">
        <f>Bm2_Off</f>
        <v>4.291666666666667</v>
      </c>
      <c r="D28" s="41">
        <f>IF(Deck_Mode="uniform",Deck_Uni*(C28),Deck_Crown*ABS(C28))</f>
        <v>-8.5833333333333345E-2</v>
      </c>
      <c r="E28" s="62">
        <f t="shared" si="7"/>
        <v>48.111791666666669</v>
      </c>
      <c r="F28" s="62">
        <f t="shared" si="7"/>
        <v>48.10741562400699</v>
      </c>
      <c r="G28" s="62">
        <f t="shared" si="7"/>
        <v>48.055890847434064</v>
      </c>
      <c r="H28" s="62">
        <f t="shared" si="7"/>
        <v>48.004366070861138</v>
      </c>
      <c r="I28" s="62">
        <f t="shared" si="7"/>
        <v>47.952841294288213</v>
      </c>
      <c r="J28" s="62">
        <f t="shared" si="7"/>
        <v>47.901316517715287</v>
      </c>
      <c r="K28" s="62">
        <f t="shared" si="7"/>
        <v>47.849791741142361</v>
      </c>
      <c r="L28" s="62">
        <f t="shared" si="7"/>
        <v>47.798266964569436</v>
      </c>
      <c r="M28" s="62">
        <f t="shared" si="7"/>
        <v>47.746742187996503</v>
      </c>
      <c r="N28" s="62">
        <f t="shared" si="7"/>
        <v>47.695217411423577</v>
      </c>
      <c r="O28" s="62">
        <f t="shared" si="7"/>
        <v>47.643692634850652</v>
      </c>
      <c r="P28" s="62">
        <f t="shared" si="7"/>
        <v>47.592167858277726</v>
      </c>
      <c r="Q28" s="62">
        <f t="shared" si="7"/>
        <v>47.587166666666668</v>
      </c>
    </row>
    <row r="29" spans="1:17" x14ac:dyDescent="0.45">
      <c r="B29" s="11" t="s">
        <v>1022</v>
      </c>
      <c r="C29" s="40">
        <f>Deck_YR</f>
        <v>6.7916666666666652</v>
      </c>
      <c r="D29" s="41">
        <f>IF(Deck_Mode="uniform",Deck_Uni*(C29),Deck_Crown*ABS(C29))</f>
        <v>-0.13583333333333331</v>
      </c>
      <c r="E29" s="62">
        <f t="shared" si="7"/>
        <v>48.061791666666672</v>
      </c>
      <c r="F29" s="62">
        <f t="shared" si="7"/>
        <v>48.057415624006993</v>
      </c>
      <c r="G29" s="62">
        <f t="shared" si="7"/>
        <v>48.005890847434067</v>
      </c>
      <c r="H29" s="62">
        <f t="shared" si="7"/>
        <v>47.954366070861141</v>
      </c>
      <c r="I29" s="62">
        <f t="shared" si="7"/>
        <v>47.902841294288216</v>
      </c>
      <c r="J29" s="62">
        <f t="shared" si="7"/>
        <v>47.85131651771529</v>
      </c>
      <c r="K29" s="62">
        <f t="shared" si="7"/>
        <v>47.799791741142364</v>
      </c>
      <c r="L29" s="62">
        <f t="shared" si="7"/>
        <v>47.748266964569439</v>
      </c>
      <c r="M29" s="62">
        <f t="shared" si="7"/>
        <v>47.696742187996506</v>
      </c>
      <c r="N29" s="62">
        <f t="shared" si="7"/>
        <v>47.64521741142358</v>
      </c>
      <c r="O29" s="62">
        <f t="shared" si="7"/>
        <v>47.593692634850655</v>
      </c>
      <c r="P29" s="62">
        <f t="shared" si="7"/>
        <v>47.542167858277729</v>
      </c>
      <c r="Q29" s="62">
        <f t="shared" si="7"/>
        <v>47.537166666666671</v>
      </c>
    </row>
    <row r="30" spans="1:17" x14ac:dyDescent="0.45">
      <c r="B30" s="11" t="s">
        <v>1023</v>
      </c>
      <c r="C30" s="41">
        <f>Sp2_Lb/Des_FGEInc</f>
        <v>10.302500000000009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A96A3"/>
    <pageSetUpPr fitToPage="1"/>
  </sheetPr>
  <dimension ref="B1:S154"/>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1027</v>
      </c>
      <c r="P1" s="43" t="s">
        <v>785</v>
      </c>
    </row>
    <row r="2" spans="2:19" x14ac:dyDescent="0.45">
      <c r="B2" s="8" t="s">
        <v>1028</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1029</v>
      </c>
    </row>
    <row r="5" spans="2:19" ht="18" customHeight="1" x14ac:dyDescent="0.45">
      <c r="B5" s="36" t="s">
        <v>1030</v>
      </c>
      <c r="C5" s="18"/>
      <c r="D5" s="18"/>
      <c r="E5" s="18"/>
      <c r="F5" s="18"/>
      <c r="G5" s="18"/>
      <c r="H5" s="18"/>
      <c r="I5" s="18"/>
      <c r="J5" s="18"/>
      <c r="K5" s="18"/>
      <c r="L5" s="18"/>
      <c r="M5" s="18"/>
      <c r="P5" s="46" t="s">
        <v>790</v>
      </c>
      <c r="Q5" s="46" t="s">
        <v>791</v>
      </c>
      <c r="R5" s="46" t="s">
        <v>792</v>
      </c>
      <c r="S5" s="46" t="s">
        <v>793</v>
      </c>
    </row>
    <row r="6" spans="2:19" ht="16.25" customHeight="1" x14ac:dyDescent="0.45">
      <c r="B6" s="85" t="s">
        <v>1031</v>
      </c>
      <c r="C6" s="83"/>
      <c r="D6" s="83"/>
      <c r="E6" s="83"/>
      <c r="F6" s="83"/>
      <c r="G6" s="83"/>
      <c r="H6" s="83"/>
      <c r="I6" s="83"/>
      <c r="J6" s="83"/>
      <c r="K6" s="83"/>
      <c r="L6" s="83"/>
      <c r="M6" s="83"/>
      <c r="P6" s="44" t="s">
        <v>1032</v>
      </c>
      <c r="Q6" s="48">
        <f>MIN(FGE!$C$12,FGE!$C$13,FGE!$C$14,FGE!$C$15,FGE!$C$16)</f>
        <v>-6.7916666666666652</v>
      </c>
    </row>
    <row r="7" spans="2:19" ht="15" customHeight="1" x14ac:dyDescent="0.45">
      <c r="P7" s="44" t="s">
        <v>1033</v>
      </c>
      <c r="Q7" s="48">
        <f>MAX(FGE!$C$12,FGE!$C$13,FGE!$C$14,FGE!$C$15,FGE!$C$16)</f>
        <v>6.7916666666666652</v>
      </c>
    </row>
    <row r="8" spans="2:19" ht="15" customHeight="1" x14ac:dyDescent="0.45">
      <c r="P8" s="44" t="s">
        <v>1034</v>
      </c>
      <c r="Q8" s="47">
        <f>FGE!E8</f>
        <v>1593.22</v>
      </c>
      <c r="R8" s="47">
        <f>$Q$6</f>
        <v>-6.7916666666666652</v>
      </c>
    </row>
    <row r="9" spans="2:19" ht="15" customHeight="1" x14ac:dyDescent="0.45">
      <c r="Q9" s="47">
        <f>FGE!E8</f>
        <v>1593.22</v>
      </c>
      <c r="R9" s="47">
        <f>$Q$7</f>
        <v>6.7916666666666652</v>
      </c>
    </row>
    <row r="11" spans="2:19" ht="18" customHeight="1" x14ac:dyDescent="0.45">
      <c r="B11" s="36" t="s">
        <v>1035</v>
      </c>
      <c r="C11" s="18"/>
      <c r="D11" s="18"/>
      <c r="E11" s="18"/>
      <c r="F11" s="18"/>
      <c r="G11" s="18"/>
      <c r="H11" s="18"/>
      <c r="I11" s="18"/>
      <c r="J11" s="18"/>
      <c r="K11" s="18"/>
      <c r="L11" s="18"/>
      <c r="M11" s="18"/>
      <c r="Q11" s="47">
        <f>FGE!F8</f>
        <v>1594.22</v>
      </c>
      <c r="R11" s="47">
        <f>$Q$6</f>
        <v>-6.7916666666666652</v>
      </c>
    </row>
    <row r="12" spans="2:19" ht="15" customHeight="1" x14ac:dyDescent="0.45">
      <c r="Q12" s="47">
        <f>FGE!F8</f>
        <v>1594.22</v>
      </c>
      <c r="R12" s="47">
        <f>$Q$7</f>
        <v>6.7916666666666652</v>
      </c>
    </row>
    <row r="13" spans="2:19" ht="15" customHeight="1" x14ac:dyDescent="0.45"/>
    <row r="14" spans="2:19" ht="15" customHeight="1" x14ac:dyDescent="0.45">
      <c r="Q14" s="47">
        <f>FGE!G8</f>
        <v>1604.7674999999999</v>
      </c>
      <c r="R14" s="47">
        <f>$Q$6</f>
        <v>-6.7916666666666652</v>
      </c>
    </row>
    <row r="15" spans="2:19" ht="29.45" customHeight="1" x14ac:dyDescent="0.45">
      <c r="B15" s="85" t="str">
        <f>"Lines are the two deck edges (copings) at y = yc +/- W/2, each beam centerline and the PGL. The FFBW columns are the PGL extended: the deck itself ends "&amp;TEXT(Phys_DeckClr,"General")&amp;" in inside each FFBW (row ""Deck present?""). Station labels use the notebook format (hundredths, e.g. 16+46.96)."</f>
        <v>Lines are the two deck edges (copings) at y = yc +/- W/2, each beam centerline and the PGL. The FFBW columns are the PGL extended: the deck itself ends 3 in inside each FFBW (row "Deck present?"). Station labels use the notebook format (hundredths, e.g. 16+46.96).</v>
      </c>
      <c r="C15" s="83"/>
      <c r="D15" s="83"/>
      <c r="E15" s="83"/>
      <c r="F15" s="83"/>
      <c r="G15" s="83"/>
      <c r="H15" s="83"/>
      <c r="I15" s="83"/>
      <c r="J15" s="83"/>
      <c r="K15" s="83"/>
      <c r="L15" s="83"/>
      <c r="M15" s="83"/>
      <c r="Q15" s="47">
        <f>FGE!G8</f>
        <v>1604.7674999999999</v>
      </c>
      <c r="R15" s="47">
        <f>$Q$7</f>
        <v>6.7916666666666652</v>
      </c>
    </row>
    <row r="16" spans="2:19" ht="15" customHeight="1" x14ac:dyDescent="0.45"/>
    <row r="17" spans="17:18" ht="15" customHeight="1" x14ac:dyDescent="0.45">
      <c r="Q17" s="47">
        <f>FGE!H8</f>
        <v>1615.3150000000001</v>
      </c>
      <c r="R17" s="47">
        <f>$Q$6</f>
        <v>-6.7916666666666652</v>
      </c>
    </row>
    <row r="18" spans="17:18" ht="15" customHeight="1" x14ac:dyDescent="0.45">
      <c r="Q18" s="47">
        <f>FGE!H8</f>
        <v>1615.3150000000001</v>
      </c>
      <c r="R18" s="47">
        <f>$Q$7</f>
        <v>6.7916666666666652</v>
      </c>
    </row>
    <row r="19" spans="17:18" ht="15" customHeight="1" x14ac:dyDescent="0.45"/>
    <row r="20" spans="17:18" ht="15" customHeight="1" x14ac:dyDescent="0.45">
      <c r="Q20" s="47">
        <f>FGE!I8</f>
        <v>1625.8625</v>
      </c>
      <c r="R20" s="47">
        <f>$Q$6</f>
        <v>-6.7916666666666652</v>
      </c>
    </row>
    <row r="21" spans="17:18" ht="15" customHeight="1" x14ac:dyDescent="0.45">
      <c r="Q21" s="47">
        <f>FGE!I8</f>
        <v>1625.8625</v>
      </c>
      <c r="R21" s="47">
        <f>$Q$7</f>
        <v>6.7916666666666652</v>
      </c>
    </row>
    <row r="22" spans="17:18" ht="15" customHeight="1" x14ac:dyDescent="0.45"/>
    <row r="23" spans="17:18" ht="15" customHeight="1" x14ac:dyDescent="0.45">
      <c r="Q23" s="47">
        <f>FGE!J8</f>
        <v>1636.41</v>
      </c>
      <c r="R23" s="47">
        <f>$Q$6</f>
        <v>-6.7916666666666652</v>
      </c>
    </row>
    <row r="24" spans="17:18" ht="15" customHeight="1" x14ac:dyDescent="0.45">
      <c r="Q24" s="47">
        <f>FGE!J8</f>
        <v>1636.41</v>
      </c>
      <c r="R24" s="47">
        <f>$Q$7</f>
        <v>6.7916666666666652</v>
      </c>
    </row>
    <row r="25" spans="17:18" ht="15" customHeight="1" x14ac:dyDescent="0.45"/>
    <row r="26" spans="17:18" ht="15" customHeight="1" x14ac:dyDescent="0.45">
      <c r="Q26" s="47">
        <f>FGE!K8</f>
        <v>1646.9575</v>
      </c>
      <c r="R26" s="47">
        <f>$Q$6</f>
        <v>-6.7916666666666652</v>
      </c>
    </row>
    <row r="27" spans="17:18" ht="15" customHeight="1" x14ac:dyDescent="0.45">
      <c r="Q27" s="47">
        <f>FGE!K8</f>
        <v>1646.9575</v>
      </c>
      <c r="R27" s="47">
        <f>$Q$7</f>
        <v>6.7916666666666652</v>
      </c>
    </row>
    <row r="28" spans="17:18" ht="15" customHeight="1" x14ac:dyDescent="0.45"/>
    <row r="29" spans="17:18" ht="15" customHeight="1" x14ac:dyDescent="0.45">
      <c r="Q29" s="47">
        <f>FGE!L8</f>
        <v>1657.5049999999999</v>
      </c>
      <c r="R29" s="47">
        <f>$Q$6</f>
        <v>-6.7916666666666652</v>
      </c>
    </row>
    <row r="30" spans="17:18" ht="15" customHeight="1" x14ac:dyDescent="0.45">
      <c r="Q30" s="47">
        <f>FGE!L8</f>
        <v>1657.5049999999999</v>
      </c>
      <c r="R30" s="47">
        <f>$Q$7</f>
        <v>6.7916666666666652</v>
      </c>
    </row>
    <row r="31" spans="17:18" ht="15" customHeight="1" x14ac:dyDescent="0.45"/>
    <row r="32" spans="17:18" ht="15" customHeight="1" x14ac:dyDescent="0.45">
      <c r="Q32" s="47">
        <f>FGE!M8</f>
        <v>1668.0525</v>
      </c>
      <c r="R32" s="47">
        <f>$Q$6</f>
        <v>-6.7916666666666652</v>
      </c>
    </row>
    <row r="33" spans="2:18" ht="15" customHeight="1" x14ac:dyDescent="0.45">
      <c r="Q33" s="47">
        <f>FGE!M8</f>
        <v>1668.0525</v>
      </c>
      <c r="R33" s="47">
        <f>$Q$7</f>
        <v>6.7916666666666652</v>
      </c>
    </row>
    <row r="34" spans="2:18" ht="15" customHeight="1" x14ac:dyDescent="0.45"/>
    <row r="35" spans="2:18" ht="15" customHeight="1" x14ac:dyDescent="0.45">
      <c r="Q35" s="47">
        <f>FGE!N8</f>
        <v>1678.6</v>
      </c>
      <c r="R35" s="47">
        <f>$Q$6</f>
        <v>-6.7916666666666652</v>
      </c>
    </row>
    <row r="36" spans="2:18" ht="16.25" customHeight="1" x14ac:dyDescent="0.45">
      <c r="B36" s="82" t="s">
        <v>1036</v>
      </c>
      <c r="C36" s="83"/>
      <c r="D36" s="83"/>
      <c r="E36" s="83"/>
      <c r="F36" s="83"/>
      <c r="G36" s="83"/>
      <c r="H36" s="83"/>
      <c r="I36" s="83"/>
      <c r="J36" s="83"/>
      <c r="K36" s="83"/>
      <c r="L36" s="83"/>
      <c r="M36" s="83"/>
      <c r="Q36" s="47">
        <f>FGE!N8</f>
        <v>1678.6</v>
      </c>
      <c r="R36" s="47">
        <f>$Q$7</f>
        <v>6.7916666666666652</v>
      </c>
    </row>
    <row r="37" spans="2:18" ht="29.45" customHeight="1" x14ac:dyDescent="0.45">
      <c r="B37" s="88" t="s">
        <v>1037</v>
      </c>
      <c r="C37" s="89"/>
      <c r="D37" s="89"/>
      <c r="E37" s="89"/>
      <c r="F37" s="89"/>
      <c r="G37" s="89"/>
      <c r="H37" s="89"/>
      <c r="I37" s="89"/>
      <c r="J37" s="89"/>
      <c r="K37" s="89"/>
      <c r="L37" s="89"/>
      <c r="M37" s="89"/>
    </row>
    <row r="38" spans="2:18" x14ac:dyDescent="0.45">
      <c r="B38" s="86" t="s">
        <v>102</v>
      </c>
      <c r="C38" s="86" t="s">
        <v>699</v>
      </c>
      <c r="D38" s="87"/>
      <c r="E38" s="87"/>
      <c r="F38" s="87"/>
      <c r="G38" s="87"/>
      <c r="H38" s="86" t="s">
        <v>700</v>
      </c>
      <c r="I38" s="87"/>
      <c r="J38" s="87"/>
      <c r="K38" s="86" t="s">
        <v>701</v>
      </c>
      <c r="L38" s="87"/>
      <c r="M38" s="87"/>
      <c r="Q38" s="47">
        <f>FGE!O8</f>
        <v>1689.1475</v>
      </c>
      <c r="R38" s="47">
        <f>$Q$6</f>
        <v>-6.7916666666666652</v>
      </c>
    </row>
    <row r="39" spans="2:18" ht="15.2" customHeight="1" x14ac:dyDescent="0.45">
      <c r="B39" s="85" t="s">
        <v>194</v>
      </c>
      <c r="C39" s="85" t="s">
        <v>1038</v>
      </c>
      <c r="D39" s="83"/>
      <c r="E39" s="83"/>
      <c r="F39" s="83"/>
      <c r="G39" s="83"/>
      <c r="H39" s="85" t="s">
        <v>660</v>
      </c>
      <c r="I39" s="83"/>
      <c r="J39" s="83"/>
      <c r="K39" s="85" t="s">
        <v>1039</v>
      </c>
      <c r="L39" s="83"/>
      <c r="M39" s="83"/>
      <c r="Q39" s="47">
        <f>FGE!O8</f>
        <v>1689.1475</v>
      </c>
      <c r="R39" s="47">
        <f>$Q$7</f>
        <v>6.7916666666666652</v>
      </c>
    </row>
    <row r="40" spans="2:18" ht="15.2" customHeight="1" x14ac:dyDescent="0.45">
      <c r="B40" s="85" t="s">
        <v>1040</v>
      </c>
      <c r="C40" s="85" t="s">
        <v>1041</v>
      </c>
      <c r="D40" s="83"/>
      <c r="E40" s="83"/>
      <c r="F40" s="83"/>
      <c r="G40" s="83"/>
      <c r="H40" s="85" t="s">
        <v>1042</v>
      </c>
      <c r="I40" s="83"/>
      <c r="J40" s="83"/>
      <c r="K40" s="85" t="s">
        <v>135</v>
      </c>
      <c r="L40" s="83"/>
      <c r="M40" s="83"/>
    </row>
    <row r="41" spans="2:18" ht="15.2" customHeight="1" x14ac:dyDescent="0.45">
      <c r="B41" s="85" t="s">
        <v>1043</v>
      </c>
      <c r="C41" s="85" t="s">
        <v>1044</v>
      </c>
      <c r="D41" s="83"/>
      <c r="E41" s="83"/>
      <c r="F41" s="83"/>
      <c r="G41" s="83"/>
      <c r="H41" s="85" t="s">
        <v>1045</v>
      </c>
      <c r="I41" s="83"/>
      <c r="J41" s="83"/>
      <c r="K41" s="85" t="s">
        <v>135</v>
      </c>
      <c r="L41" s="83"/>
      <c r="M41" s="83"/>
      <c r="Q41" s="47">
        <f>FGE!P8</f>
        <v>1699.6949999999999</v>
      </c>
      <c r="R41" s="47">
        <f>$Q$6</f>
        <v>-6.7916666666666652</v>
      </c>
    </row>
    <row r="42" spans="2:18" x14ac:dyDescent="0.45">
      <c r="Q42" s="47">
        <f>FGE!P8</f>
        <v>1699.6949999999999</v>
      </c>
      <c r="R42" s="47">
        <f>$Q$7</f>
        <v>6.7916666666666652</v>
      </c>
    </row>
    <row r="44" spans="2:18" x14ac:dyDescent="0.45">
      <c r="Q44" s="47">
        <f>FGE!Q8</f>
        <v>1700.57</v>
      </c>
      <c r="R44" s="47">
        <f>$Q$6</f>
        <v>-6.7916666666666652</v>
      </c>
    </row>
    <row r="45" spans="2:18" x14ac:dyDescent="0.45">
      <c r="Q45" s="47">
        <f>FGE!Q8</f>
        <v>1700.57</v>
      </c>
      <c r="R45" s="47">
        <f>$Q$7</f>
        <v>6.7916666666666652</v>
      </c>
    </row>
    <row r="47" spans="2:18" x14ac:dyDescent="0.45">
      <c r="P47" s="44" t="str">
        <f>FGE!B12</f>
        <v>Left coping (deck edge)</v>
      </c>
      <c r="Q47" s="47">
        <f>FGE!E8</f>
        <v>1593.22</v>
      </c>
      <c r="R47" s="47">
        <f>FGE!$C$12</f>
        <v>-6.7916666666666652</v>
      </c>
    </row>
    <row r="48" spans="2:18" x14ac:dyDescent="0.45">
      <c r="Q48" s="47">
        <f>FGE!F8</f>
        <v>1594.22</v>
      </c>
      <c r="R48" s="47">
        <f>FGE!$C$12</f>
        <v>-6.7916666666666652</v>
      </c>
    </row>
    <row r="49" spans="16:18" x14ac:dyDescent="0.45">
      <c r="Q49" s="47">
        <f>FGE!G8</f>
        <v>1604.7674999999999</v>
      </c>
      <c r="R49" s="47">
        <f>FGE!$C$12</f>
        <v>-6.7916666666666652</v>
      </c>
    </row>
    <row r="50" spans="16:18" x14ac:dyDescent="0.45">
      <c r="Q50" s="47">
        <f>FGE!H8</f>
        <v>1615.3150000000001</v>
      </c>
      <c r="R50" s="47">
        <f>FGE!$C$12</f>
        <v>-6.7916666666666652</v>
      </c>
    </row>
    <row r="51" spans="16:18" x14ac:dyDescent="0.45">
      <c r="Q51" s="47">
        <f>FGE!I8</f>
        <v>1625.8625</v>
      </c>
      <c r="R51" s="47">
        <f>FGE!$C$12</f>
        <v>-6.7916666666666652</v>
      </c>
    </row>
    <row r="52" spans="16:18" x14ac:dyDescent="0.45">
      <c r="Q52" s="47">
        <f>FGE!J8</f>
        <v>1636.41</v>
      </c>
      <c r="R52" s="47">
        <f>FGE!$C$12</f>
        <v>-6.7916666666666652</v>
      </c>
    </row>
    <row r="53" spans="16:18" x14ac:dyDescent="0.45">
      <c r="Q53" s="47">
        <f>FGE!K8</f>
        <v>1646.9575</v>
      </c>
      <c r="R53" s="47">
        <f>FGE!$C$12</f>
        <v>-6.7916666666666652</v>
      </c>
    </row>
    <row r="54" spans="16:18" x14ac:dyDescent="0.45">
      <c r="Q54" s="47">
        <f>FGE!L8</f>
        <v>1657.5049999999999</v>
      </c>
      <c r="R54" s="47">
        <f>FGE!$C$12</f>
        <v>-6.7916666666666652</v>
      </c>
    </row>
    <row r="55" spans="16:18" x14ac:dyDescent="0.45">
      <c r="Q55" s="47">
        <f>FGE!M8</f>
        <v>1668.0525</v>
      </c>
      <c r="R55" s="47">
        <f>FGE!$C$12</f>
        <v>-6.7916666666666652</v>
      </c>
    </row>
    <row r="56" spans="16:18" x14ac:dyDescent="0.45">
      <c r="Q56" s="47">
        <f>FGE!N8</f>
        <v>1678.6</v>
      </c>
      <c r="R56" s="47">
        <f>FGE!$C$12</f>
        <v>-6.7916666666666652</v>
      </c>
    </row>
    <row r="57" spans="16:18" x14ac:dyDescent="0.45">
      <c r="Q57" s="47">
        <f>FGE!O8</f>
        <v>1689.1475</v>
      </c>
      <c r="R57" s="47">
        <f>FGE!$C$12</f>
        <v>-6.7916666666666652</v>
      </c>
    </row>
    <row r="58" spans="16:18" x14ac:dyDescent="0.45">
      <c r="Q58" s="47">
        <f>FGE!P8</f>
        <v>1699.6949999999999</v>
      </c>
      <c r="R58" s="47">
        <f>FGE!$C$12</f>
        <v>-6.7916666666666652</v>
      </c>
    </row>
    <row r="59" spans="16:18" x14ac:dyDescent="0.45">
      <c r="Q59" s="47">
        <f>FGE!Q8</f>
        <v>1700.57</v>
      </c>
      <c r="R59" s="47">
        <f>FGE!$C$12</f>
        <v>-6.7916666666666652</v>
      </c>
    </row>
    <row r="61" spans="16:18" x14ac:dyDescent="0.45">
      <c r="P61" s="44" t="str">
        <f>FGE!B12</f>
        <v>Left coping (deck edge)</v>
      </c>
      <c r="Q61" s="47">
        <f>FGE!E8-1.5</f>
        <v>1591.72</v>
      </c>
      <c r="R61" s="47">
        <f>FGE!$C$12</f>
        <v>-6.7916666666666652</v>
      </c>
    </row>
    <row r="63" spans="16:18" x14ac:dyDescent="0.45">
      <c r="P63" s="44" t="str">
        <f>FGE!B13</f>
        <v>CL Beam 1-1</v>
      </c>
      <c r="Q63" s="47">
        <f>FGE!E8</f>
        <v>1593.22</v>
      </c>
      <c r="R63" s="47">
        <f>FGE!$C$13</f>
        <v>-4.291666666666667</v>
      </c>
    </row>
    <row r="64" spans="16:18" x14ac:dyDescent="0.45">
      <c r="Q64" s="47">
        <f>FGE!F8</f>
        <v>1594.22</v>
      </c>
      <c r="R64" s="47">
        <f>FGE!$C$13</f>
        <v>-4.291666666666667</v>
      </c>
    </row>
    <row r="65" spans="16:18" x14ac:dyDescent="0.45">
      <c r="Q65" s="47">
        <f>FGE!G8</f>
        <v>1604.7674999999999</v>
      </c>
      <c r="R65" s="47">
        <f>FGE!$C$13</f>
        <v>-4.291666666666667</v>
      </c>
    </row>
    <row r="66" spans="16:18" x14ac:dyDescent="0.45">
      <c r="Q66" s="47">
        <f>FGE!H8</f>
        <v>1615.3150000000001</v>
      </c>
      <c r="R66" s="47">
        <f>FGE!$C$13</f>
        <v>-4.291666666666667</v>
      </c>
    </row>
    <row r="67" spans="16:18" x14ac:dyDescent="0.45">
      <c r="Q67" s="47">
        <f>FGE!I8</f>
        <v>1625.8625</v>
      </c>
      <c r="R67" s="47">
        <f>FGE!$C$13</f>
        <v>-4.291666666666667</v>
      </c>
    </row>
    <row r="68" spans="16:18" x14ac:dyDescent="0.45">
      <c r="Q68" s="47">
        <f>FGE!J8</f>
        <v>1636.41</v>
      </c>
      <c r="R68" s="47">
        <f>FGE!$C$13</f>
        <v>-4.291666666666667</v>
      </c>
    </row>
    <row r="69" spans="16:18" x14ac:dyDescent="0.45">
      <c r="Q69" s="47">
        <f>FGE!K8</f>
        <v>1646.9575</v>
      </c>
      <c r="R69" s="47">
        <f>FGE!$C$13</f>
        <v>-4.291666666666667</v>
      </c>
    </row>
    <row r="70" spans="16:18" x14ac:dyDescent="0.45">
      <c r="Q70" s="47">
        <f>FGE!L8</f>
        <v>1657.5049999999999</v>
      </c>
      <c r="R70" s="47">
        <f>FGE!$C$13</f>
        <v>-4.291666666666667</v>
      </c>
    </row>
    <row r="71" spans="16:18" x14ac:dyDescent="0.45">
      <c r="Q71" s="47">
        <f>FGE!M8</f>
        <v>1668.0525</v>
      </c>
      <c r="R71" s="47">
        <f>FGE!$C$13</f>
        <v>-4.291666666666667</v>
      </c>
    </row>
    <row r="72" spans="16:18" x14ac:dyDescent="0.45">
      <c r="Q72" s="47">
        <f>FGE!N8</f>
        <v>1678.6</v>
      </c>
      <c r="R72" s="47">
        <f>FGE!$C$13</f>
        <v>-4.291666666666667</v>
      </c>
    </row>
    <row r="73" spans="16:18" x14ac:dyDescent="0.45">
      <c r="Q73" s="47">
        <f>FGE!O8</f>
        <v>1689.1475</v>
      </c>
      <c r="R73" s="47">
        <f>FGE!$C$13</f>
        <v>-4.291666666666667</v>
      </c>
    </row>
    <row r="74" spans="16:18" x14ac:dyDescent="0.45">
      <c r="Q74" s="47">
        <f>FGE!P8</f>
        <v>1699.6949999999999</v>
      </c>
      <c r="R74" s="47">
        <f>FGE!$C$13</f>
        <v>-4.291666666666667</v>
      </c>
    </row>
    <row r="75" spans="16:18" x14ac:dyDescent="0.45">
      <c r="Q75" s="47">
        <f>FGE!Q8</f>
        <v>1700.57</v>
      </c>
      <c r="R75" s="47">
        <f>FGE!$C$13</f>
        <v>-4.291666666666667</v>
      </c>
    </row>
    <row r="77" spans="16:18" x14ac:dyDescent="0.45">
      <c r="P77" s="44" t="str">
        <f>FGE!B13</f>
        <v>CL Beam 1-1</v>
      </c>
      <c r="Q77" s="47">
        <f>FGE!E8-1.5</f>
        <v>1591.72</v>
      </c>
      <c r="R77" s="47">
        <f>FGE!$C$13</f>
        <v>-4.291666666666667</v>
      </c>
    </row>
    <row r="79" spans="16:18" x14ac:dyDescent="0.45">
      <c r="P79" s="44" t="str">
        <f>FGE!B14</f>
        <v>PGL</v>
      </c>
      <c r="Q79" s="47">
        <f>FGE!E8</f>
        <v>1593.22</v>
      </c>
      <c r="R79" s="47">
        <f>FGE!$C$14</f>
        <v>0</v>
      </c>
    </row>
    <row r="80" spans="16:18" x14ac:dyDescent="0.45">
      <c r="Q80" s="47">
        <f>FGE!F8</f>
        <v>1594.22</v>
      </c>
      <c r="R80" s="47">
        <f>FGE!$C$14</f>
        <v>0</v>
      </c>
    </row>
    <row r="81" spans="16:18" x14ac:dyDescent="0.45">
      <c r="Q81" s="47">
        <f>FGE!G8</f>
        <v>1604.7674999999999</v>
      </c>
      <c r="R81" s="47">
        <f>FGE!$C$14</f>
        <v>0</v>
      </c>
    </row>
    <row r="82" spans="16:18" x14ac:dyDescent="0.45">
      <c r="Q82" s="47">
        <f>FGE!H8</f>
        <v>1615.3150000000001</v>
      </c>
      <c r="R82" s="47">
        <f>FGE!$C$14</f>
        <v>0</v>
      </c>
    </row>
    <row r="83" spans="16:18" x14ac:dyDescent="0.45">
      <c r="Q83" s="47">
        <f>FGE!I8</f>
        <v>1625.8625</v>
      </c>
      <c r="R83" s="47">
        <f>FGE!$C$14</f>
        <v>0</v>
      </c>
    </row>
    <row r="84" spans="16:18" x14ac:dyDescent="0.45">
      <c r="Q84" s="47">
        <f>FGE!J8</f>
        <v>1636.41</v>
      </c>
      <c r="R84" s="47">
        <f>FGE!$C$14</f>
        <v>0</v>
      </c>
    </row>
    <row r="85" spans="16:18" x14ac:dyDescent="0.45">
      <c r="Q85" s="47">
        <f>FGE!K8</f>
        <v>1646.9575</v>
      </c>
      <c r="R85" s="47">
        <f>FGE!$C$14</f>
        <v>0</v>
      </c>
    </row>
    <row r="86" spans="16:18" x14ac:dyDescent="0.45">
      <c r="Q86" s="47">
        <f>FGE!L8</f>
        <v>1657.5049999999999</v>
      </c>
      <c r="R86" s="47">
        <f>FGE!$C$14</f>
        <v>0</v>
      </c>
    </row>
    <row r="87" spans="16:18" x14ac:dyDescent="0.45">
      <c r="Q87" s="47">
        <f>FGE!M8</f>
        <v>1668.0525</v>
      </c>
      <c r="R87" s="47">
        <f>FGE!$C$14</f>
        <v>0</v>
      </c>
    </row>
    <row r="88" spans="16:18" x14ac:dyDescent="0.45">
      <c r="Q88" s="47">
        <f>FGE!N8</f>
        <v>1678.6</v>
      </c>
      <c r="R88" s="47">
        <f>FGE!$C$14</f>
        <v>0</v>
      </c>
    </row>
    <row r="89" spans="16:18" x14ac:dyDescent="0.45">
      <c r="Q89" s="47">
        <f>FGE!O8</f>
        <v>1689.1475</v>
      </c>
      <c r="R89" s="47">
        <f>FGE!$C$14</f>
        <v>0</v>
      </c>
    </row>
    <row r="90" spans="16:18" x14ac:dyDescent="0.45">
      <c r="Q90" s="47">
        <f>FGE!P8</f>
        <v>1699.6949999999999</v>
      </c>
      <c r="R90" s="47">
        <f>FGE!$C$14</f>
        <v>0</v>
      </c>
    </row>
    <row r="91" spans="16:18" x14ac:dyDescent="0.45">
      <c r="Q91" s="47">
        <f>FGE!Q8</f>
        <v>1700.57</v>
      </c>
      <c r="R91" s="47">
        <f>FGE!$C$14</f>
        <v>0</v>
      </c>
    </row>
    <row r="93" spans="16:18" x14ac:dyDescent="0.45">
      <c r="P93" s="44" t="str">
        <f>FGE!B14</f>
        <v>PGL</v>
      </c>
      <c r="Q93" s="47">
        <f>FGE!E8-1.5</f>
        <v>1591.72</v>
      </c>
      <c r="R93" s="47">
        <f>FGE!$C$14</f>
        <v>0</v>
      </c>
    </row>
    <row r="95" spans="16:18" x14ac:dyDescent="0.45">
      <c r="P95" s="44" t="str">
        <f>FGE!B15</f>
        <v>CL Beam 1-2</v>
      </c>
      <c r="Q95" s="47">
        <f>FGE!E8</f>
        <v>1593.22</v>
      </c>
      <c r="R95" s="47">
        <f>FGE!$C$15</f>
        <v>4.291666666666667</v>
      </c>
    </row>
    <row r="96" spans="16:18" x14ac:dyDescent="0.45">
      <c r="Q96" s="47">
        <f>FGE!F8</f>
        <v>1594.22</v>
      </c>
      <c r="R96" s="47">
        <f>FGE!$C$15</f>
        <v>4.291666666666667</v>
      </c>
    </row>
    <row r="97" spans="16:18" x14ac:dyDescent="0.45">
      <c r="Q97" s="47">
        <f>FGE!G8</f>
        <v>1604.7674999999999</v>
      </c>
      <c r="R97" s="47">
        <f>FGE!$C$15</f>
        <v>4.291666666666667</v>
      </c>
    </row>
    <row r="98" spans="16:18" x14ac:dyDescent="0.45">
      <c r="Q98" s="47">
        <f>FGE!H8</f>
        <v>1615.3150000000001</v>
      </c>
      <c r="R98" s="47">
        <f>FGE!$C$15</f>
        <v>4.291666666666667</v>
      </c>
    </row>
    <row r="99" spans="16:18" x14ac:dyDescent="0.45">
      <c r="Q99" s="47">
        <f>FGE!I8</f>
        <v>1625.8625</v>
      </c>
      <c r="R99" s="47">
        <f>FGE!$C$15</f>
        <v>4.291666666666667</v>
      </c>
    </row>
    <row r="100" spans="16:18" x14ac:dyDescent="0.45">
      <c r="Q100" s="47">
        <f>FGE!J8</f>
        <v>1636.41</v>
      </c>
      <c r="R100" s="47">
        <f>FGE!$C$15</f>
        <v>4.291666666666667</v>
      </c>
    </row>
    <row r="101" spans="16:18" x14ac:dyDescent="0.45">
      <c r="Q101" s="47">
        <f>FGE!K8</f>
        <v>1646.9575</v>
      </c>
      <c r="R101" s="47">
        <f>FGE!$C$15</f>
        <v>4.291666666666667</v>
      </c>
    </row>
    <row r="102" spans="16:18" x14ac:dyDescent="0.45">
      <c r="Q102" s="47">
        <f>FGE!L8</f>
        <v>1657.5049999999999</v>
      </c>
      <c r="R102" s="47">
        <f>FGE!$C$15</f>
        <v>4.291666666666667</v>
      </c>
    </row>
    <row r="103" spans="16:18" x14ac:dyDescent="0.45">
      <c r="Q103" s="47">
        <f>FGE!M8</f>
        <v>1668.0525</v>
      </c>
      <c r="R103" s="47">
        <f>FGE!$C$15</f>
        <v>4.291666666666667</v>
      </c>
    </row>
    <row r="104" spans="16:18" x14ac:dyDescent="0.45">
      <c r="Q104" s="47">
        <f>FGE!N8</f>
        <v>1678.6</v>
      </c>
      <c r="R104" s="47">
        <f>FGE!$C$15</f>
        <v>4.291666666666667</v>
      </c>
    </row>
    <row r="105" spans="16:18" x14ac:dyDescent="0.45">
      <c r="Q105" s="47">
        <f>FGE!O8</f>
        <v>1689.1475</v>
      </c>
      <c r="R105" s="47">
        <f>FGE!$C$15</f>
        <v>4.291666666666667</v>
      </c>
    </row>
    <row r="106" spans="16:18" x14ac:dyDescent="0.45">
      <c r="Q106" s="47">
        <f>FGE!P8</f>
        <v>1699.6949999999999</v>
      </c>
      <c r="R106" s="47">
        <f>FGE!$C$15</f>
        <v>4.291666666666667</v>
      </c>
    </row>
    <row r="107" spans="16:18" x14ac:dyDescent="0.45">
      <c r="Q107" s="47">
        <f>FGE!Q8</f>
        <v>1700.57</v>
      </c>
      <c r="R107" s="47">
        <f>FGE!$C$15</f>
        <v>4.291666666666667</v>
      </c>
    </row>
    <row r="109" spans="16:18" x14ac:dyDescent="0.45">
      <c r="P109" s="44" t="str">
        <f>FGE!B15</f>
        <v>CL Beam 1-2</v>
      </c>
      <c r="Q109" s="47">
        <f>FGE!E8-1.5</f>
        <v>1591.72</v>
      </c>
      <c r="R109" s="47">
        <f>FGE!$C$15</f>
        <v>4.291666666666667</v>
      </c>
    </row>
    <row r="111" spans="16:18" x14ac:dyDescent="0.45">
      <c r="P111" s="44" t="str">
        <f>FGE!B16</f>
        <v>Right coping (deck edge)</v>
      </c>
      <c r="Q111" s="47">
        <f>FGE!E8</f>
        <v>1593.22</v>
      </c>
      <c r="R111" s="47">
        <f>FGE!$C$16</f>
        <v>6.7916666666666652</v>
      </c>
    </row>
    <row r="112" spans="16:18" x14ac:dyDescent="0.45">
      <c r="Q112" s="47">
        <f>FGE!F8</f>
        <v>1594.22</v>
      </c>
      <c r="R112" s="47">
        <f>FGE!$C$16</f>
        <v>6.7916666666666652</v>
      </c>
    </row>
    <row r="113" spans="16:18" x14ac:dyDescent="0.45">
      <c r="Q113" s="47">
        <f>FGE!G8</f>
        <v>1604.7674999999999</v>
      </c>
      <c r="R113" s="47">
        <f>FGE!$C$16</f>
        <v>6.7916666666666652</v>
      </c>
    </row>
    <row r="114" spans="16:18" x14ac:dyDescent="0.45">
      <c r="Q114" s="47">
        <f>FGE!H8</f>
        <v>1615.3150000000001</v>
      </c>
      <c r="R114" s="47">
        <f>FGE!$C$16</f>
        <v>6.7916666666666652</v>
      </c>
    </row>
    <row r="115" spans="16:18" x14ac:dyDescent="0.45">
      <c r="Q115" s="47">
        <f>FGE!I8</f>
        <v>1625.8625</v>
      </c>
      <c r="R115" s="47">
        <f>FGE!$C$16</f>
        <v>6.7916666666666652</v>
      </c>
    </row>
    <row r="116" spans="16:18" x14ac:dyDescent="0.45">
      <c r="Q116" s="47">
        <f>FGE!J8</f>
        <v>1636.41</v>
      </c>
      <c r="R116" s="47">
        <f>FGE!$C$16</f>
        <v>6.7916666666666652</v>
      </c>
    </row>
    <row r="117" spans="16:18" x14ac:dyDescent="0.45">
      <c r="Q117" s="47">
        <f>FGE!K8</f>
        <v>1646.9575</v>
      </c>
      <c r="R117" s="47">
        <f>FGE!$C$16</f>
        <v>6.7916666666666652</v>
      </c>
    </row>
    <row r="118" spans="16:18" x14ac:dyDescent="0.45">
      <c r="Q118" s="47">
        <f>FGE!L8</f>
        <v>1657.5049999999999</v>
      </c>
      <c r="R118" s="47">
        <f>FGE!$C$16</f>
        <v>6.7916666666666652</v>
      </c>
    </row>
    <row r="119" spans="16:18" x14ac:dyDescent="0.45">
      <c r="Q119" s="47">
        <f>FGE!M8</f>
        <v>1668.0525</v>
      </c>
      <c r="R119" s="47">
        <f>FGE!$C$16</f>
        <v>6.7916666666666652</v>
      </c>
    </row>
    <row r="120" spans="16:18" x14ac:dyDescent="0.45">
      <c r="Q120" s="47">
        <f>FGE!N8</f>
        <v>1678.6</v>
      </c>
      <c r="R120" s="47">
        <f>FGE!$C$16</f>
        <v>6.7916666666666652</v>
      </c>
    </row>
    <row r="121" spans="16:18" x14ac:dyDescent="0.45">
      <c r="Q121" s="47">
        <f>FGE!O8</f>
        <v>1689.1475</v>
      </c>
      <c r="R121" s="47">
        <f>FGE!$C$16</f>
        <v>6.7916666666666652</v>
      </c>
    </row>
    <row r="122" spans="16:18" x14ac:dyDescent="0.45">
      <c r="Q122" s="47">
        <f>FGE!P8</f>
        <v>1699.6949999999999</v>
      </c>
      <c r="R122" s="47">
        <f>FGE!$C$16</f>
        <v>6.7916666666666652</v>
      </c>
    </row>
    <row r="123" spans="16:18" x14ac:dyDescent="0.45">
      <c r="Q123" s="47">
        <f>FGE!Q8</f>
        <v>1700.57</v>
      </c>
      <c r="R123" s="47">
        <f>FGE!$C$16</f>
        <v>6.7916666666666652</v>
      </c>
    </row>
    <row r="125" spans="16:18" x14ac:dyDescent="0.45">
      <c r="P125" s="44" t="str">
        <f>FGE!B16</f>
        <v>Right coping (deck edge)</v>
      </c>
      <c r="Q125" s="47">
        <f>FGE!E8-1.5</f>
        <v>1591.72</v>
      </c>
      <c r="R125" s="47">
        <f>FGE!$C$16</f>
        <v>6.7916666666666652</v>
      </c>
    </row>
    <row r="127" spans="16:18" x14ac:dyDescent="0.45">
      <c r="P127" s="44" t="str">
        <f>"FFBW EB 1  "&amp;FGE!E9</f>
        <v>FFBW EB 1  15+93.22</v>
      </c>
      <c r="Q127" s="47">
        <f>FGE!E8</f>
        <v>1593.22</v>
      </c>
      <c r="R127" s="47">
        <f>$Q$6</f>
        <v>-6.7916666666666652</v>
      </c>
    </row>
    <row r="129" spans="16:18" x14ac:dyDescent="0.45">
      <c r="P129" s="44" t="str">
        <f>"CL Brg  "&amp;FGE!F9</f>
        <v>CL Brg  15+94.22</v>
      </c>
      <c r="Q129" s="47">
        <f>FGE!F8</f>
        <v>1594.22</v>
      </c>
      <c r="R129" s="47">
        <f>$Q$7</f>
        <v>6.7916666666666652</v>
      </c>
    </row>
    <row r="131" spans="16:18" x14ac:dyDescent="0.45">
      <c r="P131" s="44" t="str">
        <f>"1  "&amp;FGE!G9</f>
        <v>1  16+04.77</v>
      </c>
      <c r="Q131" s="47">
        <f>FGE!G8</f>
        <v>1604.7674999999999</v>
      </c>
      <c r="R131" s="47">
        <f>$Q$7</f>
        <v>6.7916666666666652</v>
      </c>
    </row>
    <row r="133" spans="16:18" x14ac:dyDescent="0.45">
      <c r="P133" s="44" t="str">
        <f>"2  "&amp;FGE!H9</f>
        <v>2  16+15.32</v>
      </c>
      <c r="Q133" s="47">
        <f>FGE!H8</f>
        <v>1615.3150000000001</v>
      </c>
      <c r="R133" s="47">
        <f>$Q$7</f>
        <v>6.7916666666666652</v>
      </c>
    </row>
    <row r="135" spans="16:18" x14ac:dyDescent="0.45">
      <c r="P135" s="44" t="str">
        <f>"3  "&amp;FGE!I9</f>
        <v>3  16+25.86</v>
      </c>
      <c r="Q135" s="47">
        <f>FGE!I8</f>
        <v>1625.8625</v>
      </c>
      <c r="R135" s="47">
        <f>$Q$7</f>
        <v>6.7916666666666652</v>
      </c>
    </row>
    <row r="137" spans="16:18" x14ac:dyDescent="0.45">
      <c r="P137" s="44" t="str">
        <f>"4  "&amp;FGE!J9</f>
        <v>4  16+36.41</v>
      </c>
      <c r="Q137" s="47">
        <f>FGE!J8</f>
        <v>1636.41</v>
      </c>
      <c r="R137" s="47">
        <f>$Q$7</f>
        <v>6.7916666666666652</v>
      </c>
    </row>
    <row r="139" spans="16:18" x14ac:dyDescent="0.45">
      <c r="P139" s="44" t="str">
        <f>"5  "&amp;FGE!K9</f>
        <v>5  16+46.96</v>
      </c>
      <c r="Q139" s="47">
        <f>FGE!K8</f>
        <v>1646.9575</v>
      </c>
      <c r="R139" s="47">
        <f>$Q$7</f>
        <v>6.7916666666666652</v>
      </c>
    </row>
    <row r="141" spans="16:18" x14ac:dyDescent="0.45">
      <c r="P141" s="44" t="str">
        <f>"6  "&amp;FGE!L9</f>
        <v>6  16+57.51</v>
      </c>
      <c r="Q141" s="47">
        <f>FGE!L8</f>
        <v>1657.5049999999999</v>
      </c>
      <c r="R141" s="47">
        <f>$Q$7</f>
        <v>6.7916666666666652</v>
      </c>
    </row>
    <row r="143" spans="16:18" x14ac:dyDescent="0.45">
      <c r="P143" s="44" t="str">
        <f>"7  "&amp;FGE!M9</f>
        <v>7  16+68.05</v>
      </c>
      <c r="Q143" s="47">
        <f>FGE!M8</f>
        <v>1668.0525</v>
      </c>
      <c r="R143" s="47">
        <f>$Q$7</f>
        <v>6.7916666666666652</v>
      </c>
    </row>
    <row r="145" spans="16:18" x14ac:dyDescent="0.45">
      <c r="P145" s="44" t="str">
        <f>"8  "&amp;FGE!N9</f>
        <v>8  16+78.60</v>
      </c>
      <c r="Q145" s="47">
        <f>FGE!N8</f>
        <v>1678.6</v>
      </c>
      <c r="R145" s="47">
        <f>$Q$7</f>
        <v>6.7916666666666652</v>
      </c>
    </row>
    <row r="147" spans="16:18" x14ac:dyDescent="0.45">
      <c r="P147" s="44" t="str">
        <f>"9  "&amp;FGE!O9</f>
        <v>9  16+89.15</v>
      </c>
      <c r="Q147" s="47">
        <f>FGE!O8</f>
        <v>1689.1475</v>
      </c>
      <c r="R147" s="47">
        <f>$Q$7</f>
        <v>6.7916666666666652</v>
      </c>
    </row>
    <row r="149" spans="16:18" x14ac:dyDescent="0.45">
      <c r="P149" s="44" t="str">
        <f>"CL Brg  "&amp;FGE!P9</f>
        <v>CL Brg  16+99.70</v>
      </c>
      <c r="Q149" s="47">
        <f>FGE!P8</f>
        <v>1699.6949999999999</v>
      </c>
      <c r="R149" s="47">
        <f>$Q$7</f>
        <v>6.7916666666666652</v>
      </c>
    </row>
    <row r="151" spans="16:18" x14ac:dyDescent="0.45">
      <c r="P151" s="44" t="str">
        <f>"CL Pier  "&amp;FGE!Q9</f>
        <v>CL Pier  17+00.57</v>
      </c>
      <c r="Q151" s="47">
        <f>FGE!Q8</f>
        <v>1700.57</v>
      </c>
      <c r="R151" s="47">
        <f>$Q$6</f>
        <v>-6.7916666666666652</v>
      </c>
    </row>
    <row r="153" spans="16:18" x14ac:dyDescent="0.45">
      <c r="P153" s="44" t="s">
        <v>802</v>
      </c>
      <c r="Q153" s="47">
        <f>FGE!E8-16</f>
        <v>1577.22</v>
      </c>
      <c r="R153" s="47">
        <f>$Q$6-3.2</f>
        <v>-9.9916666666666654</v>
      </c>
    </row>
    <row r="154" spans="16:18" x14ac:dyDescent="0.45">
      <c r="Q154" s="47">
        <f>FGE!Q8+2</f>
        <v>1702.57</v>
      </c>
      <c r="R154" s="47">
        <f>$Q$7+3.2</f>
        <v>9.9916666666666654</v>
      </c>
    </row>
  </sheetData>
  <mergeCells count="21">
    <mergeCell ref="B41"/>
    <mergeCell ref="B37:M37"/>
    <mergeCell ref="C41:G41"/>
    <mergeCell ref="K39:M39"/>
    <mergeCell ref="C40:G40"/>
    <mergeCell ref="B3:M3"/>
    <mergeCell ref="C38:G38"/>
    <mergeCell ref="H41:J41"/>
    <mergeCell ref="B38"/>
    <mergeCell ref="H40:J40"/>
    <mergeCell ref="H39:J39"/>
    <mergeCell ref="B6:M6"/>
    <mergeCell ref="K38:M38"/>
    <mergeCell ref="B15:M15"/>
    <mergeCell ref="B39"/>
    <mergeCell ref="B36:M36"/>
    <mergeCell ref="C39:G39"/>
    <mergeCell ref="H38:J38"/>
    <mergeCell ref="K41:M41"/>
    <mergeCell ref="B40"/>
    <mergeCell ref="K40:M40"/>
  </mergeCells>
  <conditionalFormatting sqref="B3:M3">
    <cfRule type="expression" dxfId="57" priority="1">
      <formula>Inputs_Edited=0</formula>
    </cfRule>
    <cfRule type="expression" dxfId="56" priority="2">
      <formula>Inputs_Edited&gt;0</formula>
    </cfRule>
  </conditionalFormatting>
  <pageMargins left="0.75" right="0.75" top="1" bottom="1" header="0.5" footer="0.5"/>
  <pageSetup fitToHeight="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2A36"/>
  </sheetPr>
  <dimension ref="A1:W38"/>
  <sheetViews>
    <sheetView showGridLines="0" workbookViewId="0"/>
  </sheetViews>
  <sheetFormatPr defaultRowHeight="14.25" x14ac:dyDescent="0.45"/>
  <cols>
    <col min="1" max="1" width="3" customWidth="1"/>
    <col min="2" max="2" width="12" customWidth="1"/>
    <col min="3" max="23" width="11.46484375" customWidth="1"/>
  </cols>
  <sheetData>
    <row r="1" spans="1:23" ht="17.649999999999999" x14ac:dyDescent="0.5">
      <c r="A1" s="15" t="s">
        <v>44</v>
      </c>
      <c r="P1" s="37" t="s">
        <v>107</v>
      </c>
      <c r="Q1" s="2" t="str">
        <f>""&amp;TB_Project</f>
        <v>D2 I-95 Pedestrian Bridge</v>
      </c>
    </row>
    <row r="2" spans="1:23" x14ac:dyDescent="0.45">
      <c r="A2" s="8" t="s">
        <v>1046</v>
      </c>
      <c r="P2" s="37" t="s">
        <v>115</v>
      </c>
      <c r="Q2" s="2" t="str">
        <f>""&amp;TB_JobNo</f>
        <v/>
      </c>
    </row>
    <row r="3" spans="1:23" x14ac:dyDescent="0.45">
      <c r="P3" s="37" t="s">
        <v>722</v>
      </c>
      <c r="Q3" s="2" t="str">
        <f>TB_CalcBy&amp;"  "&amp;TB_CalcDate</f>
        <v xml:space="preserve">  </v>
      </c>
    </row>
    <row r="4" spans="1:23" x14ac:dyDescent="0.45">
      <c r="P4" s="37" t="s">
        <v>723</v>
      </c>
      <c r="Q4" s="2" t="str">
        <f>TB_CheckBy&amp;"  "&amp;TB_CheckDate</f>
        <v xml:space="preserve">  </v>
      </c>
    </row>
    <row r="6" spans="1:23" x14ac:dyDescent="0.45">
      <c r="A6" s="17" t="s">
        <v>1047</v>
      </c>
      <c r="B6" s="18"/>
      <c r="C6" s="18"/>
      <c r="D6" s="18"/>
      <c r="E6" s="18"/>
      <c r="F6" s="18"/>
      <c r="G6" s="18"/>
      <c r="H6" s="18"/>
      <c r="I6" s="18"/>
      <c r="J6" s="18"/>
      <c r="K6" s="18"/>
      <c r="L6" s="18"/>
      <c r="M6" s="18"/>
      <c r="N6" s="18"/>
      <c r="O6" s="18"/>
      <c r="P6" s="18"/>
      <c r="Q6" s="18"/>
      <c r="R6" s="18"/>
      <c r="S6" s="18"/>
      <c r="T6" s="18"/>
      <c r="U6" s="18"/>
      <c r="V6" s="18"/>
    </row>
    <row r="7" spans="1:23" ht="42" customHeight="1" x14ac:dyDescent="0.45">
      <c r="B7" s="19" t="s">
        <v>1048</v>
      </c>
      <c r="C7" s="19" t="s">
        <v>840</v>
      </c>
      <c r="D7" s="19" t="s">
        <v>1049</v>
      </c>
      <c r="E7" s="19" t="s">
        <v>765</v>
      </c>
      <c r="F7" s="19" t="s">
        <v>1050</v>
      </c>
      <c r="G7" s="19" t="s">
        <v>863</v>
      </c>
      <c r="H7" s="19" t="s">
        <v>1051</v>
      </c>
      <c r="I7" s="19" t="s">
        <v>1052</v>
      </c>
      <c r="J7" s="19" t="s">
        <v>1053</v>
      </c>
      <c r="K7" s="19" t="s">
        <v>1054</v>
      </c>
      <c r="L7" s="19" t="s">
        <v>1055</v>
      </c>
      <c r="M7" s="19" t="s">
        <v>1056</v>
      </c>
      <c r="N7" s="19" t="s">
        <v>1057</v>
      </c>
      <c r="O7" s="19" t="s">
        <v>1058</v>
      </c>
      <c r="P7" s="19" t="s">
        <v>1059</v>
      </c>
      <c r="Q7" s="19" t="s">
        <v>1060</v>
      </c>
      <c r="R7" s="19" t="s">
        <v>1061</v>
      </c>
      <c r="S7" s="19" t="s">
        <v>1062</v>
      </c>
      <c r="T7" s="19" t="s">
        <v>1063</v>
      </c>
      <c r="U7" s="19" t="s">
        <v>1064</v>
      </c>
      <c r="V7" s="19" t="s">
        <v>1065</v>
      </c>
      <c r="W7" s="19" t="s">
        <v>1066</v>
      </c>
    </row>
    <row r="8" spans="1:23" x14ac:dyDescent="0.45">
      <c r="B8" s="11" t="s">
        <v>859</v>
      </c>
      <c r="C8" s="11">
        <v>1</v>
      </c>
      <c r="D8" s="11" t="s">
        <v>1067</v>
      </c>
      <c r="E8" s="11">
        <v>1</v>
      </c>
      <c r="F8" s="11" t="s">
        <v>881</v>
      </c>
      <c r="G8" s="40">
        <f>Bm1_Off</f>
        <v>-4.291666666666667</v>
      </c>
      <c r="H8" s="40">
        <f>Sp1_BrgA</f>
        <v>1594.22</v>
      </c>
      <c r="I8" s="2">
        <f>EB1_PadL</f>
        <v>10</v>
      </c>
      <c r="J8" s="59">
        <f>EB1_Pad</f>
        <v>2.5625</v>
      </c>
      <c r="K8" s="41">
        <f t="shared" ref="K8:K15" si="0">H8-I8/24</f>
        <v>1593.8033333333333</v>
      </c>
      <c r="L8" s="41">
        <f t="shared" ref="L8:L15" si="1">H8+I8/24</f>
        <v>1594.6366666666668</v>
      </c>
      <c r="M8" s="55">
        <f t="shared" ref="M8:N11" si="2">(K8-Sp1_BrgA)/Sp1_Lb</f>
        <v>-3.9503831871698777E-3</v>
      </c>
      <c r="N8" s="55">
        <f t="shared" si="2"/>
        <v>3.9503831871698777E-3</v>
      </c>
      <c r="O8" s="55">
        <f>(H8-Sp1_BrgA)/Sp1_Lb</f>
        <v>0</v>
      </c>
      <c r="P8" s="41">
        <f>(Sp1_ZA+(Sp1_ZB-Sp1_ZA)*(M8)-Sup_Drop+Sp1_C/3*(M8)*(1-(M8))+(Bm1_Raise)/12)</f>
        <v>43.948986987697523</v>
      </c>
      <c r="Q8" s="41">
        <f>(Sp1_ZA+(Sp1_ZB-Sp1_ZA)*(N8)-Sup_Drop+Sp1_C/3*(N8)*(1-(N8))+(Bm1_Raise)/12)</f>
        <v>43.95348081007208</v>
      </c>
      <c r="R8" s="41">
        <f>(Sp1_ZA+(Sp1_ZB-Sp1_ZA)*(O8)-Sup_Drop+Sp1_C/3*(O8)*(1-(O8))+(Bm1_Raise)/12)</f>
        <v>43.951234546996623</v>
      </c>
      <c r="S8" s="49">
        <f t="shared" ref="S8:S15" si="3">(P8+Q8)/2</f>
        <v>43.951233898884801</v>
      </c>
      <c r="T8" s="49">
        <f t="shared" ref="T8:T15" si="4">(Q8-P8)/(I8/12)</f>
        <v>5.3925868494673068E-3</v>
      </c>
      <c r="U8" s="49">
        <f t="shared" ref="U8:U15" si="5">(R8-S8)*12</f>
        <v>7.7773418638571457E-6</v>
      </c>
      <c r="V8" s="49">
        <f t="shared" ref="V8:V15" si="6">S8-J8/12</f>
        <v>43.737692232218137</v>
      </c>
      <c r="W8" s="42" t="str">
        <f>IF(AND(K8&gt;=Sp1_Bm0-0.000000001,L8&lt;=Sp1_Bm1+0.000000001),"PASS","FAIL")</f>
        <v>PASS</v>
      </c>
    </row>
    <row r="9" spans="1:23" x14ac:dyDescent="0.45">
      <c r="B9" s="11" t="s">
        <v>859</v>
      </c>
      <c r="C9" s="11">
        <v>1</v>
      </c>
      <c r="D9" s="11" t="s">
        <v>1067</v>
      </c>
      <c r="E9" s="11">
        <v>2</v>
      </c>
      <c r="F9" s="11" t="s">
        <v>882</v>
      </c>
      <c r="G9" s="40">
        <f>Bm2_Off</f>
        <v>4.291666666666667</v>
      </c>
      <c r="H9" s="40">
        <f>Sp1_BrgA</f>
        <v>1594.22</v>
      </c>
      <c r="I9" s="2">
        <f>EB1_PadL</f>
        <v>10</v>
      </c>
      <c r="J9" s="59">
        <f>EB1_Pad</f>
        <v>2.5625</v>
      </c>
      <c r="K9" s="41">
        <f t="shared" si="0"/>
        <v>1593.8033333333333</v>
      </c>
      <c r="L9" s="41">
        <f t="shared" si="1"/>
        <v>1594.6366666666668</v>
      </c>
      <c r="M9" s="55">
        <f t="shared" si="2"/>
        <v>-3.9503831871698777E-3</v>
      </c>
      <c r="N9" s="55">
        <f t="shared" si="2"/>
        <v>3.9503831871698777E-3</v>
      </c>
      <c r="O9" s="55">
        <f>(H9-Sp1_BrgA)/Sp1_Lb</f>
        <v>0</v>
      </c>
      <c r="P9" s="41">
        <f>(Sp1_ZA+(Sp1_ZB-Sp1_ZA)*(M9)-Sup_Drop+Sp1_C/3*(M9)*(1-(M9))+(Bm2_Raise)/12)</f>
        <v>43.948986987697523</v>
      </c>
      <c r="Q9" s="41">
        <f>(Sp1_ZA+(Sp1_ZB-Sp1_ZA)*(N9)-Sup_Drop+Sp1_C/3*(N9)*(1-(N9))+(Bm2_Raise)/12)</f>
        <v>43.95348081007208</v>
      </c>
      <c r="R9" s="41">
        <f>(Sp1_ZA+(Sp1_ZB-Sp1_ZA)*(O9)-Sup_Drop+Sp1_C/3*(O9)*(1-(O9))+(Bm2_Raise)/12)</f>
        <v>43.951234546996623</v>
      </c>
      <c r="S9" s="49">
        <f t="shared" si="3"/>
        <v>43.951233898884801</v>
      </c>
      <c r="T9" s="49">
        <f t="shared" si="4"/>
        <v>5.3925868494673068E-3</v>
      </c>
      <c r="U9" s="49">
        <f t="shared" si="5"/>
        <v>7.7773418638571457E-6</v>
      </c>
      <c r="V9" s="49">
        <f t="shared" si="6"/>
        <v>43.737692232218137</v>
      </c>
      <c r="W9" s="42" t="str">
        <f>IF(AND(K9&gt;=Sp1_Bm0-0.000000001,L9&lt;=Sp1_Bm1+0.000000001),"PASS","FAIL")</f>
        <v>PASS</v>
      </c>
    </row>
    <row r="10" spans="1:23" x14ac:dyDescent="0.45">
      <c r="B10" s="11" t="s">
        <v>860</v>
      </c>
      <c r="C10" s="11">
        <v>1</v>
      </c>
      <c r="D10" s="11" t="s">
        <v>1068</v>
      </c>
      <c r="E10" s="11">
        <v>1</v>
      </c>
      <c r="F10" s="11" t="s">
        <v>881</v>
      </c>
      <c r="G10" s="40">
        <f>Bm1_Off</f>
        <v>-4.291666666666667</v>
      </c>
      <c r="H10" s="40">
        <f>Sp1_BrgB</f>
        <v>1699.6949999999999</v>
      </c>
      <c r="I10" s="2">
        <f>Pier_PadL</f>
        <v>10</v>
      </c>
      <c r="J10" s="59">
        <f>Pier_Pad</f>
        <v>2.5625</v>
      </c>
      <c r="K10" s="41">
        <f t="shared" si="0"/>
        <v>1699.2783333333332</v>
      </c>
      <c r="L10" s="41">
        <f t="shared" si="1"/>
        <v>1700.1116666666667</v>
      </c>
      <c r="M10" s="55">
        <f t="shared" si="2"/>
        <v>0.99604961681283011</v>
      </c>
      <c r="N10" s="55">
        <f t="shared" si="2"/>
        <v>1.0039503831871699</v>
      </c>
      <c r="O10" s="55">
        <f>(H10-Sp1_BrgA)/Sp1_Lb</f>
        <v>1</v>
      </c>
      <c r="P10" s="41">
        <f>(Sp1_ZA+(Sp1_ZB-Sp1_ZA)*(M10)-Sup_Drop+Sp1_C/3*(M10)*(1-(M10))+(Bm1_Raise)/12)</f>
        <v>44.476567297030634</v>
      </c>
      <c r="Q10" s="41">
        <f>(Sp1_ZA+(Sp1_ZB-Sp1_ZA)*(N10)-Sup_Drop+Sp1_C/3*(N10)*(1-(N10))+(Bm1_Raise)/12)</f>
        <v>44.480404867296961</v>
      </c>
      <c r="R10" s="41">
        <f>(Sp1_ZA+(Sp1_ZB-Sp1_ZA)*(O10)-Sup_Drop+Sp1_C/3*(O10)*(1-(O10))+(Bm1_Raise)/12)</f>
        <v>44.47848673027562</v>
      </c>
      <c r="S10" s="49">
        <f t="shared" si="3"/>
        <v>44.478486082163798</v>
      </c>
      <c r="T10" s="49">
        <f t="shared" si="4"/>
        <v>4.6050843195928337E-3</v>
      </c>
      <c r="U10" s="49">
        <f t="shared" si="5"/>
        <v>7.7773418638571457E-6</v>
      </c>
      <c r="V10" s="49">
        <f t="shared" si="6"/>
        <v>44.264944415497133</v>
      </c>
      <c r="W10" s="42" t="str">
        <f>IF(AND(K10&gt;=Sp1_Bm0-0.000000001,L10&lt;=Sp1_Bm1+0.000000001),"PASS","FAIL")</f>
        <v>PASS</v>
      </c>
    </row>
    <row r="11" spans="1:23" x14ac:dyDescent="0.45">
      <c r="B11" s="11" t="s">
        <v>860</v>
      </c>
      <c r="C11" s="11">
        <v>1</v>
      </c>
      <c r="D11" s="11" t="s">
        <v>1068</v>
      </c>
      <c r="E11" s="11">
        <v>2</v>
      </c>
      <c r="F11" s="11" t="s">
        <v>882</v>
      </c>
      <c r="G11" s="40">
        <f>Bm2_Off</f>
        <v>4.291666666666667</v>
      </c>
      <c r="H11" s="40">
        <f>Sp1_BrgB</f>
        <v>1699.6949999999999</v>
      </c>
      <c r="I11" s="2">
        <f>Pier_PadL</f>
        <v>10</v>
      </c>
      <c r="J11" s="59">
        <f>Pier_Pad</f>
        <v>2.5625</v>
      </c>
      <c r="K11" s="41">
        <f t="shared" si="0"/>
        <v>1699.2783333333332</v>
      </c>
      <c r="L11" s="41">
        <f t="shared" si="1"/>
        <v>1700.1116666666667</v>
      </c>
      <c r="M11" s="55">
        <f t="shared" si="2"/>
        <v>0.99604961681283011</v>
      </c>
      <c r="N11" s="55">
        <f t="shared" si="2"/>
        <v>1.0039503831871699</v>
      </c>
      <c r="O11" s="55">
        <f>(H11-Sp1_BrgA)/Sp1_Lb</f>
        <v>1</v>
      </c>
      <c r="P11" s="41">
        <f>(Sp1_ZA+(Sp1_ZB-Sp1_ZA)*(M11)-Sup_Drop+Sp1_C/3*(M11)*(1-(M11))+(Bm2_Raise)/12)</f>
        <v>44.476567297030634</v>
      </c>
      <c r="Q11" s="41">
        <f>(Sp1_ZA+(Sp1_ZB-Sp1_ZA)*(N11)-Sup_Drop+Sp1_C/3*(N11)*(1-(N11))+(Bm2_Raise)/12)</f>
        <v>44.480404867296961</v>
      </c>
      <c r="R11" s="41">
        <f>(Sp1_ZA+(Sp1_ZB-Sp1_ZA)*(O11)-Sup_Drop+Sp1_C/3*(O11)*(1-(O11))+(Bm2_Raise)/12)</f>
        <v>44.47848673027562</v>
      </c>
      <c r="S11" s="49">
        <f t="shared" si="3"/>
        <v>44.478486082163798</v>
      </c>
      <c r="T11" s="49">
        <f t="shared" si="4"/>
        <v>4.6050843195928337E-3</v>
      </c>
      <c r="U11" s="49">
        <f t="shared" si="5"/>
        <v>7.7773418638571457E-6</v>
      </c>
      <c r="V11" s="49">
        <f t="shared" si="6"/>
        <v>44.264944415497133</v>
      </c>
      <c r="W11" s="42" t="str">
        <f>IF(AND(K11&gt;=Sp1_Bm0-0.000000001,L11&lt;=Sp1_Bm1+0.000000001),"PASS","FAIL")</f>
        <v>PASS</v>
      </c>
    </row>
    <row r="12" spans="1:23" x14ac:dyDescent="0.45">
      <c r="B12" s="11" t="s">
        <v>860</v>
      </c>
      <c r="C12" s="11">
        <v>2</v>
      </c>
      <c r="D12" s="11" t="s">
        <v>1067</v>
      </c>
      <c r="E12" s="11">
        <v>1</v>
      </c>
      <c r="F12" s="11" t="s">
        <v>883</v>
      </c>
      <c r="G12" s="40">
        <f>Bm1_Off</f>
        <v>-4.291666666666667</v>
      </c>
      <c r="H12" s="40">
        <f>Sp2_BrgA</f>
        <v>1701.4449999999999</v>
      </c>
      <c r="I12" s="2">
        <f>Pier_PadL</f>
        <v>10</v>
      </c>
      <c r="J12" s="59">
        <f>Pier_Pad</f>
        <v>2.5625</v>
      </c>
      <c r="K12" s="41">
        <f t="shared" si="0"/>
        <v>1701.0283333333332</v>
      </c>
      <c r="L12" s="41">
        <f t="shared" si="1"/>
        <v>1701.8616666666667</v>
      </c>
      <c r="M12" s="55">
        <f t="shared" ref="M12:N15" si="7">(K12-Sp2_BrgA)/Sp2_Lb</f>
        <v>-4.0443258108880569E-3</v>
      </c>
      <c r="N12" s="55">
        <f t="shared" si="7"/>
        <v>4.0443258108880569E-3</v>
      </c>
      <c r="O12" s="55">
        <f>(H12-Sp2_BrgA)/Sp2_Lb</f>
        <v>0</v>
      </c>
      <c r="P12" s="41">
        <f>(Sp2_ZA+(Sp2_ZB-Sp2_ZA)*(M12)-Sup_Drop+Sp2_C/3*(M12)*(1-(M12))+(Bm1_Raise)/12)</f>
        <v>44.479800797534452</v>
      </c>
      <c r="Q12" s="41">
        <f>(Sp2_ZA+(Sp2_ZB-Sp2_ZA)*(N12)-Sup_Drop+Sp2_C/3*(N12)*(1-(N12))+(Bm1_Raise)/12)</f>
        <v>44.477162355316722</v>
      </c>
      <c r="R12" s="41">
        <f>(Sp2_ZA+(Sp2_ZB-Sp2_ZA)*(O12)-Sup_Drop+Sp2_C/3*(O12)*(1-(O12))+(Bm1_Raise)/12)</f>
        <v>44.478484668752408</v>
      </c>
      <c r="S12" s="49">
        <f t="shared" si="3"/>
        <v>44.478481576425587</v>
      </c>
      <c r="T12" s="49">
        <f t="shared" si="4"/>
        <v>-3.1661306612761563E-3</v>
      </c>
      <c r="U12" s="49">
        <f t="shared" si="5"/>
        <v>3.710792185529499E-5</v>
      </c>
      <c r="V12" s="49">
        <f t="shared" si="6"/>
        <v>44.264939909758922</v>
      </c>
      <c r="W12" s="42" t="str">
        <f>IF(AND(K12&gt;=Sp2_Bm0-0.000000001,L12&lt;=Sp2_Bm1+0.000000001),"PASS","FAIL")</f>
        <v>PASS</v>
      </c>
    </row>
    <row r="13" spans="1:23" x14ac:dyDescent="0.45">
      <c r="B13" s="11" t="s">
        <v>860</v>
      </c>
      <c r="C13" s="11">
        <v>2</v>
      </c>
      <c r="D13" s="11" t="s">
        <v>1067</v>
      </c>
      <c r="E13" s="11">
        <v>2</v>
      </c>
      <c r="F13" s="11" t="s">
        <v>884</v>
      </c>
      <c r="G13" s="40">
        <f>Bm2_Off</f>
        <v>4.291666666666667</v>
      </c>
      <c r="H13" s="40">
        <f>Sp2_BrgA</f>
        <v>1701.4449999999999</v>
      </c>
      <c r="I13" s="2">
        <f>Pier_PadL</f>
        <v>10</v>
      </c>
      <c r="J13" s="59">
        <f>Pier_Pad</f>
        <v>2.5625</v>
      </c>
      <c r="K13" s="41">
        <f t="shared" si="0"/>
        <v>1701.0283333333332</v>
      </c>
      <c r="L13" s="41">
        <f t="shared" si="1"/>
        <v>1701.8616666666667</v>
      </c>
      <c r="M13" s="55">
        <f t="shared" si="7"/>
        <v>-4.0443258108880569E-3</v>
      </c>
      <c r="N13" s="55">
        <f t="shared" si="7"/>
        <v>4.0443258108880569E-3</v>
      </c>
      <c r="O13" s="55">
        <f>(H13-Sp2_BrgA)/Sp2_Lb</f>
        <v>0</v>
      </c>
      <c r="P13" s="41">
        <f>(Sp2_ZA+(Sp2_ZB-Sp2_ZA)*(M13)-Sup_Drop+Sp2_C/3*(M13)*(1-(M13))+(Bm2_Raise)/12)</f>
        <v>44.479800797534452</v>
      </c>
      <c r="Q13" s="41">
        <f>(Sp2_ZA+(Sp2_ZB-Sp2_ZA)*(N13)-Sup_Drop+Sp2_C/3*(N13)*(1-(N13))+(Bm2_Raise)/12)</f>
        <v>44.477162355316722</v>
      </c>
      <c r="R13" s="41">
        <f>(Sp2_ZA+(Sp2_ZB-Sp2_ZA)*(O13)-Sup_Drop+Sp2_C/3*(O13)*(1-(O13))+(Bm2_Raise)/12)</f>
        <v>44.478484668752408</v>
      </c>
      <c r="S13" s="49">
        <f t="shared" si="3"/>
        <v>44.478481576425587</v>
      </c>
      <c r="T13" s="49">
        <f t="shared" si="4"/>
        <v>-3.1661306612761563E-3</v>
      </c>
      <c r="U13" s="49">
        <f t="shared" si="5"/>
        <v>3.710792185529499E-5</v>
      </c>
      <c r="V13" s="49">
        <f t="shared" si="6"/>
        <v>44.264939909758922</v>
      </c>
      <c r="W13" s="42" t="str">
        <f>IF(AND(K13&gt;=Sp2_Bm0-0.000000001,L13&lt;=Sp2_Bm1+0.000000001),"PASS","FAIL")</f>
        <v>PASS</v>
      </c>
    </row>
    <row r="14" spans="1:23" x14ac:dyDescent="0.45">
      <c r="B14" s="11" t="s">
        <v>861</v>
      </c>
      <c r="C14" s="11">
        <v>2</v>
      </c>
      <c r="D14" s="11" t="s">
        <v>1068</v>
      </c>
      <c r="E14" s="11">
        <v>1</v>
      </c>
      <c r="F14" s="11" t="s">
        <v>883</v>
      </c>
      <c r="G14" s="40">
        <f>Bm1_Off</f>
        <v>-4.291666666666667</v>
      </c>
      <c r="H14" s="40">
        <f>Sp2_BrgB</f>
        <v>1804.47</v>
      </c>
      <c r="I14" s="2">
        <f>EB2_PadL</f>
        <v>10</v>
      </c>
      <c r="J14" s="59">
        <f>EB2_Pad</f>
        <v>2.5625</v>
      </c>
      <c r="K14" s="41">
        <f t="shared" si="0"/>
        <v>1804.0533333333333</v>
      </c>
      <c r="L14" s="41">
        <f t="shared" si="1"/>
        <v>1804.8866666666668</v>
      </c>
      <c r="M14" s="55">
        <f t="shared" si="7"/>
        <v>0.99595567418911191</v>
      </c>
      <c r="N14" s="55">
        <f t="shared" si="7"/>
        <v>1.004044325810888</v>
      </c>
      <c r="O14" s="55">
        <f>(H14-Sp2_BrgA)/Sp2_Lb</f>
        <v>1</v>
      </c>
      <c r="P14" s="41">
        <f>(Sp2_ZA+(Sp2_ZB-Sp2_ZA)*(M14)-Sup_Drop+Sp2_C/3*(M14)*(1-(M14))+(Bm1_Raise)/12)</f>
        <v>43.966082249263344</v>
      </c>
      <c r="Q14" s="41">
        <f>(Sp2_ZA+(Sp2_ZB-Sp2_ZA)*(N14)-Sup_Drop+Sp2_C/3*(N14)*(1-(N14))+(Bm1_Raise)/12)</f>
        <v>43.960385372129309</v>
      </c>
      <c r="R14" s="41">
        <f>(Sp2_ZA+(Sp2_ZB-Sp2_ZA)*(O14)-Sup_Drop+Sp2_C/3*(O14)*(1-(O14))+(Bm1_Raise)/12)</f>
        <v>43.963236903023144</v>
      </c>
      <c r="S14" s="49">
        <f t="shared" si="3"/>
        <v>43.963233810696323</v>
      </c>
      <c r="T14" s="49">
        <f t="shared" si="4"/>
        <v>-6.8362525608421263E-3</v>
      </c>
      <c r="U14" s="49">
        <f t="shared" si="5"/>
        <v>3.710792185529499E-5</v>
      </c>
      <c r="V14" s="49">
        <f t="shared" si="6"/>
        <v>43.749692144029659</v>
      </c>
      <c r="W14" s="42" t="str">
        <f>IF(AND(K14&gt;=Sp2_Bm0-0.000000001,L14&lt;=Sp2_Bm1+0.000000001),"PASS","FAIL")</f>
        <v>PASS</v>
      </c>
    </row>
    <row r="15" spans="1:23" x14ac:dyDescent="0.45">
      <c r="B15" s="11" t="s">
        <v>861</v>
      </c>
      <c r="C15" s="11">
        <v>2</v>
      </c>
      <c r="D15" s="11" t="s">
        <v>1068</v>
      </c>
      <c r="E15" s="11">
        <v>2</v>
      </c>
      <c r="F15" s="11" t="s">
        <v>884</v>
      </c>
      <c r="G15" s="40">
        <f>Bm2_Off</f>
        <v>4.291666666666667</v>
      </c>
      <c r="H15" s="40">
        <f>Sp2_BrgB</f>
        <v>1804.47</v>
      </c>
      <c r="I15" s="2">
        <f>EB2_PadL</f>
        <v>10</v>
      </c>
      <c r="J15" s="59">
        <f>EB2_Pad</f>
        <v>2.5625</v>
      </c>
      <c r="K15" s="41">
        <f t="shared" si="0"/>
        <v>1804.0533333333333</v>
      </c>
      <c r="L15" s="41">
        <f t="shared" si="1"/>
        <v>1804.8866666666668</v>
      </c>
      <c r="M15" s="55">
        <f t="shared" si="7"/>
        <v>0.99595567418911191</v>
      </c>
      <c r="N15" s="55">
        <f t="shared" si="7"/>
        <v>1.004044325810888</v>
      </c>
      <c r="O15" s="55">
        <f>(H15-Sp2_BrgA)/Sp2_Lb</f>
        <v>1</v>
      </c>
      <c r="P15" s="41">
        <f>(Sp2_ZA+(Sp2_ZB-Sp2_ZA)*(M15)-Sup_Drop+Sp2_C/3*(M15)*(1-(M15))+(Bm2_Raise)/12)</f>
        <v>43.966082249263344</v>
      </c>
      <c r="Q15" s="41">
        <f>(Sp2_ZA+(Sp2_ZB-Sp2_ZA)*(N15)-Sup_Drop+Sp2_C/3*(N15)*(1-(N15))+(Bm2_Raise)/12)</f>
        <v>43.960385372129309</v>
      </c>
      <c r="R15" s="41">
        <f>(Sp2_ZA+(Sp2_ZB-Sp2_ZA)*(O15)-Sup_Drop+Sp2_C/3*(O15)*(1-(O15))+(Bm2_Raise)/12)</f>
        <v>43.963236903023144</v>
      </c>
      <c r="S15" s="49">
        <f t="shared" si="3"/>
        <v>43.963233810696323</v>
      </c>
      <c r="T15" s="49">
        <f t="shared" si="4"/>
        <v>-6.8362525608421263E-3</v>
      </c>
      <c r="U15" s="49">
        <f t="shared" si="5"/>
        <v>3.710792185529499E-5</v>
      </c>
      <c r="V15" s="49">
        <f t="shared" si="6"/>
        <v>43.749692144029659</v>
      </c>
      <c r="W15" s="42" t="str">
        <f>IF(AND(K15&gt;=Sp2_Bm0-0.000000001,L15&lt;=Sp2_Bm1+0.000000001),"PASS","FAIL")</f>
        <v>PASS</v>
      </c>
    </row>
    <row r="17" spans="1:22" x14ac:dyDescent="0.45">
      <c r="A17" s="17" t="s">
        <v>1069</v>
      </c>
      <c r="B17" s="18"/>
      <c r="C17" s="18"/>
      <c r="D17" s="18"/>
      <c r="E17" s="18"/>
      <c r="F17" s="18"/>
      <c r="G17" s="18"/>
      <c r="H17" s="18"/>
      <c r="I17" s="18"/>
      <c r="J17" s="18"/>
      <c r="K17" s="18"/>
      <c r="L17" s="18"/>
      <c r="M17" s="18"/>
      <c r="N17" s="18"/>
      <c r="O17" s="18"/>
      <c r="P17" s="18"/>
      <c r="Q17" s="18"/>
      <c r="R17" s="18"/>
      <c r="S17" s="18"/>
      <c r="T17" s="18"/>
      <c r="U17" s="18"/>
      <c r="V17" s="18"/>
    </row>
    <row r="18" spans="1:22" ht="32" customHeight="1" x14ac:dyDescent="0.45">
      <c r="B18" s="19" t="s">
        <v>1048</v>
      </c>
      <c r="C18" s="19" t="s">
        <v>1050</v>
      </c>
      <c r="D18" s="19" t="s">
        <v>1070</v>
      </c>
      <c r="E18" s="19" t="s">
        <v>1071</v>
      </c>
      <c r="F18" s="19" t="s">
        <v>1051</v>
      </c>
      <c r="G18" s="19" t="s">
        <v>1072</v>
      </c>
      <c r="H18" s="19" t="s">
        <v>1073</v>
      </c>
      <c r="I18" s="19" t="s">
        <v>1074</v>
      </c>
      <c r="J18" s="19" t="s">
        <v>1075</v>
      </c>
      <c r="K18" s="19" t="s">
        <v>1076</v>
      </c>
      <c r="L18" s="19" t="s">
        <v>1077</v>
      </c>
      <c r="M18" s="19" t="s">
        <v>1078</v>
      </c>
    </row>
    <row r="19" spans="1:22" x14ac:dyDescent="0.45">
      <c r="B19" s="11" t="s">
        <v>859</v>
      </c>
      <c r="C19" s="11" t="s">
        <v>881</v>
      </c>
      <c r="D19" s="40">
        <f>Sp1_Sta0</f>
        <v>1593.22</v>
      </c>
      <c r="E19" s="41">
        <f>Sp1_Sta0+EB1_PedL/12</f>
        <v>1595.72</v>
      </c>
      <c r="F19" s="41">
        <f>H8</f>
        <v>1594.22</v>
      </c>
      <c r="G19" s="49">
        <f>V8</f>
        <v>43.737692232218137</v>
      </c>
      <c r="H19" s="49">
        <f>T8</f>
        <v>5.3925868494673068E-3</v>
      </c>
      <c r="I19" s="41">
        <f>G19+H19*(D19-F19)</f>
        <v>43.73229964536867</v>
      </c>
      <c r="J19" s="41">
        <f>G19+H19*(E19-F19)</f>
        <v>43.745781112492338</v>
      </c>
      <c r="K19" s="41">
        <f t="shared" ref="K19:L22" si="8">I19</f>
        <v>43.73229964536867</v>
      </c>
      <c r="L19" s="41">
        <f t="shared" si="8"/>
        <v>43.745781112492338</v>
      </c>
      <c r="M19" s="42" t="str">
        <f>IF(AND(K8&gt;=MIN(D19,E19)-0.000000001,L8&lt;=MAX(D19,E19)+0.000000001),"PASS","FAIL")</f>
        <v>PASS</v>
      </c>
    </row>
    <row r="20" spans="1:22" x14ac:dyDescent="0.45">
      <c r="B20" s="11" t="s">
        <v>859</v>
      </c>
      <c r="C20" s="11" t="s">
        <v>882</v>
      </c>
      <c r="D20" s="40">
        <f>Sp1_Sta0</f>
        <v>1593.22</v>
      </c>
      <c r="E20" s="41">
        <f>Sp1_Sta0+EB1_PedL/12</f>
        <v>1595.72</v>
      </c>
      <c r="F20" s="41">
        <f>H9</f>
        <v>1594.22</v>
      </c>
      <c r="G20" s="49">
        <f>V9</f>
        <v>43.737692232218137</v>
      </c>
      <c r="H20" s="49">
        <f>T9</f>
        <v>5.3925868494673068E-3</v>
      </c>
      <c r="I20" s="41">
        <f>G20+H20*(D20-F20)</f>
        <v>43.73229964536867</v>
      </c>
      <c r="J20" s="41">
        <f>G20+H20*(E20-F20)</f>
        <v>43.745781112492338</v>
      </c>
      <c r="K20" s="41">
        <f t="shared" si="8"/>
        <v>43.73229964536867</v>
      </c>
      <c r="L20" s="41">
        <f t="shared" si="8"/>
        <v>43.745781112492338</v>
      </c>
      <c r="M20" s="42" t="str">
        <f>IF(AND(K9&gt;=MIN(D20,E20)-0.000000001,L9&lt;=MAX(D20,E20)+0.000000001),"PASS","FAIL")</f>
        <v>PASS</v>
      </c>
    </row>
    <row r="21" spans="1:22" x14ac:dyDescent="0.45">
      <c r="B21" s="11" t="s">
        <v>861</v>
      </c>
      <c r="C21" s="11" t="s">
        <v>883</v>
      </c>
      <c r="D21" s="40">
        <f>Sp2_Sta1</f>
        <v>1805.47</v>
      </c>
      <c r="E21" s="41">
        <f>Sp2_Sta1-EB2_PedL/12</f>
        <v>1802.97</v>
      </c>
      <c r="F21" s="41">
        <f>H14</f>
        <v>1804.47</v>
      </c>
      <c r="G21" s="49">
        <f>V14</f>
        <v>43.749692144029659</v>
      </c>
      <c r="H21" s="49">
        <f>T14</f>
        <v>-6.8362525608421263E-3</v>
      </c>
      <c r="I21" s="41">
        <f>G21+H21*(D21-F21)</f>
        <v>43.742855891468814</v>
      </c>
      <c r="J21" s="41">
        <f>G21+H21*(E21-F21)</f>
        <v>43.759946522870919</v>
      </c>
      <c r="K21" s="41">
        <f t="shared" si="8"/>
        <v>43.742855891468814</v>
      </c>
      <c r="L21" s="41">
        <f t="shared" si="8"/>
        <v>43.759946522870919</v>
      </c>
      <c r="M21" s="42" t="str">
        <f>IF(AND(K14&gt;=MIN(D21,E21)-0.000000001,L14&lt;=MAX(D21,E21)+0.000000001),"PASS","FAIL")</f>
        <v>PASS</v>
      </c>
    </row>
    <row r="22" spans="1:22" x14ac:dyDescent="0.45">
      <c r="B22" s="11" t="s">
        <v>861</v>
      </c>
      <c r="C22" s="11" t="s">
        <v>884</v>
      </c>
      <c r="D22" s="40">
        <f>Sp2_Sta1</f>
        <v>1805.47</v>
      </c>
      <c r="E22" s="41">
        <f>Sp2_Sta1-EB2_PedL/12</f>
        <v>1802.97</v>
      </c>
      <c r="F22" s="41">
        <f>H15</f>
        <v>1804.47</v>
      </c>
      <c r="G22" s="49">
        <f>V15</f>
        <v>43.749692144029659</v>
      </c>
      <c r="H22" s="49">
        <f>T15</f>
        <v>-6.8362525608421263E-3</v>
      </c>
      <c r="I22" s="41">
        <f>G22+H22*(D22-F22)</f>
        <v>43.742855891468814</v>
      </c>
      <c r="J22" s="41">
        <f>G22+H22*(E22-F22)</f>
        <v>43.759946522870919</v>
      </c>
      <c r="K22" s="41">
        <f t="shared" si="8"/>
        <v>43.742855891468814</v>
      </c>
      <c r="L22" s="41">
        <f t="shared" si="8"/>
        <v>43.759946522870919</v>
      </c>
      <c r="M22" s="42" t="str">
        <f>IF(AND(K15&gt;=MIN(D22,E22)-0.000000001,L15&lt;=MAX(D22,E22)+0.000000001),"PASS","FAIL")</f>
        <v>PASS</v>
      </c>
    </row>
    <row r="24" spans="1:22" x14ac:dyDescent="0.45">
      <c r="A24" s="17" t="s">
        <v>1079</v>
      </c>
      <c r="B24" s="18"/>
      <c r="C24" s="18"/>
      <c r="D24" s="18"/>
      <c r="E24" s="18"/>
      <c r="F24" s="18"/>
      <c r="G24" s="18"/>
      <c r="H24" s="18"/>
      <c r="I24" s="18"/>
      <c r="J24" s="18"/>
      <c r="K24" s="18"/>
      <c r="L24" s="18"/>
      <c r="M24" s="18"/>
      <c r="N24" s="18"/>
      <c r="O24" s="18"/>
      <c r="P24" s="18"/>
      <c r="Q24" s="18"/>
      <c r="R24" s="18"/>
      <c r="S24" s="18"/>
      <c r="T24" s="18"/>
      <c r="U24" s="18"/>
      <c r="V24" s="18"/>
    </row>
    <row r="25" spans="1:22" ht="32" customHeight="1" x14ac:dyDescent="0.45">
      <c r="B25" s="19" t="s">
        <v>765</v>
      </c>
      <c r="C25" s="19" t="s">
        <v>1080</v>
      </c>
      <c r="D25" s="19" t="s">
        <v>1081</v>
      </c>
      <c r="E25" s="19" t="s">
        <v>1082</v>
      </c>
      <c r="F25" s="19" t="s">
        <v>1083</v>
      </c>
      <c r="G25" s="19" t="s">
        <v>1084</v>
      </c>
      <c r="H25" s="19" t="s">
        <v>1085</v>
      </c>
      <c r="I25" s="19" t="s">
        <v>1086</v>
      </c>
      <c r="J25" s="19" t="s">
        <v>1087</v>
      </c>
      <c r="K25" s="19" t="s">
        <v>1088</v>
      </c>
      <c r="L25" s="19" t="s">
        <v>1089</v>
      </c>
    </row>
    <row r="26" spans="1:22" x14ac:dyDescent="0.45">
      <c r="B26" s="11" t="s">
        <v>1090</v>
      </c>
      <c r="C26" s="41">
        <f>Pier_Sta-Pier_PedL/24</f>
        <v>1698.57</v>
      </c>
      <c r="D26" s="41">
        <f>L10</f>
        <v>1700.1116666666667</v>
      </c>
      <c r="E26" s="41">
        <f>K12</f>
        <v>1701.0283333333332</v>
      </c>
      <c r="F26" s="41">
        <f>Pier_Sta+Pier_PedL/24</f>
        <v>1702.57</v>
      </c>
      <c r="G26" s="41">
        <f>V10+T10*(C26-H10)</f>
        <v>44.259763695637588</v>
      </c>
      <c r="H26" s="41">
        <f>V10+T10*(D26-H10)</f>
        <v>44.266863200630297</v>
      </c>
      <c r="I26" s="41">
        <f>V12+T12*(E26-H12)</f>
        <v>44.266259130867788</v>
      </c>
      <c r="J26" s="41">
        <f>V12+T12*(F26-H12)</f>
        <v>44.261378012764986</v>
      </c>
      <c r="K26" s="41">
        <f>H26+(I26-H26)*(Pier_Sta-D26)/(E26-D26)</f>
        <v>44.266561165749039</v>
      </c>
      <c r="L26" s="42" t="str">
        <f>IF(AND(C26&lt;D26,D26&lt;E26,E26&lt;F26,K10&gt;=C26-0.000000001,L12&lt;=F26+0.000000001),"PASS","FAIL")</f>
        <v>PASS</v>
      </c>
    </row>
    <row r="27" spans="1:22" x14ac:dyDescent="0.45">
      <c r="B27" s="11" t="s">
        <v>1091</v>
      </c>
      <c r="C27" s="41">
        <f>Pier_Sta-Pier_PedL/24</f>
        <v>1698.57</v>
      </c>
      <c r="D27" s="41">
        <f>L11</f>
        <v>1700.1116666666667</v>
      </c>
      <c r="E27" s="41">
        <f>K13</f>
        <v>1701.0283333333332</v>
      </c>
      <c r="F27" s="41">
        <f>Pier_Sta+Pier_PedL/24</f>
        <v>1702.57</v>
      </c>
      <c r="G27" s="41">
        <f>V11+T11*(C27-H11)</f>
        <v>44.259763695637588</v>
      </c>
      <c r="H27" s="41">
        <f>V11+T11*(D27-H11)</f>
        <v>44.266863200630297</v>
      </c>
      <c r="I27" s="41">
        <f>V13+T13*(E27-H13)</f>
        <v>44.266259130867788</v>
      </c>
      <c r="J27" s="41">
        <f>V13+T13*(F27-H13)</f>
        <v>44.261378012764986</v>
      </c>
      <c r="K27" s="41">
        <f>H27+(I27-H27)*(Pier_Sta-D27)/(E27-D27)</f>
        <v>44.266561165749039</v>
      </c>
      <c r="L27" s="42" t="str">
        <f>IF(AND(C27&lt;D27,D27&lt;E27,E27&lt;F27,K11&gt;=C27-0.000000001,L13&lt;=F27+0.000000001),"PASS","FAIL")</f>
        <v>PASS</v>
      </c>
    </row>
    <row r="29" spans="1:22" x14ac:dyDescent="0.45">
      <c r="A29" s="17" t="s">
        <v>1092</v>
      </c>
      <c r="B29" s="18"/>
      <c r="C29" s="18"/>
      <c r="D29" s="18"/>
      <c r="E29" s="18"/>
      <c r="F29" s="18"/>
      <c r="G29" s="18"/>
      <c r="H29" s="18"/>
      <c r="I29" s="18"/>
      <c r="J29" s="18"/>
      <c r="K29" s="18"/>
      <c r="L29" s="18"/>
      <c r="M29" s="18"/>
      <c r="N29" s="18"/>
      <c r="O29" s="18"/>
      <c r="P29" s="18"/>
      <c r="Q29" s="18"/>
      <c r="R29" s="18"/>
      <c r="S29" s="18"/>
      <c r="T29" s="18"/>
      <c r="U29" s="18"/>
      <c r="V29" s="18"/>
    </row>
    <row r="30" spans="1:22" ht="32" customHeight="1" x14ac:dyDescent="0.45">
      <c r="B30" s="19" t="s">
        <v>1093</v>
      </c>
      <c r="C30" s="19" t="s">
        <v>840</v>
      </c>
      <c r="D30" s="19" t="s">
        <v>765</v>
      </c>
      <c r="E30" s="19" t="s">
        <v>678</v>
      </c>
      <c r="F30" s="19" t="s">
        <v>846</v>
      </c>
      <c r="G30" s="19" t="s">
        <v>1094</v>
      </c>
      <c r="H30" s="19" t="s">
        <v>1095</v>
      </c>
      <c r="I30" s="19" t="s">
        <v>1096</v>
      </c>
      <c r="J30" s="19" t="s">
        <v>1097</v>
      </c>
      <c r="K30" s="19" t="s">
        <v>1098</v>
      </c>
      <c r="L30" s="19" t="s">
        <v>1099</v>
      </c>
      <c r="M30" s="19" t="s">
        <v>1100</v>
      </c>
    </row>
    <row r="31" spans="1:22" x14ac:dyDescent="0.45">
      <c r="B31" s="11" t="s">
        <v>1101</v>
      </c>
      <c r="C31" s="11">
        <v>1</v>
      </c>
      <c r="D31" s="11">
        <v>1</v>
      </c>
      <c r="E31" s="2" t="str">
        <f t="shared" ref="E31:E38" si="9">Des_PadType</f>
        <v>F</v>
      </c>
      <c r="F31" s="11">
        <v>1</v>
      </c>
      <c r="G31" s="2">
        <f t="shared" ref="G31:G38" si="10">Des_PlanCase</f>
        <v>1</v>
      </c>
      <c r="H31" s="51">
        <f t="shared" ref="H31:H38" si="11">T8*100</f>
        <v>0.53925868494673068</v>
      </c>
      <c r="I31" s="60" t="str">
        <f t="shared" ref="I31:I38" si="12">IF(ABS(T8)&gt;Des_BevelLimit,"YES","NO")</f>
        <v>NO</v>
      </c>
      <c r="J31" s="11" t="str">
        <f t="shared" ref="J31:J38" si="13">IF(I31="YES",IF(OR(E31="D",E31="E",E31="F",E31="G",E31="H",E31="J",E31="AA",E31="AB"),12,IF(E31="K",13.5,"N/A")),"N/A")</f>
        <v>N/A</v>
      </c>
      <c r="K31" s="11" t="str">
        <f t="shared" ref="K31:K38" si="14">IF(I31="NO","N/A",IF(T8&gt;0,0.5+J31*T8,0.5))</f>
        <v>N/A</v>
      </c>
      <c r="L31" s="11" t="str">
        <f t="shared" ref="L31:L38" si="15">IF(I31="NO","N/A",IF(T8&lt;0,0.5-J31*T8,0.5))</f>
        <v>N/A</v>
      </c>
      <c r="M31" s="42" t="str">
        <f>IF(AND(ABS(INDEX(Pad_Table,MATCH(E31,INDEX(Pad_Table,0,1),0),2)-EB1_PadL)&lt;0.000000001,ABS(INDEX(Pad_Table,MATCH(E31,INDEX(Pad_Table,0,1),0),3)-EB1_PadW)&lt;0.000000001,ABS(INDEX(Pad_Table,MATCH(E31,INDEX(Pad_Table,0,1),0),4)-EB1_Pad)&lt;0.000000001),"PASS","FAIL")</f>
        <v>PASS</v>
      </c>
    </row>
    <row r="32" spans="1:22" x14ac:dyDescent="0.45">
      <c r="B32" s="11" t="s">
        <v>1102</v>
      </c>
      <c r="C32" s="11">
        <v>1</v>
      </c>
      <c r="D32" s="11">
        <v>2</v>
      </c>
      <c r="E32" s="2" t="str">
        <f t="shared" si="9"/>
        <v>F</v>
      </c>
      <c r="F32" s="11">
        <v>1</v>
      </c>
      <c r="G32" s="2">
        <f t="shared" si="10"/>
        <v>1</v>
      </c>
      <c r="H32" s="51">
        <f t="shared" si="11"/>
        <v>0.53925868494673068</v>
      </c>
      <c r="I32" s="60" t="str">
        <f t="shared" si="12"/>
        <v>NO</v>
      </c>
      <c r="J32" s="11" t="str">
        <f t="shared" si="13"/>
        <v>N/A</v>
      </c>
      <c r="K32" s="11" t="str">
        <f t="shared" si="14"/>
        <v>N/A</v>
      </c>
      <c r="L32" s="11" t="str">
        <f t="shared" si="15"/>
        <v>N/A</v>
      </c>
      <c r="M32" s="42" t="str">
        <f>IF(AND(ABS(INDEX(Pad_Table,MATCH(E32,INDEX(Pad_Table,0,1),0),2)-EB1_PadL)&lt;0.000000001,ABS(INDEX(Pad_Table,MATCH(E32,INDEX(Pad_Table,0,1),0),3)-EB1_PadW)&lt;0.000000001,ABS(INDEX(Pad_Table,MATCH(E32,INDEX(Pad_Table,0,1),0),4)-EB1_Pad)&lt;0.000000001),"PASS","FAIL")</f>
        <v>PASS</v>
      </c>
    </row>
    <row r="33" spans="2:13" x14ac:dyDescent="0.45">
      <c r="B33" s="11" t="s">
        <v>1103</v>
      </c>
      <c r="C33" s="11">
        <v>1</v>
      </c>
      <c r="D33" s="11">
        <v>1</v>
      </c>
      <c r="E33" s="2" t="str">
        <f t="shared" si="9"/>
        <v>F</v>
      </c>
      <c r="F33" s="11">
        <v>2</v>
      </c>
      <c r="G33" s="2">
        <f t="shared" si="10"/>
        <v>1</v>
      </c>
      <c r="H33" s="51">
        <f t="shared" si="11"/>
        <v>0.46050843195928337</v>
      </c>
      <c r="I33" s="60" t="str">
        <f t="shared" si="12"/>
        <v>NO</v>
      </c>
      <c r="J33" s="11" t="str">
        <f t="shared" si="13"/>
        <v>N/A</v>
      </c>
      <c r="K33" s="11" t="str">
        <f t="shared" si="14"/>
        <v>N/A</v>
      </c>
      <c r="L33" s="11" t="str">
        <f t="shared" si="15"/>
        <v>N/A</v>
      </c>
      <c r="M33" s="42" t="str">
        <f>IF(AND(ABS(INDEX(Pad_Table,MATCH(E33,INDEX(Pad_Table,0,1),0),2)-Pier_PadL)&lt;0.000000001,ABS(INDEX(Pad_Table,MATCH(E33,INDEX(Pad_Table,0,1),0),3)-Pier_PadW)&lt;0.000000001,ABS(INDEX(Pad_Table,MATCH(E33,INDEX(Pad_Table,0,1),0),4)-Pier_Pad)&lt;0.000000001),"PASS","FAIL")</f>
        <v>PASS</v>
      </c>
    </row>
    <row r="34" spans="2:13" x14ac:dyDescent="0.45">
      <c r="B34" s="11" t="s">
        <v>1104</v>
      </c>
      <c r="C34" s="11">
        <v>1</v>
      </c>
      <c r="D34" s="11">
        <v>2</v>
      </c>
      <c r="E34" s="2" t="str">
        <f t="shared" si="9"/>
        <v>F</v>
      </c>
      <c r="F34" s="11">
        <v>2</v>
      </c>
      <c r="G34" s="2">
        <f t="shared" si="10"/>
        <v>1</v>
      </c>
      <c r="H34" s="51">
        <f t="shared" si="11"/>
        <v>0.46050843195928337</v>
      </c>
      <c r="I34" s="60" t="str">
        <f t="shared" si="12"/>
        <v>NO</v>
      </c>
      <c r="J34" s="11" t="str">
        <f t="shared" si="13"/>
        <v>N/A</v>
      </c>
      <c r="K34" s="11" t="str">
        <f t="shared" si="14"/>
        <v>N/A</v>
      </c>
      <c r="L34" s="11" t="str">
        <f t="shared" si="15"/>
        <v>N/A</v>
      </c>
      <c r="M34" s="42" t="str">
        <f>IF(AND(ABS(INDEX(Pad_Table,MATCH(E34,INDEX(Pad_Table,0,1),0),2)-Pier_PadL)&lt;0.000000001,ABS(INDEX(Pad_Table,MATCH(E34,INDEX(Pad_Table,0,1),0),3)-Pier_PadW)&lt;0.000000001,ABS(INDEX(Pad_Table,MATCH(E34,INDEX(Pad_Table,0,1),0),4)-Pier_Pad)&lt;0.000000001),"PASS","FAIL")</f>
        <v>PASS</v>
      </c>
    </row>
    <row r="35" spans="2:13" x14ac:dyDescent="0.45">
      <c r="B35" s="11" t="s">
        <v>1105</v>
      </c>
      <c r="C35" s="11">
        <v>2</v>
      </c>
      <c r="D35" s="11">
        <v>1</v>
      </c>
      <c r="E35" s="2" t="str">
        <f t="shared" si="9"/>
        <v>F</v>
      </c>
      <c r="F35" s="11">
        <v>1</v>
      </c>
      <c r="G35" s="2">
        <f t="shared" si="10"/>
        <v>1</v>
      </c>
      <c r="H35" s="51">
        <f t="shared" si="11"/>
        <v>-0.31661306612761564</v>
      </c>
      <c r="I35" s="60" t="str">
        <f t="shared" si="12"/>
        <v>NO</v>
      </c>
      <c r="J35" s="11" t="str">
        <f t="shared" si="13"/>
        <v>N/A</v>
      </c>
      <c r="K35" s="11" t="str">
        <f t="shared" si="14"/>
        <v>N/A</v>
      </c>
      <c r="L35" s="11" t="str">
        <f t="shared" si="15"/>
        <v>N/A</v>
      </c>
      <c r="M35" s="42" t="str">
        <f>IF(AND(ABS(INDEX(Pad_Table,MATCH(E35,INDEX(Pad_Table,0,1),0),2)-Pier_PadL)&lt;0.000000001,ABS(INDEX(Pad_Table,MATCH(E35,INDEX(Pad_Table,0,1),0),3)-Pier_PadW)&lt;0.000000001,ABS(INDEX(Pad_Table,MATCH(E35,INDEX(Pad_Table,0,1),0),4)-Pier_Pad)&lt;0.000000001),"PASS","FAIL")</f>
        <v>PASS</v>
      </c>
    </row>
    <row r="36" spans="2:13" x14ac:dyDescent="0.45">
      <c r="B36" s="11" t="s">
        <v>1106</v>
      </c>
      <c r="C36" s="11">
        <v>2</v>
      </c>
      <c r="D36" s="11">
        <v>2</v>
      </c>
      <c r="E36" s="2" t="str">
        <f t="shared" si="9"/>
        <v>F</v>
      </c>
      <c r="F36" s="11">
        <v>1</v>
      </c>
      <c r="G36" s="2">
        <f t="shared" si="10"/>
        <v>1</v>
      </c>
      <c r="H36" s="51">
        <f t="shared" si="11"/>
        <v>-0.31661306612761564</v>
      </c>
      <c r="I36" s="60" t="str">
        <f t="shared" si="12"/>
        <v>NO</v>
      </c>
      <c r="J36" s="11" t="str">
        <f t="shared" si="13"/>
        <v>N/A</v>
      </c>
      <c r="K36" s="11" t="str">
        <f t="shared" si="14"/>
        <v>N/A</v>
      </c>
      <c r="L36" s="11" t="str">
        <f t="shared" si="15"/>
        <v>N/A</v>
      </c>
      <c r="M36" s="42" t="str">
        <f>IF(AND(ABS(INDEX(Pad_Table,MATCH(E36,INDEX(Pad_Table,0,1),0),2)-Pier_PadL)&lt;0.000000001,ABS(INDEX(Pad_Table,MATCH(E36,INDEX(Pad_Table,0,1),0),3)-Pier_PadW)&lt;0.000000001,ABS(INDEX(Pad_Table,MATCH(E36,INDEX(Pad_Table,0,1),0),4)-Pier_Pad)&lt;0.000000001),"PASS","FAIL")</f>
        <v>PASS</v>
      </c>
    </row>
    <row r="37" spans="2:13" x14ac:dyDescent="0.45">
      <c r="B37" s="11" t="s">
        <v>1107</v>
      </c>
      <c r="C37" s="11">
        <v>2</v>
      </c>
      <c r="D37" s="11">
        <v>1</v>
      </c>
      <c r="E37" s="2" t="str">
        <f t="shared" si="9"/>
        <v>F</v>
      </c>
      <c r="F37" s="11">
        <v>2</v>
      </c>
      <c r="G37" s="2">
        <f t="shared" si="10"/>
        <v>1</v>
      </c>
      <c r="H37" s="51">
        <f t="shared" si="11"/>
        <v>-0.68362525608421265</v>
      </c>
      <c r="I37" s="60" t="str">
        <f t="shared" si="12"/>
        <v>NO</v>
      </c>
      <c r="J37" s="11" t="str">
        <f t="shared" si="13"/>
        <v>N/A</v>
      </c>
      <c r="K37" s="11" t="str">
        <f t="shared" si="14"/>
        <v>N/A</v>
      </c>
      <c r="L37" s="11" t="str">
        <f t="shared" si="15"/>
        <v>N/A</v>
      </c>
      <c r="M37" s="42" t="str">
        <f>IF(AND(ABS(INDEX(Pad_Table,MATCH(E37,INDEX(Pad_Table,0,1),0),2)-EB2_PadL)&lt;0.000000001,ABS(INDEX(Pad_Table,MATCH(E37,INDEX(Pad_Table,0,1),0),3)-EB2_PadW)&lt;0.000000001,ABS(INDEX(Pad_Table,MATCH(E37,INDEX(Pad_Table,0,1),0),4)-EB2_Pad)&lt;0.000000001),"PASS","FAIL")</f>
        <v>PASS</v>
      </c>
    </row>
    <row r="38" spans="2:13" x14ac:dyDescent="0.45">
      <c r="B38" s="11" t="s">
        <v>1108</v>
      </c>
      <c r="C38" s="11">
        <v>2</v>
      </c>
      <c r="D38" s="11">
        <v>2</v>
      </c>
      <c r="E38" s="2" t="str">
        <f t="shared" si="9"/>
        <v>F</v>
      </c>
      <c r="F38" s="11">
        <v>2</v>
      </c>
      <c r="G38" s="2">
        <f t="shared" si="10"/>
        <v>1</v>
      </c>
      <c r="H38" s="51">
        <f t="shared" si="11"/>
        <v>-0.68362525608421265</v>
      </c>
      <c r="I38" s="60" t="str">
        <f t="shared" si="12"/>
        <v>NO</v>
      </c>
      <c r="J38" s="11" t="str">
        <f t="shared" si="13"/>
        <v>N/A</v>
      </c>
      <c r="K38" s="11" t="str">
        <f t="shared" si="14"/>
        <v>N/A</v>
      </c>
      <c r="L38" s="11" t="str">
        <f t="shared" si="15"/>
        <v>N/A</v>
      </c>
      <c r="M38" s="42" t="str">
        <f>IF(AND(ABS(INDEX(Pad_Table,MATCH(E38,INDEX(Pad_Table,0,1),0),2)-EB2_PadL)&lt;0.000000001,ABS(INDEX(Pad_Table,MATCH(E38,INDEX(Pad_Table,0,1),0),3)-EB2_PadW)&lt;0.000000001,ABS(INDEX(Pad_Table,MATCH(E38,INDEX(Pad_Table,0,1),0),4)-EB2_Pad)&lt;0.000000001),"PASS","FAIL")</f>
        <v>PASS</v>
      </c>
    </row>
  </sheetData>
  <conditionalFormatting sqref="L26:L27">
    <cfRule type="cellIs" dxfId="55" priority="7" operator="equal">
      <formula>"PASS"</formula>
    </cfRule>
    <cfRule type="cellIs" dxfId="54" priority="8" operator="equal">
      <formula>"FAIL"</formula>
    </cfRule>
    <cfRule type="cellIs" dxfId="53" priority="9" operator="equal">
      <formula>"CHECK"</formula>
    </cfRule>
  </conditionalFormatting>
  <conditionalFormatting sqref="M19:M22">
    <cfRule type="cellIs" dxfId="52" priority="4" operator="equal">
      <formula>"PASS"</formula>
    </cfRule>
    <cfRule type="cellIs" dxfId="51" priority="5" operator="equal">
      <formula>"FAIL"</formula>
    </cfRule>
    <cfRule type="cellIs" dxfId="50" priority="6" operator="equal">
      <formula>"CHECK"</formula>
    </cfRule>
  </conditionalFormatting>
  <conditionalFormatting sqref="M31:M38">
    <cfRule type="cellIs" dxfId="49" priority="10" operator="equal">
      <formula>"PASS"</formula>
    </cfRule>
    <cfRule type="cellIs" dxfId="48" priority="11" operator="equal">
      <formula>"FAIL"</formula>
    </cfRule>
    <cfRule type="cellIs" dxfId="47" priority="12" operator="equal">
      <formula>"CHECK"</formula>
    </cfRule>
  </conditionalFormatting>
  <conditionalFormatting sqref="W8:W15">
    <cfRule type="cellIs" dxfId="46" priority="1" operator="equal">
      <formula>"PASS"</formula>
    </cfRule>
    <cfRule type="cellIs" dxfId="45" priority="2" operator="equal">
      <formula>"FAIL"</formula>
    </cfRule>
    <cfRule type="cellIs" dxfId="44" priority="3" operator="equal">
      <formula>"CHECK"</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A96A3"/>
    <pageSetUpPr fitToPage="1"/>
  </sheetPr>
  <dimension ref="B1:S75"/>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1109</v>
      </c>
      <c r="P1" s="43" t="s">
        <v>785</v>
      </c>
    </row>
    <row r="2" spans="2:19" x14ac:dyDescent="0.45">
      <c r="B2" s="8" t="s">
        <v>1110</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1111</v>
      </c>
    </row>
    <row r="5" spans="2:19" ht="18" customHeight="1" x14ac:dyDescent="0.45">
      <c r="B5" s="36" t="s">
        <v>1112</v>
      </c>
      <c r="C5" s="18"/>
      <c r="D5" s="18"/>
      <c r="E5" s="18"/>
      <c r="F5" s="18"/>
      <c r="G5" s="18"/>
      <c r="H5" s="18"/>
      <c r="I5" s="18"/>
      <c r="J5" s="18"/>
      <c r="K5" s="18"/>
      <c r="L5" s="18"/>
      <c r="M5" s="18"/>
      <c r="P5" s="46" t="s">
        <v>790</v>
      </c>
      <c r="Q5" s="46" t="s">
        <v>791</v>
      </c>
      <c r="R5" s="46" t="s">
        <v>792</v>
      </c>
      <c r="S5" s="46" t="s">
        <v>793</v>
      </c>
    </row>
    <row r="6" spans="2:19" ht="29.45" customHeight="1" x14ac:dyDescent="0.45">
      <c r="B6" s="85" t="s">
        <v>1113</v>
      </c>
      <c r="C6" s="83"/>
      <c r="D6" s="83"/>
      <c r="E6" s="83"/>
      <c r="F6" s="83"/>
      <c r="G6" s="83"/>
      <c r="H6" s="83"/>
      <c r="I6" s="83"/>
      <c r="J6" s="83"/>
      <c r="K6" s="83"/>
      <c r="L6" s="83"/>
      <c r="M6" s="83"/>
      <c r="P6" s="44" t="s">
        <v>1114</v>
      </c>
      <c r="Q6" s="48">
        <f>MIN('Bearing Seats'!$G$26,'Bearing Seats'!$H$26,'Bearing Seats'!$I$26,'Bearing Seats'!$J$26)-0.006</f>
        <v>44.253763695637588</v>
      </c>
    </row>
    <row r="7" spans="2:19" ht="15" customHeight="1" x14ac:dyDescent="0.45">
      <c r="P7" s="44" t="s">
        <v>1115</v>
      </c>
      <c r="Q7" s="48">
        <f>MAX('Bearing Seats'!$G$26,'Bearing Seats'!$H$26,'Bearing Seats'!$I$26,'Bearing Seats'!$J$26)+0.004</f>
        <v>44.270863200630295</v>
      </c>
    </row>
    <row r="8" spans="2:19" ht="15" customHeight="1" x14ac:dyDescent="0.45">
      <c r="P8" s="44" t="s">
        <v>1116</v>
      </c>
      <c r="Q8" s="47">
        <f>'Bearing Seats'!$C$26</f>
        <v>1698.57</v>
      </c>
      <c r="R8" s="47">
        <f>$Q$6</f>
        <v>44.253763695637588</v>
      </c>
    </row>
    <row r="9" spans="2:19" ht="15" customHeight="1" x14ac:dyDescent="0.45">
      <c r="Q9" s="47">
        <f>'Bearing Seats'!$C$26</f>
        <v>1698.57</v>
      </c>
      <c r="R9" s="47">
        <f>'Bearing Seats'!$G$26</f>
        <v>44.259763695637588</v>
      </c>
    </row>
    <row r="10" spans="2:19" ht="15" customHeight="1" x14ac:dyDescent="0.45">
      <c r="Q10" s="47">
        <f>'Bearing Seats'!$D$26</f>
        <v>1700.1116666666667</v>
      </c>
      <c r="R10" s="47">
        <f>'Bearing Seats'!$H$26</f>
        <v>44.266863200630297</v>
      </c>
    </row>
    <row r="11" spans="2:19" ht="15" customHeight="1" x14ac:dyDescent="0.45">
      <c r="Q11" s="47">
        <f>'Bearing Seats'!$E$26</f>
        <v>1701.0283333333332</v>
      </c>
      <c r="R11" s="47">
        <f>'Bearing Seats'!$I$26</f>
        <v>44.266259130867788</v>
      </c>
    </row>
    <row r="12" spans="2:19" ht="15" customHeight="1" x14ac:dyDescent="0.45">
      <c r="Q12" s="47">
        <f>'Bearing Seats'!$F$26</f>
        <v>1702.57</v>
      </c>
      <c r="R12" s="47">
        <f>'Bearing Seats'!$J$26</f>
        <v>44.261378012764986</v>
      </c>
    </row>
    <row r="13" spans="2:19" ht="15" customHeight="1" x14ac:dyDescent="0.45">
      <c r="Q13" s="47">
        <f>'Bearing Seats'!$F$26</f>
        <v>1702.57</v>
      </c>
      <c r="R13" s="47">
        <f>$Q$6</f>
        <v>44.253763695637588</v>
      </c>
    </row>
    <row r="14" spans="2:19" ht="15" customHeight="1" x14ac:dyDescent="0.45">
      <c r="Q14" s="47">
        <f>'Bearing Seats'!$C$26</f>
        <v>1698.57</v>
      </c>
      <c r="R14" s="47">
        <f>$Q$6</f>
        <v>44.253763695637588</v>
      </c>
    </row>
    <row r="15" spans="2:19" ht="15" customHeight="1" x14ac:dyDescent="0.45"/>
    <row r="16" spans="2:19" ht="15" customHeight="1" x14ac:dyDescent="0.45">
      <c r="P16" s="44" t="s">
        <v>1117</v>
      </c>
      <c r="Q16" s="47">
        <f>'Bearing Seats'!$C$26</f>
        <v>1698.57</v>
      </c>
      <c r="R16" s="47">
        <f>'Bearing Seats'!$G$26</f>
        <v>44.259763695637588</v>
      </c>
    </row>
    <row r="17" spans="2:18" ht="15" customHeight="1" x14ac:dyDescent="0.45">
      <c r="Q17" s="47">
        <f>'Bearing Seats'!$D$26</f>
        <v>1700.1116666666667</v>
      </c>
      <c r="R17" s="47">
        <f>'Bearing Seats'!$H$26</f>
        <v>44.266863200630297</v>
      </c>
    </row>
    <row r="18" spans="2:18" ht="15" customHeight="1" x14ac:dyDescent="0.45">
      <c r="Q18" s="47">
        <f>'Bearing Seats'!$E$26</f>
        <v>1701.0283333333332</v>
      </c>
      <c r="R18" s="47">
        <f>'Bearing Seats'!$I$26</f>
        <v>44.266259130867788</v>
      </c>
    </row>
    <row r="19" spans="2:18" ht="15" customHeight="1" x14ac:dyDescent="0.45">
      <c r="Q19" s="47">
        <f>'Bearing Seats'!$F$26</f>
        <v>1702.57</v>
      </c>
      <c r="R19" s="47">
        <f>'Bearing Seats'!$J$26</f>
        <v>44.261378012764986</v>
      </c>
    </row>
    <row r="20" spans="2:18" ht="15" customHeight="1" x14ac:dyDescent="0.45"/>
    <row r="21" spans="2:18" ht="15" customHeight="1" x14ac:dyDescent="0.45">
      <c r="P21" s="44" t="s">
        <v>1118</v>
      </c>
      <c r="Q21" s="47">
        <f>Pier_Sta</f>
        <v>1700.57</v>
      </c>
      <c r="R21" s="47">
        <f>$Q$6</f>
        <v>44.253763695637588</v>
      </c>
    </row>
    <row r="22" spans="2:18" ht="15" customHeight="1" x14ac:dyDescent="0.45">
      <c r="Q22" s="47">
        <f>Pier_Sta</f>
        <v>1700.57</v>
      </c>
      <c r="R22" s="47">
        <f>$Q$7</f>
        <v>44.270863200630295</v>
      </c>
    </row>
    <row r="23" spans="2:18" ht="15" customHeight="1" x14ac:dyDescent="0.45"/>
    <row r="24" spans="2:18" ht="15" customHeight="1" x14ac:dyDescent="0.45">
      <c r="P24" s="44" t="s">
        <v>1118</v>
      </c>
      <c r="Q24" s="47">
        <f>Pier_Sta</f>
        <v>1700.57</v>
      </c>
      <c r="R24" s="47">
        <f>$Q$7</f>
        <v>44.270863200630295</v>
      </c>
    </row>
    <row r="25" spans="2:18" ht="15" customHeight="1" x14ac:dyDescent="0.45"/>
    <row r="26" spans="2:18" ht="16.25" customHeight="1" x14ac:dyDescent="0.45">
      <c r="B26" s="82" t="s">
        <v>1119</v>
      </c>
      <c r="C26" s="83"/>
      <c r="D26" s="83"/>
      <c r="E26" s="83"/>
      <c r="F26" s="83"/>
      <c r="G26" s="83"/>
      <c r="H26" s="83"/>
      <c r="I26" s="83"/>
      <c r="J26" s="83"/>
      <c r="K26" s="83"/>
      <c r="L26" s="83"/>
      <c r="M26" s="83"/>
      <c r="P26" s="44" t="str">
        <f>"A/C"&amp;CHAR(10)&amp;TEXT('Bearing Seats'!$G$26,"0.0000")</f>
        <v>A/C
44.2598</v>
      </c>
      <c r="Q26" s="47">
        <f>'Bearing Seats'!$C$26</f>
        <v>1698.57</v>
      </c>
      <c r="R26" s="47">
        <f>'Bearing Seats'!$G$26</f>
        <v>44.259763695637588</v>
      </c>
    </row>
    <row r="28" spans="2:18" ht="18" customHeight="1" x14ac:dyDescent="0.45">
      <c r="B28" s="36" t="s">
        <v>1120</v>
      </c>
      <c r="C28" s="18"/>
      <c r="D28" s="18"/>
      <c r="E28" s="18"/>
      <c r="F28" s="18"/>
      <c r="G28" s="18"/>
      <c r="H28" s="18"/>
      <c r="I28" s="18"/>
      <c r="J28" s="18"/>
      <c r="K28" s="18"/>
      <c r="L28" s="18"/>
      <c r="M28" s="18"/>
      <c r="P28" s="44" t="str">
        <f>"E"&amp;CHAR(10)&amp;TEXT('Bearing Seats'!$H$26,"0.0000")</f>
        <v>E
44.2669</v>
      </c>
      <c r="Q28" s="47">
        <f>'Bearing Seats'!$D$26</f>
        <v>1700.1116666666667</v>
      </c>
      <c r="R28" s="47">
        <f>'Bearing Seats'!$H$26</f>
        <v>44.266863200630297</v>
      </c>
    </row>
    <row r="29" spans="2:18" ht="42.6" customHeight="1" x14ac:dyDescent="0.45">
      <c r="B29" s="85" t="s">
        <v>1121</v>
      </c>
      <c r="C29" s="83"/>
      <c r="D29" s="83"/>
      <c r="E29" s="83"/>
      <c r="F29" s="83"/>
      <c r="G29" s="83"/>
      <c r="H29" s="83"/>
      <c r="I29" s="83"/>
      <c r="J29" s="83"/>
      <c r="K29" s="83"/>
      <c r="L29" s="83"/>
      <c r="M29" s="83"/>
    </row>
    <row r="30" spans="2:18" ht="15" customHeight="1" x14ac:dyDescent="0.45">
      <c r="P30" s="44" t="str">
        <f>"F"&amp;CHAR(10)&amp;TEXT('Bearing Seats'!$I$26,"0.0000")</f>
        <v>F
44.2663</v>
      </c>
      <c r="Q30" s="47">
        <f>'Bearing Seats'!$E$26</f>
        <v>1701.0283333333332</v>
      </c>
      <c r="R30" s="47">
        <f>'Bearing Seats'!$I$26</f>
        <v>44.266259130867788</v>
      </c>
    </row>
    <row r="31" spans="2:18" ht="15" customHeight="1" x14ac:dyDescent="0.45"/>
    <row r="32" spans="2:18" ht="15" customHeight="1" x14ac:dyDescent="0.45">
      <c r="P32" s="44" t="str">
        <f>"B/D"&amp;CHAR(10)&amp;TEXT('Bearing Seats'!$J$26,"0.0000")</f>
        <v>B/D
44.2614</v>
      </c>
      <c r="Q32" s="47">
        <f>'Bearing Seats'!$F$26</f>
        <v>1702.57</v>
      </c>
      <c r="R32" s="47">
        <f>'Bearing Seats'!$J$26</f>
        <v>44.261378012764986</v>
      </c>
    </row>
    <row r="33" spans="2:13" ht="15" customHeight="1" x14ac:dyDescent="0.45"/>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5" customHeight="1" x14ac:dyDescent="0.45"/>
    <row r="40" spans="2:13" ht="15" customHeight="1" x14ac:dyDescent="0.45"/>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6.25" customHeight="1" x14ac:dyDescent="0.45">
      <c r="B48" s="82" t="s">
        <v>1122</v>
      </c>
      <c r="C48" s="83"/>
      <c r="D48" s="83"/>
      <c r="E48" s="83"/>
      <c r="F48" s="83"/>
      <c r="G48" s="83"/>
      <c r="H48" s="83"/>
      <c r="I48" s="83"/>
      <c r="J48" s="83"/>
      <c r="K48" s="83"/>
      <c r="L48" s="83"/>
      <c r="M48" s="83"/>
    </row>
    <row r="49" ht="15" customHeight="1" x14ac:dyDescent="0.45"/>
    <row r="50" ht="15" customHeight="1" x14ac:dyDescent="0.45"/>
    <row r="51" ht="15" customHeight="1" x14ac:dyDescent="0.45"/>
    <row r="52" ht="15" customHeight="1" x14ac:dyDescent="0.45"/>
    <row r="53" ht="15" customHeight="1" x14ac:dyDescent="0.45"/>
    <row r="54" ht="15" customHeight="1" x14ac:dyDescent="0.45"/>
    <row r="55" ht="15" customHeight="1" x14ac:dyDescent="0.45"/>
    <row r="56" ht="15" customHeight="1" x14ac:dyDescent="0.45"/>
    <row r="57" ht="15" customHeight="1" x14ac:dyDescent="0.45"/>
    <row r="58" ht="15" customHeight="1" x14ac:dyDescent="0.45"/>
    <row r="59" ht="15" customHeight="1" x14ac:dyDescent="0.45"/>
    <row r="60" ht="15" customHeight="1" x14ac:dyDescent="0.45"/>
    <row r="61" ht="15" customHeight="1" x14ac:dyDescent="0.45"/>
    <row r="62" ht="15" customHeight="1" x14ac:dyDescent="0.45"/>
    <row r="63" ht="15" customHeight="1" x14ac:dyDescent="0.45"/>
    <row r="64" ht="15" customHeight="1" x14ac:dyDescent="0.45"/>
    <row r="65" spans="2:13" ht="16.25" customHeight="1" x14ac:dyDescent="0.45">
      <c r="B65" s="82" t="str">
        <f>"Figure 3. Pier pedestal top along beam line 1, from Bearing Seats section C (the cap top, "&amp;TEXT(Pier_Top,"0.0000")&amp;" ft, is below this window)."</f>
        <v>Figure 3. Pier pedestal top along beam line 1, from Bearing Seats section C (the cap top, 43.7649 ft, is below this window).</v>
      </c>
      <c r="C65" s="83"/>
      <c r="D65" s="83"/>
      <c r="E65" s="83"/>
      <c r="F65" s="83"/>
      <c r="G65" s="83"/>
      <c r="H65" s="83"/>
      <c r="I65" s="83"/>
      <c r="J65" s="83"/>
      <c r="K65" s="83"/>
      <c r="L65" s="83"/>
      <c r="M65" s="83"/>
    </row>
    <row r="67" spans="2:13" ht="18" customHeight="1" x14ac:dyDescent="0.45">
      <c r="B67" s="36" t="s">
        <v>1123</v>
      </c>
      <c r="C67" s="18"/>
      <c r="D67" s="18"/>
      <c r="E67" s="18"/>
      <c r="F67" s="18"/>
      <c r="G67" s="18"/>
      <c r="H67" s="18"/>
      <c r="I67" s="18"/>
      <c r="J67" s="18"/>
      <c r="K67" s="18"/>
      <c r="L67" s="18"/>
      <c r="M67" s="18"/>
    </row>
    <row r="68" spans="2:13" ht="15" customHeight="1" x14ac:dyDescent="0.45"/>
    <row r="69" spans="2:13" ht="15" customHeight="1" x14ac:dyDescent="0.45"/>
    <row r="70" spans="2:13" ht="15" customHeight="1" x14ac:dyDescent="0.45"/>
    <row r="71" spans="2:13" ht="42.6" customHeight="1" x14ac:dyDescent="0.45">
      <c r="B71" s="88" t="str">
        <f>"Difference from the BCC template: the template levels seats when |slope| &lt; 0.5%. The notebook slopes every seat to the actual soffit chord, so the pedestal tops here follow the notebook. "&amp;IF(MAX(MAX('Bearing Seats'!$T$8:$T$15),-MIN('Bearing Seats'!$T$8:$T$15))&lt;=Des_BevelLimit,"All current slopes are within the "&amp;TEXT(Des_BevelLimit*100,"0.0")&amp;"% beveled-plate limit (largest "&amp;TEXT(MAX(MAX('Bearing Seats'!$T$8:$T$15),-MIN('Bearing Seats'!$T$8:$T$15))*100,"0.000")&amp;"%).","Some seat slopes exceed the beveled-plate limit; see the CAD Bearing Plates tab.")</f>
        <v>Difference from the BCC template: the template levels seats when |slope| &lt; 0.5%. The notebook slopes every seat to the actual soffit chord, so the pedestal tops here follow the notebook. All current slopes are within the 2.0% beveled-plate limit (largest 0.684%).</v>
      </c>
      <c r="C71" s="89"/>
      <c r="D71" s="89"/>
      <c r="E71" s="89"/>
      <c r="F71" s="89"/>
      <c r="G71" s="89"/>
      <c r="H71" s="89"/>
      <c r="I71" s="89"/>
      <c r="J71" s="89"/>
      <c r="K71" s="89"/>
      <c r="L71" s="89"/>
      <c r="M71" s="89"/>
    </row>
    <row r="72" spans="2:13" x14ac:dyDescent="0.45">
      <c r="B72" s="86" t="s">
        <v>102</v>
      </c>
      <c r="C72" s="86" t="s">
        <v>699</v>
      </c>
      <c r="D72" s="87"/>
      <c r="E72" s="87"/>
      <c r="F72" s="87"/>
      <c r="G72" s="87"/>
      <c r="H72" s="86" t="s">
        <v>700</v>
      </c>
      <c r="I72" s="87"/>
      <c r="J72" s="87"/>
      <c r="K72" s="86" t="s">
        <v>701</v>
      </c>
      <c r="L72" s="87"/>
      <c r="M72" s="87"/>
    </row>
    <row r="73" spans="2:13" ht="15.2" customHeight="1" x14ac:dyDescent="0.45">
      <c r="B73" s="85" t="s">
        <v>1124</v>
      </c>
      <c r="C73" s="85" t="s">
        <v>1125</v>
      </c>
      <c r="D73" s="83"/>
      <c r="E73" s="83"/>
      <c r="F73" s="83"/>
      <c r="G73" s="83"/>
      <c r="H73" s="85" t="s">
        <v>1126</v>
      </c>
      <c r="I73" s="83"/>
      <c r="J73" s="83"/>
      <c r="K73" s="85" t="s">
        <v>211</v>
      </c>
      <c r="L73" s="83"/>
      <c r="M73" s="83"/>
    </row>
    <row r="74" spans="2:13" ht="15.2" customHeight="1" x14ac:dyDescent="0.45">
      <c r="B74" s="85" t="s">
        <v>1127</v>
      </c>
      <c r="C74" s="85" t="s">
        <v>1128</v>
      </c>
      <c r="D74" s="83"/>
      <c r="E74" s="83"/>
      <c r="F74" s="83"/>
      <c r="G74" s="83"/>
      <c r="H74" s="85" t="s">
        <v>1129</v>
      </c>
      <c r="I74" s="83"/>
      <c r="J74" s="83"/>
      <c r="K74" s="85" t="s">
        <v>156</v>
      </c>
      <c r="L74" s="83"/>
      <c r="M74" s="83"/>
    </row>
    <row r="75" spans="2:13" ht="15.2" customHeight="1" x14ac:dyDescent="0.45">
      <c r="B75" s="85" t="s">
        <v>1130</v>
      </c>
      <c r="C75" s="85" t="s">
        <v>1131</v>
      </c>
      <c r="D75" s="83"/>
      <c r="E75" s="83"/>
      <c r="F75" s="83"/>
      <c r="G75" s="83"/>
      <c r="H75" s="85" t="s">
        <v>1132</v>
      </c>
      <c r="I75" s="83"/>
      <c r="J75" s="83"/>
      <c r="K75" s="85" t="s">
        <v>135</v>
      </c>
      <c r="L75" s="83"/>
      <c r="M75" s="83"/>
    </row>
  </sheetData>
  <mergeCells count="23">
    <mergeCell ref="K75:M75"/>
    <mergeCell ref="C74:G74"/>
    <mergeCell ref="B75"/>
    <mergeCell ref="H72:J72"/>
    <mergeCell ref="H75:J75"/>
    <mergeCell ref="B72"/>
    <mergeCell ref="C75:G75"/>
    <mergeCell ref="H73:J73"/>
    <mergeCell ref="B74"/>
    <mergeCell ref="B6:M6"/>
    <mergeCell ref="B26:M26"/>
    <mergeCell ref="K74:M74"/>
    <mergeCell ref="B73"/>
    <mergeCell ref="B3:M3"/>
    <mergeCell ref="C72:G72"/>
    <mergeCell ref="B71:M71"/>
    <mergeCell ref="H74:J74"/>
    <mergeCell ref="B29:M29"/>
    <mergeCell ref="C73:G73"/>
    <mergeCell ref="K73:M73"/>
    <mergeCell ref="B65:M65"/>
    <mergeCell ref="K72:M72"/>
    <mergeCell ref="B48:M48"/>
  </mergeCells>
  <conditionalFormatting sqref="B3:M3">
    <cfRule type="expression" dxfId="43" priority="1">
      <formula>Inputs_Edited=0</formula>
    </cfRule>
    <cfRule type="expression" dxfId="42" priority="2">
      <formula>Inputs_Edited&gt;0</formula>
    </cfRule>
  </conditionalFormatting>
  <pageMargins left="0.75" right="0.75" top="1" bottom="1" header="0.5" footer="0.5"/>
  <pageSetup fitToHeight="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2A36"/>
  </sheetPr>
  <dimension ref="A1:V96"/>
  <sheetViews>
    <sheetView showGridLines="0" workbookViewId="0"/>
  </sheetViews>
  <sheetFormatPr defaultRowHeight="14.25" x14ac:dyDescent="0.45"/>
  <cols>
    <col min="1" max="1" width="3" customWidth="1"/>
    <col min="2" max="2" width="13" customWidth="1"/>
    <col min="3" max="25" width="11.46484375" customWidth="1"/>
  </cols>
  <sheetData>
    <row r="1" spans="1:22" ht="17.649999999999999" x14ac:dyDescent="0.5">
      <c r="A1" s="15" t="s">
        <v>48</v>
      </c>
      <c r="P1" s="37" t="s">
        <v>107</v>
      </c>
      <c r="Q1" s="2" t="str">
        <f>""&amp;TB_Project</f>
        <v>D2 I-95 Pedestrian Bridge</v>
      </c>
    </row>
    <row r="2" spans="1:22" x14ac:dyDescent="0.45">
      <c r="A2" s="8" t="s">
        <v>1133</v>
      </c>
      <c r="P2" s="37" t="s">
        <v>115</v>
      </c>
      <c r="Q2" s="2" t="str">
        <f>""&amp;TB_JobNo</f>
        <v/>
      </c>
    </row>
    <row r="3" spans="1:22" x14ac:dyDescent="0.45">
      <c r="P3" s="37" t="s">
        <v>722</v>
      </c>
      <c r="Q3" s="2" t="str">
        <f>TB_CalcBy&amp;"  "&amp;TB_CalcDate</f>
        <v xml:space="preserve">  </v>
      </c>
    </row>
    <row r="4" spans="1:22" x14ac:dyDescent="0.45">
      <c r="P4" s="37" t="s">
        <v>723</v>
      </c>
      <c r="Q4" s="2" t="str">
        <f>TB_CheckBy&amp;"  "&amp;TB_CheckDate</f>
        <v xml:space="preserve">  </v>
      </c>
    </row>
    <row r="6" spans="1:22" x14ac:dyDescent="0.45">
      <c r="A6" s="17" t="s">
        <v>1134</v>
      </c>
      <c r="B6" s="18"/>
      <c r="C6" s="18"/>
      <c r="D6" s="18"/>
      <c r="E6" s="18"/>
      <c r="F6" s="18"/>
      <c r="G6" s="18"/>
      <c r="H6" s="18"/>
      <c r="I6" s="18"/>
      <c r="J6" s="18"/>
      <c r="K6" s="18"/>
      <c r="L6" s="18"/>
      <c r="M6" s="18"/>
      <c r="N6" s="18"/>
      <c r="O6" s="18"/>
      <c r="P6" s="18"/>
      <c r="Q6" s="18"/>
      <c r="R6" s="18"/>
      <c r="S6" s="18"/>
      <c r="T6" s="18"/>
      <c r="U6" s="18"/>
      <c r="V6" s="18"/>
    </row>
    <row r="7" spans="1:22" ht="42" customHeight="1" x14ac:dyDescent="0.45">
      <c r="B7" s="19" t="s">
        <v>1048</v>
      </c>
      <c r="C7" s="19" t="s">
        <v>1135</v>
      </c>
      <c r="D7" s="19" t="s">
        <v>1136</v>
      </c>
      <c r="E7" s="19" t="s">
        <v>1137</v>
      </c>
      <c r="F7" s="19" t="s">
        <v>1138</v>
      </c>
      <c r="G7" s="19" t="s">
        <v>1139</v>
      </c>
      <c r="H7" s="19" t="s">
        <v>1140</v>
      </c>
      <c r="I7" s="19" t="s">
        <v>1141</v>
      </c>
      <c r="J7" s="19" t="s">
        <v>1142</v>
      </c>
      <c r="K7" s="19" t="s">
        <v>1143</v>
      </c>
      <c r="L7" s="19" t="s">
        <v>1144</v>
      </c>
      <c r="M7" s="19" t="s">
        <v>1145</v>
      </c>
      <c r="N7" s="19" t="s">
        <v>1146</v>
      </c>
      <c r="O7" s="19" t="s">
        <v>1147</v>
      </c>
      <c r="P7" s="19" t="s">
        <v>1148</v>
      </c>
      <c r="Q7" s="19" t="s">
        <v>1149</v>
      </c>
      <c r="R7" s="19" t="s">
        <v>1150</v>
      </c>
      <c r="S7" s="19" t="s">
        <v>1151</v>
      </c>
      <c r="T7" s="19" t="s">
        <v>1152</v>
      </c>
      <c r="U7" s="19" t="s">
        <v>1153</v>
      </c>
      <c r="V7" s="19" t="s">
        <v>1154</v>
      </c>
    </row>
    <row r="8" spans="1:22" x14ac:dyDescent="0.45">
      <c r="B8" s="11" t="s">
        <v>860</v>
      </c>
      <c r="C8" s="40">
        <f>Pier_Sta</f>
        <v>1700.57</v>
      </c>
      <c r="D8" s="40">
        <f>Pier_Sta</f>
        <v>1700.57</v>
      </c>
      <c r="E8" s="40">
        <f>Pier_Width</f>
        <v>4</v>
      </c>
      <c r="F8" s="40">
        <f>Pier_Depth</f>
        <v>3</v>
      </c>
      <c r="G8" s="2">
        <f>Pier_NPile</f>
        <v>4</v>
      </c>
      <c r="H8" s="2">
        <f>Pier_PileD</f>
        <v>20</v>
      </c>
      <c r="I8" s="41">
        <f>Pier_PileSpD*Pier_PileD/12</f>
        <v>5</v>
      </c>
      <c r="J8" s="2">
        <f>Pier_PileClr</f>
        <v>15</v>
      </c>
      <c r="K8" s="41">
        <f>IF(ISNUMBER(Pier_LenFix),Pier_LenFix,(G8-1)*I8+H8/12+2*J8/12)</f>
        <v>19.166666666666668</v>
      </c>
      <c r="L8" s="42" t="str">
        <f>IF(ISNUMBER(Pier_LenFix),IF(ABS(Pier_LenFix-((G8-1)*I8+H8/12+2*J8/12))&lt;0.00000001,"PASS","FAIL"),"PASS")</f>
        <v>PASS</v>
      </c>
      <c r="M8" s="40">
        <f>Pier_Ctr</f>
        <v>0</v>
      </c>
      <c r="N8" s="54">
        <f>Pier_Slope</f>
        <v>0</v>
      </c>
      <c r="O8" s="2">
        <f>Pier_Reveal</f>
        <v>6</v>
      </c>
      <c r="P8" s="40">
        <f>Pier_TopFix</f>
        <v>0</v>
      </c>
      <c r="Q8" s="49">
        <f>MIN('Bearing Seats'!V10-N8*('Bearing Seats'!G10-M8),'Bearing Seats'!V11-N8*('Bearing Seats'!G11-M8),'Bearing Seats'!V12-N8*('Bearing Seats'!G12-M8),'Bearing Seats'!V13-N8*('Bearing Seats'!G13-M8))</f>
        <v>44.264939909758922</v>
      </c>
      <c r="R8" s="63">
        <f>IF(ISNUMBER(Pier_TopFix),Pier_TopFix,Q8-O8/12)</f>
        <v>43.764939909758922</v>
      </c>
      <c r="S8" s="49">
        <f>R8-F8</f>
        <v>40.764939909758922</v>
      </c>
      <c r="T8" s="51">
        <f>E8*K8*F8</f>
        <v>230</v>
      </c>
      <c r="U8" s="2">
        <f>Pier_Emb</f>
        <v>12</v>
      </c>
      <c r="V8" s="42" t="str">
        <f>IF(AND(U8&gt;=0,U8&lt;=F8*12),"PASS","FAIL")</f>
        <v>PASS</v>
      </c>
    </row>
    <row r="9" spans="1:22" x14ac:dyDescent="0.45">
      <c r="B9" s="11" t="s">
        <v>859</v>
      </c>
      <c r="C9" s="40">
        <f>Sp1_Sta0</f>
        <v>1593.22</v>
      </c>
      <c r="D9" s="41">
        <f>C9+(EB1_Width/2-EB1_BW/12-EB1_Inset/12)</f>
        <v>1593.97</v>
      </c>
      <c r="E9" s="40">
        <f>EB1_Width</f>
        <v>3.5</v>
      </c>
      <c r="F9" s="40">
        <f>EB1_Depth</f>
        <v>3</v>
      </c>
      <c r="G9" s="2">
        <f>EB1_NPile</f>
        <v>4</v>
      </c>
      <c r="H9" s="2">
        <f>EB1_PileW</f>
        <v>18</v>
      </c>
      <c r="I9" s="41">
        <f>EB1_PileSp/12</f>
        <v>4.5</v>
      </c>
      <c r="J9" s="2">
        <f>EB1_PileClr</f>
        <v>27.5</v>
      </c>
      <c r="K9" s="41">
        <f>IF(ISNUMBER(EB1_LenFix),EB1_LenFix,(G9-1)*I9+H9/12+2*J9/12)</f>
        <v>19.583333333333332</v>
      </c>
      <c r="L9" s="42" t="str">
        <f>IF(ISNUMBER(EB1_LenFix),IF(ABS(EB1_LenFix-((G9-1)*I9+H9/12+2*J9/12))&lt;0.00000001,"PASS","FAIL"),"PASS")</f>
        <v>PASS</v>
      </c>
      <c r="M9" s="40">
        <f>EB1_Ctr</f>
        <v>0</v>
      </c>
      <c r="N9" s="54">
        <f>EB1_Slope</f>
        <v>0</v>
      </c>
      <c r="O9" s="2">
        <f>EB1_Reveal</f>
        <v>6</v>
      </c>
      <c r="P9" s="40">
        <f>EB1_TopFix</f>
        <v>0</v>
      </c>
      <c r="Q9" s="49">
        <f>MIN('Bearing Seats'!V8-N9*('Bearing Seats'!G8-M9),'Bearing Seats'!V9-N9*('Bearing Seats'!G9-M9))</f>
        <v>43.737692232218137</v>
      </c>
      <c r="R9" s="63">
        <f>IF(ISNUMBER(EB1_TopFix),EB1_TopFix,Q9-O9/12)</f>
        <v>43.237692232218137</v>
      </c>
      <c r="S9" s="49">
        <f>R9-F9</f>
        <v>40.237692232218137</v>
      </c>
      <c r="T9" s="51">
        <f>E9*K9*F9</f>
        <v>205.62499999999997</v>
      </c>
      <c r="U9" s="2">
        <f>EB1_Emb</f>
        <v>12</v>
      </c>
      <c r="V9" s="42" t="str">
        <f>IF(AND(U9&gt;=0,U9&lt;=F9*12),"PASS","FAIL")</f>
        <v>PASS</v>
      </c>
    </row>
    <row r="10" spans="1:22" x14ac:dyDescent="0.45">
      <c r="B10" s="11" t="s">
        <v>861</v>
      </c>
      <c r="C10" s="40">
        <f>Sp2_Sta1</f>
        <v>1805.47</v>
      </c>
      <c r="D10" s="41">
        <f>C10-(EB2_Width/2-EB2_BW/12-EB2_Inset/12)</f>
        <v>1804.72</v>
      </c>
      <c r="E10" s="40">
        <f>EB2_Width</f>
        <v>3.5</v>
      </c>
      <c r="F10" s="40">
        <f>EB2_Depth</f>
        <v>3</v>
      </c>
      <c r="G10" s="2">
        <f>EB2_NPile</f>
        <v>4</v>
      </c>
      <c r="H10" s="2">
        <f>EB2_PileW</f>
        <v>18</v>
      </c>
      <c r="I10" s="41">
        <f>EB2_PileSp/12</f>
        <v>4.5</v>
      </c>
      <c r="J10" s="2">
        <f>EB2_PileClr</f>
        <v>27.5</v>
      </c>
      <c r="K10" s="41">
        <f>IF(ISNUMBER(EB2_LenFix),EB2_LenFix,(G10-1)*I10+H10/12+2*J10/12)</f>
        <v>19.583333333333332</v>
      </c>
      <c r="L10" s="42" t="str">
        <f>IF(ISNUMBER(EB2_LenFix),IF(ABS(EB2_LenFix-((G10-1)*I10+H10/12+2*J10/12))&lt;0.00000001,"PASS","FAIL"),"PASS")</f>
        <v>PASS</v>
      </c>
      <c r="M10" s="40">
        <f>EB2_Ctr</f>
        <v>0</v>
      </c>
      <c r="N10" s="54">
        <f>EB2_Slope</f>
        <v>0</v>
      </c>
      <c r="O10" s="2">
        <f>EB2_Reveal</f>
        <v>6</v>
      </c>
      <c r="P10" s="40">
        <f>EB2_TopFix</f>
        <v>0</v>
      </c>
      <c r="Q10" s="49">
        <f>MIN('Bearing Seats'!V14-N10*('Bearing Seats'!G14-M10),'Bearing Seats'!V15-N10*('Bearing Seats'!G15-M10))</f>
        <v>43.749692144029659</v>
      </c>
      <c r="R10" s="63">
        <f>IF(ISNUMBER(EB2_TopFix),EB2_TopFix,Q10-O10/12)</f>
        <v>43.249692144029659</v>
      </c>
      <c r="S10" s="49">
        <f>R10-F10</f>
        <v>40.249692144029659</v>
      </c>
      <c r="T10" s="51">
        <f>E10*K10*F10</f>
        <v>205.62499999999997</v>
      </c>
      <c r="U10" s="2">
        <f>EB2_Emb</f>
        <v>12</v>
      </c>
      <c r="V10" s="42" t="str">
        <f>IF(AND(U10&gt;=0,U10&lt;=F10*12),"PASS","FAIL")</f>
        <v>PASS</v>
      </c>
    </row>
    <row r="12" spans="1:22" x14ac:dyDescent="0.45">
      <c r="B12" s="8" t="s">
        <v>1155</v>
      </c>
    </row>
    <row r="14" spans="1:22" x14ac:dyDescent="0.45">
      <c r="A14" s="17" t="s">
        <v>1156</v>
      </c>
      <c r="B14" s="18"/>
      <c r="C14" s="18"/>
      <c r="D14" s="18"/>
      <c r="E14" s="18"/>
      <c r="F14" s="18"/>
      <c r="G14" s="18"/>
      <c r="H14" s="18"/>
      <c r="I14" s="18"/>
      <c r="J14" s="18"/>
      <c r="K14" s="18"/>
      <c r="L14" s="18"/>
      <c r="M14" s="18"/>
      <c r="N14" s="18"/>
      <c r="O14" s="18"/>
      <c r="P14" s="18"/>
      <c r="Q14" s="18"/>
      <c r="R14" s="18"/>
      <c r="S14" s="18"/>
      <c r="T14" s="18"/>
      <c r="U14" s="18"/>
      <c r="V14" s="18"/>
    </row>
    <row r="15" spans="1:22" ht="32" customHeight="1" x14ac:dyDescent="0.45">
      <c r="B15" s="19" t="s">
        <v>1048</v>
      </c>
      <c r="C15" s="19" t="s">
        <v>1050</v>
      </c>
      <c r="D15" s="19" t="s">
        <v>1049</v>
      </c>
      <c r="E15" s="19" t="s">
        <v>863</v>
      </c>
      <c r="F15" s="19" t="s">
        <v>1072</v>
      </c>
      <c r="G15" s="19" t="s">
        <v>1157</v>
      </c>
      <c r="H15" s="19" t="s">
        <v>1158</v>
      </c>
      <c r="I15" s="19" t="s">
        <v>1159</v>
      </c>
    </row>
    <row r="16" spans="1:22" x14ac:dyDescent="0.45">
      <c r="B16" s="11" t="s">
        <v>859</v>
      </c>
      <c r="C16" s="11" t="s">
        <v>881</v>
      </c>
      <c r="D16" s="11" t="s">
        <v>1067</v>
      </c>
      <c r="E16" s="40">
        <f>'Bearing Seats'!G8</f>
        <v>-4.291666666666667</v>
      </c>
      <c r="F16" s="54">
        <f>'Bearing Seats'!V8</f>
        <v>43.737692232218137</v>
      </c>
      <c r="G16" s="49">
        <f>R9+N9*(E16-M9)</f>
        <v>43.237692232218137</v>
      </c>
      <c r="H16" s="41">
        <f t="shared" ref="H16:H23" si="0">(F16-G16)*12</f>
        <v>6</v>
      </c>
      <c r="I16" s="42" t="str">
        <f>IF(H16&gt;=O9-0.000001,"PASS","FAIL")</f>
        <v>PASS</v>
      </c>
    </row>
    <row r="17" spans="1:22" x14ac:dyDescent="0.45">
      <c r="B17" s="11" t="s">
        <v>859</v>
      </c>
      <c r="C17" s="11" t="s">
        <v>882</v>
      </c>
      <c r="D17" s="11" t="s">
        <v>1067</v>
      </c>
      <c r="E17" s="40">
        <f>'Bearing Seats'!G9</f>
        <v>4.291666666666667</v>
      </c>
      <c r="F17" s="54">
        <f>'Bearing Seats'!V9</f>
        <v>43.737692232218137</v>
      </c>
      <c r="G17" s="49">
        <f>R9+N9*(E17-M9)</f>
        <v>43.237692232218137</v>
      </c>
      <c r="H17" s="41">
        <f t="shared" si="0"/>
        <v>6</v>
      </c>
      <c r="I17" s="42" t="str">
        <f>IF(H17&gt;=O9-0.000001,"PASS","FAIL")</f>
        <v>PASS</v>
      </c>
    </row>
    <row r="18" spans="1:22" x14ac:dyDescent="0.45">
      <c r="B18" s="11" t="s">
        <v>860</v>
      </c>
      <c r="C18" s="11" t="s">
        <v>881</v>
      </c>
      <c r="D18" s="11" t="s">
        <v>1068</v>
      </c>
      <c r="E18" s="40">
        <f>'Bearing Seats'!G10</f>
        <v>-4.291666666666667</v>
      </c>
      <c r="F18" s="54">
        <f>'Bearing Seats'!V10</f>
        <v>44.264944415497133</v>
      </c>
      <c r="G18" s="49">
        <f>R8+N8*(E18-M8)</f>
        <v>43.764939909758922</v>
      </c>
      <c r="H18" s="41">
        <f t="shared" si="0"/>
        <v>6.0000540688585318</v>
      </c>
      <c r="I18" s="42" t="str">
        <f>IF(H18&gt;=O8-0.000001,"PASS","FAIL")</f>
        <v>PASS</v>
      </c>
    </row>
    <row r="19" spans="1:22" x14ac:dyDescent="0.45">
      <c r="B19" s="11" t="s">
        <v>860</v>
      </c>
      <c r="C19" s="11" t="s">
        <v>882</v>
      </c>
      <c r="D19" s="11" t="s">
        <v>1068</v>
      </c>
      <c r="E19" s="40">
        <f>'Bearing Seats'!G11</f>
        <v>4.291666666666667</v>
      </c>
      <c r="F19" s="54">
        <f>'Bearing Seats'!V11</f>
        <v>44.264944415497133</v>
      </c>
      <c r="G19" s="49">
        <f>R8+N8*(E19-M8)</f>
        <v>43.764939909758922</v>
      </c>
      <c r="H19" s="41">
        <f t="shared" si="0"/>
        <v>6.0000540688585318</v>
      </c>
      <c r="I19" s="42" t="str">
        <f>IF(H19&gt;=O8-0.000001,"PASS","FAIL")</f>
        <v>PASS</v>
      </c>
    </row>
    <row r="20" spans="1:22" x14ac:dyDescent="0.45">
      <c r="B20" s="11" t="s">
        <v>860</v>
      </c>
      <c r="C20" s="11" t="s">
        <v>883</v>
      </c>
      <c r="D20" s="11" t="s">
        <v>1067</v>
      </c>
      <c r="E20" s="40">
        <f>'Bearing Seats'!G12</f>
        <v>-4.291666666666667</v>
      </c>
      <c r="F20" s="54">
        <f>'Bearing Seats'!V12</f>
        <v>44.264939909758922</v>
      </c>
      <c r="G20" s="49">
        <f>R8+N8*(E20-M8)</f>
        <v>43.764939909758922</v>
      </c>
      <c r="H20" s="41">
        <f t="shared" si="0"/>
        <v>6</v>
      </c>
      <c r="I20" s="42" t="str">
        <f>IF(H20&gt;=O8-0.000001,"PASS","FAIL")</f>
        <v>PASS</v>
      </c>
    </row>
    <row r="21" spans="1:22" x14ac:dyDescent="0.45">
      <c r="B21" s="11" t="s">
        <v>860</v>
      </c>
      <c r="C21" s="11" t="s">
        <v>884</v>
      </c>
      <c r="D21" s="11" t="s">
        <v>1067</v>
      </c>
      <c r="E21" s="40">
        <f>'Bearing Seats'!G13</f>
        <v>4.291666666666667</v>
      </c>
      <c r="F21" s="54">
        <f>'Bearing Seats'!V13</f>
        <v>44.264939909758922</v>
      </c>
      <c r="G21" s="49">
        <f>R8+N8*(E21-M8)</f>
        <v>43.764939909758922</v>
      </c>
      <c r="H21" s="41">
        <f t="shared" si="0"/>
        <v>6</v>
      </c>
      <c r="I21" s="42" t="str">
        <f>IF(H21&gt;=O8-0.000001,"PASS","FAIL")</f>
        <v>PASS</v>
      </c>
    </row>
    <row r="22" spans="1:22" x14ac:dyDescent="0.45">
      <c r="B22" s="11" t="s">
        <v>861</v>
      </c>
      <c r="C22" s="11" t="s">
        <v>883</v>
      </c>
      <c r="D22" s="11" t="s">
        <v>1068</v>
      </c>
      <c r="E22" s="40">
        <f>'Bearing Seats'!G14</f>
        <v>-4.291666666666667</v>
      </c>
      <c r="F22" s="54">
        <f>'Bearing Seats'!V14</f>
        <v>43.749692144029659</v>
      </c>
      <c r="G22" s="49">
        <f>R10+N10*(E22-M10)</f>
        <v>43.249692144029659</v>
      </c>
      <c r="H22" s="41">
        <f t="shared" si="0"/>
        <v>6</v>
      </c>
      <c r="I22" s="42" t="str">
        <f>IF(H22&gt;=O10-0.000001,"PASS","FAIL")</f>
        <v>PASS</v>
      </c>
    </row>
    <row r="23" spans="1:22" x14ac:dyDescent="0.45">
      <c r="B23" s="11" t="s">
        <v>861</v>
      </c>
      <c r="C23" s="11" t="s">
        <v>884</v>
      </c>
      <c r="D23" s="11" t="s">
        <v>1068</v>
      </c>
      <c r="E23" s="40">
        <f>'Bearing Seats'!G15</f>
        <v>4.291666666666667</v>
      </c>
      <c r="F23" s="54">
        <f>'Bearing Seats'!V15</f>
        <v>43.749692144029659</v>
      </c>
      <c r="G23" s="49">
        <f>R10+N10*(E23-M10)</f>
        <v>43.249692144029659</v>
      </c>
      <c r="H23" s="41">
        <f t="shared" si="0"/>
        <v>6</v>
      </c>
      <c r="I23" s="42" t="str">
        <f>IF(H23&gt;=O10-0.000001,"PASS","FAIL")</f>
        <v>PASS</v>
      </c>
    </row>
    <row r="25" spans="1:22" x14ac:dyDescent="0.45">
      <c r="A25" s="17" t="s">
        <v>1160</v>
      </c>
      <c r="B25" s="18"/>
      <c r="C25" s="18"/>
      <c r="D25" s="18"/>
      <c r="E25" s="18"/>
      <c r="F25" s="18"/>
      <c r="G25" s="18"/>
      <c r="H25" s="18"/>
      <c r="I25" s="18"/>
      <c r="J25" s="18"/>
      <c r="K25" s="18"/>
      <c r="L25" s="18"/>
      <c r="M25" s="18"/>
      <c r="N25" s="18"/>
      <c r="O25" s="18"/>
      <c r="P25" s="18"/>
      <c r="Q25" s="18"/>
      <c r="R25" s="18"/>
      <c r="S25" s="18"/>
      <c r="T25" s="18"/>
      <c r="U25" s="18"/>
      <c r="V25" s="18"/>
    </row>
    <row r="26" spans="1:22" ht="32" customHeight="1" x14ac:dyDescent="0.45">
      <c r="B26" s="19" t="s">
        <v>1048</v>
      </c>
      <c r="C26" s="19" t="s">
        <v>765</v>
      </c>
      <c r="D26" s="19" t="s">
        <v>1161</v>
      </c>
      <c r="E26" s="19" t="s">
        <v>1162</v>
      </c>
      <c r="F26" s="19" t="s">
        <v>1163</v>
      </c>
      <c r="G26" s="19" t="s">
        <v>1164</v>
      </c>
      <c r="H26" s="19" t="s">
        <v>1165</v>
      </c>
    </row>
    <row r="27" spans="1:22" x14ac:dyDescent="0.45">
      <c r="B27" s="11" t="s">
        <v>860</v>
      </c>
      <c r="C27" s="11">
        <v>1</v>
      </c>
      <c r="D27" s="49">
        <f>MIN('Bearing Seats'!G26,'Bearing Seats'!H26,'Bearing Seats'!I26,'Bearing Seats'!J26)</f>
        <v>44.259763695637588</v>
      </c>
      <c r="E27" s="2">
        <f>Pier_Chamf</f>
        <v>0.75</v>
      </c>
      <c r="F27" s="49">
        <f>R8+N8*(Bm1_Off-M8)+ABS(N8)*Pier_PedW/24</f>
        <v>43.764939909758922</v>
      </c>
      <c r="G27" s="42" t="str">
        <f t="shared" ref="G27:G32" si="1">IF(D27-E27/12&gt;=F27-0.000000001,"PASS","FAIL")</f>
        <v>PASS</v>
      </c>
      <c r="H27" s="42" t="str">
        <f>IF(AND(Bm1_Off-Pier_PedW/24&gt;=M8-K8/2-0.000000001,Bm1_Off+Pier_PedW/24&lt;=M8+K8/2+0.000000001),"PASS","FAIL")</f>
        <v>PASS</v>
      </c>
    </row>
    <row r="28" spans="1:22" x14ac:dyDescent="0.45">
      <c r="B28" s="11" t="s">
        <v>860</v>
      </c>
      <c r="C28" s="11">
        <v>2</v>
      </c>
      <c r="D28" s="49">
        <f>MIN('Bearing Seats'!G27,'Bearing Seats'!H27,'Bearing Seats'!I27,'Bearing Seats'!J27)</f>
        <v>44.259763695637588</v>
      </c>
      <c r="E28" s="2">
        <f>Pier_Chamf</f>
        <v>0.75</v>
      </c>
      <c r="F28" s="49">
        <f>R8+N8*(Bm2_Off-M8)+ABS(N8)*Pier_PedW/24</f>
        <v>43.764939909758922</v>
      </c>
      <c r="G28" s="42" t="str">
        <f t="shared" si="1"/>
        <v>PASS</v>
      </c>
      <c r="H28" s="42" t="str">
        <f>IF(AND(Bm2_Off-Pier_PedW/24&gt;=M8-K8/2-0.000000001,Bm2_Off+Pier_PedW/24&lt;=M8+K8/2+0.000000001),"PASS","FAIL")</f>
        <v>PASS</v>
      </c>
    </row>
    <row r="29" spans="1:22" x14ac:dyDescent="0.45">
      <c r="B29" s="11" t="s">
        <v>859</v>
      </c>
      <c r="C29" s="11">
        <v>1</v>
      </c>
      <c r="D29" s="49">
        <f>MIN('Bearing Seats'!I19,'Bearing Seats'!J19)</f>
        <v>43.73229964536867</v>
      </c>
      <c r="E29" s="2">
        <f>EB1_Chamf</f>
        <v>0.75</v>
      </c>
      <c r="F29" s="49">
        <f>R9+N9*(Bm1_Off-M9)+ABS(N9)*EB1_PedW/24</f>
        <v>43.237692232218137</v>
      </c>
      <c r="G29" s="42" t="str">
        <f t="shared" si="1"/>
        <v>PASS</v>
      </c>
      <c r="H29" s="42" t="str">
        <f>IF(AND(Bm1_Off-EB1_PedW/24&gt;=M9-K9/2-0.000000001,Bm1_Off+EB1_PedW/24&lt;=M9+K9/2+0.000000001),"PASS","FAIL")</f>
        <v>PASS</v>
      </c>
    </row>
    <row r="30" spans="1:22" x14ac:dyDescent="0.45">
      <c r="B30" s="11" t="s">
        <v>859</v>
      </c>
      <c r="C30" s="11">
        <v>2</v>
      </c>
      <c r="D30" s="49">
        <f>MIN('Bearing Seats'!I20,'Bearing Seats'!J20)</f>
        <v>43.73229964536867</v>
      </c>
      <c r="E30" s="2">
        <f>EB1_Chamf</f>
        <v>0.75</v>
      </c>
      <c r="F30" s="49">
        <f>R9+N9*(Bm2_Off-M9)+ABS(N9)*EB1_PedW/24</f>
        <v>43.237692232218137</v>
      </c>
      <c r="G30" s="42" t="str">
        <f t="shared" si="1"/>
        <v>PASS</v>
      </c>
      <c r="H30" s="42" t="str">
        <f>IF(AND(Bm2_Off-EB1_PedW/24&gt;=M9-K9/2-0.000000001,Bm2_Off+EB1_PedW/24&lt;=M9+K9/2+0.000000001),"PASS","FAIL")</f>
        <v>PASS</v>
      </c>
    </row>
    <row r="31" spans="1:22" x14ac:dyDescent="0.45">
      <c r="B31" s="11" t="s">
        <v>861</v>
      </c>
      <c r="C31" s="11">
        <v>1</v>
      </c>
      <c r="D31" s="49">
        <f>MIN('Bearing Seats'!I21,'Bearing Seats'!J21)</f>
        <v>43.742855891468814</v>
      </c>
      <c r="E31" s="2">
        <f>EB2_Chamf</f>
        <v>0.75</v>
      </c>
      <c r="F31" s="49">
        <f>R10+N10*(Bm1_Off-M10)+ABS(N10)*EB2_PedW/24</f>
        <v>43.249692144029659</v>
      </c>
      <c r="G31" s="42" t="str">
        <f t="shared" si="1"/>
        <v>PASS</v>
      </c>
      <c r="H31" s="42" t="str">
        <f>IF(AND(Bm1_Off-EB2_PedW/24&gt;=M10-K10/2-0.000000001,Bm1_Off+EB2_PedW/24&lt;=M10+K10/2+0.000000001),"PASS","FAIL")</f>
        <v>PASS</v>
      </c>
    </row>
    <row r="32" spans="1:22" x14ac:dyDescent="0.45">
      <c r="B32" s="11" t="s">
        <v>861</v>
      </c>
      <c r="C32" s="11">
        <v>2</v>
      </c>
      <c r="D32" s="49">
        <f>MIN('Bearing Seats'!I22,'Bearing Seats'!J22)</f>
        <v>43.742855891468814</v>
      </c>
      <c r="E32" s="2">
        <f>EB2_Chamf</f>
        <v>0.75</v>
      </c>
      <c r="F32" s="49">
        <f>R10+N10*(Bm2_Off-M10)+ABS(N10)*EB2_PedW/24</f>
        <v>43.249692144029659</v>
      </c>
      <c r="G32" s="42" t="str">
        <f t="shared" si="1"/>
        <v>PASS</v>
      </c>
      <c r="H32" s="42" t="str">
        <f>IF(AND(Bm2_Off-EB2_PedW/24&gt;=M10-K10/2-0.000000001,Bm2_Off+EB2_PedW/24&lt;=M10+K10/2+0.000000001),"PASS","FAIL")</f>
        <v>PASS</v>
      </c>
    </row>
    <row r="34" spans="1:22" x14ac:dyDescent="0.45">
      <c r="A34" s="17" t="s">
        <v>1166</v>
      </c>
      <c r="B34" s="18"/>
      <c r="C34" s="18"/>
      <c r="D34" s="18"/>
      <c r="E34" s="18"/>
      <c r="F34" s="18"/>
      <c r="G34" s="18"/>
      <c r="H34" s="18"/>
      <c r="I34" s="18"/>
      <c r="J34" s="18"/>
      <c r="K34" s="18"/>
      <c r="L34" s="18"/>
      <c r="M34" s="18"/>
      <c r="N34" s="18"/>
      <c r="O34" s="18"/>
      <c r="P34" s="18"/>
      <c r="Q34" s="18"/>
      <c r="R34" s="18"/>
      <c r="S34" s="18"/>
      <c r="T34" s="18"/>
      <c r="U34" s="18"/>
      <c r="V34" s="18"/>
    </row>
    <row r="35" spans="1:22" ht="18" customHeight="1" x14ac:dyDescent="0.45">
      <c r="B35" s="19" t="s">
        <v>1048</v>
      </c>
      <c r="C35" s="19" t="s">
        <v>1167</v>
      </c>
      <c r="D35" s="19" t="s">
        <v>863</v>
      </c>
      <c r="E35" s="19" t="s">
        <v>1168</v>
      </c>
    </row>
    <row r="36" spans="1:22" x14ac:dyDescent="0.45">
      <c r="B36" s="11" t="s">
        <v>860</v>
      </c>
      <c r="C36" s="11" t="s">
        <v>1169</v>
      </c>
      <c r="D36" s="41">
        <f>M8-K8/2</f>
        <v>-9.5833333333333339</v>
      </c>
      <c r="E36" s="49">
        <f>R8+N8*(D36-M8)</f>
        <v>43.764939909758922</v>
      </c>
    </row>
    <row r="37" spans="1:22" x14ac:dyDescent="0.45">
      <c r="B37" s="11" t="s">
        <v>860</v>
      </c>
      <c r="C37" s="11" t="s">
        <v>1170</v>
      </c>
      <c r="D37" s="41">
        <f>M8+K8/2</f>
        <v>9.5833333333333339</v>
      </c>
      <c r="E37" s="49">
        <f>R8+N8*(D37-M8)</f>
        <v>43.764939909758922</v>
      </c>
    </row>
    <row r="38" spans="1:22" x14ac:dyDescent="0.45">
      <c r="B38" s="11" t="s">
        <v>860</v>
      </c>
      <c r="C38" s="11" t="s">
        <v>1171</v>
      </c>
      <c r="D38" s="41">
        <f>M8+K8/2</f>
        <v>9.5833333333333339</v>
      </c>
      <c r="E38" s="49">
        <f>R8+N8*(D38-M8)-F8</f>
        <v>40.764939909758922</v>
      </c>
    </row>
    <row r="39" spans="1:22" x14ac:dyDescent="0.45">
      <c r="B39" s="11" t="s">
        <v>860</v>
      </c>
      <c r="C39" s="11" t="s">
        <v>1172</v>
      </c>
      <c r="D39" s="41">
        <f>M8-K8/2</f>
        <v>-9.5833333333333339</v>
      </c>
      <c r="E39" s="49">
        <f>R8+N8*(D39-M8)-F8</f>
        <v>40.764939909758922</v>
      </c>
    </row>
    <row r="40" spans="1:22" x14ac:dyDescent="0.45">
      <c r="B40" s="11" t="s">
        <v>859</v>
      </c>
      <c r="C40" s="11" t="s">
        <v>1169</v>
      </c>
      <c r="D40" s="41">
        <f>M9-K9/2</f>
        <v>-9.7916666666666661</v>
      </c>
      <c r="E40" s="49">
        <f>R9+N9*(D40-M9)</f>
        <v>43.237692232218137</v>
      </c>
    </row>
    <row r="41" spans="1:22" x14ac:dyDescent="0.45">
      <c r="B41" s="11" t="s">
        <v>859</v>
      </c>
      <c r="C41" s="11" t="s">
        <v>1170</v>
      </c>
      <c r="D41" s="41">
        <f>M9+K9/2</f>
        <v>9.7916666666666661</v>
      </c>
      <c r="E41" s="49">
        <f>R9+N9*(D41-M9)</f>
        <v>43.237692232218137</v>
      </c>
    </row>
    <row r="42" spans="1:22" x14ac:dyDescent="0.45">
      <c r="B42" s="11" t="s">
        <v>859</v>
      </c>
      <c r="C42" s="11" t="s">
        <v>1171</v>
      </c>
      <c r="D42" s="41">
        <f>M9+K9/2</f>
        <v>9.7916666666666661</v>
      </c>
      <c r="E42" s="49">
        <f>R9+N9*(D42-M9)-F9</f>
        <v>40.237692232218137</v>
      </c>
    </row>
    <row r="43" spans="1:22" x14ac:dyDescent="0.45">
      <c r="B43" s="11" t="s">
        <v>859</v>
      </c>
      <c r="C43" s="11" t="s">
        <v>1172</v>
      </c>
      <c r="D43" s="41">
        <f>M9-K9/2</f>
        <v>-9.7916666666666661</v>
      </c>
      <c r="E43" s="49">
        <f>R9+N9*(D43-M9)-F9</f>
        <v>40.237692232218137</v>
      </c>
    </row>
    <row r="44" spans="1:22" x14ac:dyDescent="0.45">
      <c r="B44" s="11" t="s">
        <v>861</v>
      </c>
      <c r="C44" s="11" t="s">
        <v>1169</v>
      </c>
      <c r="D44" s="41">
        <f>M10-K10/2</f>
        <v>-9.7916666666666661</v>
      </c>
      <c r="E44" s="49">
        <f>R10+N10*(D44-M10)</f>
        <v>43.249692144029659</v>
      </c>
    </row>
    <row r="45" spans="1:22" x14ac:dyDescent="0.45">
      <c r="B45" s="11" t="s">
        <v>861</v>
      </c>
      <c r="C45" s="11" t="s">
        <v>1170</v>
      </c>
      <c r="D45" s="41">
        <f>M10+K10/2</f>
        <v>9.7916666666666661</v>
      </c>
      <c r="E45" s="49">
        <f>R10+N10*(D45-M10)</f>
        <v>43.249692144029659</v>
      </c>
    </row>
    <row r="46" spans="1:22" x14ac:dyDescent="0.45">
      <c r="B46" s="11" t="s">
        <v>861</v>
      </c>
      <c r="C46" s="11" t="s">
        <v>1171</v>
      </c>
      <c r="D46" s="41">
        <f>M10+K10/2</f>
        <v>9.7916666666666661</v>
      </c>
      <c r="E46" s="49">
        <f>R10+N10*(D46-M10)-F10</f>
        <v>40.249692144029659</v>
      </c>
    </row>
    <row r="47" spans="1:22" x14ac:dyDescent="0.45">
      <c r="B47" s="11" t="s">
        <v>861</v>
      </c>
      <c r="C47" s="11" t="s">
        <v>1172</v>
      </c>
      <c r="D47" s="41">
        <f>M10-K10/2</f>
        <v>-9.7916666666666661</v>
      </c>
      <c r="E47" s="49">
        <f>R10+N10*(D47-M10)-F10</f>
        <v>40.249692144029659</v>
      </c>
    </row>
    <row r="49" spans="1:22" x14ac:dyDescent="0.45">
      <c r="A49" s="17" t="s">
        <v>1173</v>
      </c>
      <c r="B49" s="18"/>
      <c r="C49" s="18"/>
      <c r="D49" s="18"/>
      <c r="E49" s="18"/>
      <c r="F49" s="18"/>
      <c r="G49" s="18"/>
      <c r="H49" s="18"/>
      <c r="I49" s="18"/>
      <c r="J49" s="18"/>
      <c r="K49" s="18"/>
      <c r="L49" s="18"/>
      <c r="M49" s="18"/>
      <c r="N49" s="18"/>
      <c r="O49" s="18"/>
      <c r="P49" s="18"/>
      <c r="Q49" s="18"/>
      <c r="R49" s="18"/>
      <c r="S49" s="18"/>
      <c r="T49" s="18"/>
      <c r="U49" s="18"/>
      <c r="V49" s="18"/>
    </row>
    <row r="50" spans="1:22" ht="32" customHeight="1" x14ac:dyDescent="0.45">
      <c r="B50" s="19" t="s">
        <v>1048</v>
      </c>
      <c r="C50" s="19" t="s">
        <v>1174</v>
      </c>
      <c r="D50" s="19" t="s">
        <v>863</v>
      </c>
      <c r="E50" s="19" t="s">
        <v>1175</v>
      </c>
      <c r="F50" s="19" t="s">
        <v>1176</v>
      </c>
      <c r="G50" s="19" t="s">
        <v>1157</v>
      </c>
      <c r="H50" s="19" t="s">
        <v>1177</v>
      </c>
      <c r="I50" s="19" t="s">
        <v>1153</v>
      </c>
      <c r="J50" s="19" t="s">
        <v>1178</v>
      </c>
      <c r="K50" s="19" t="s">
        <v>1179</v>
      </c>
    </row>
    <row r="51" spans="1:22" x14ac:dyDescent="0.45">
      <c r="B51" s="11" t="s">
        <v>860</v>
      </c>
      <c r="C51" s="11">
        <v>1</v>
      </c>
      <c r="D51" s="41">
        <f>M8+(1-(G8+1)/2)*I8</f>
        <v>-7.5</v>
      </c>
      <c r="E51" s="11">
        <f>H8</f>
        <v>20</v>
      </c>
      <c r="F51" s="11" t="s">
        <v>1180</v>
      </c>
      <c r="G51" s="49">
        <f>R8+N8*(D51-M8)</f>
        <v>43.764939909758922</v>
      </c>
      <c r="H51" s="49">
        <f>G51-F8</f>
        <v>40.764939909758922</v>
      </c>
      <c r="I51" s="11">
        <f>U8</f>
        <v>12</v>
      </c>
      <c r="J51" s="63">
        <f t="shared" ref="J51:J62" si="2">H51+I51/12</f>
        <v>41.764939909758922</v>
      </c>
      <c r="K51" s="51">
        <f t="shared" ref="K51:K62" si="3">J51-Phys_TrialPile</f>
        <v>-48.235060090241063</v>
      </c>
    </row>
    <row r="52" spans="1:22" x14ac:dyDescent="0.45">
      <c r="B52" s="11" t="s">
        <v>860</v>
      </c>
      <c r="C52" s="11">
        <v>2</v>
      </c>
      <c r="D52" s="41">
        <f>M8+(2-(G8+1)/2)*I8</f>
        <v>-2.5</v>
      </c>
      <c r="E52" s="11">
        <f>H8</f>
        <v>20</v>
      </c>
      <c r="F52" s="11" t="s">
        <v>1180</v>
      </c>
      <c r="G52" s="49">
        <f>R8+N8*(D52-M8)</f>
        <v>43.764939909758922</v>
      </c>
      <c r="H52" s="49">
        <f>G52-F8</f>
        <v>40.764939909758922</v>
      </c>
      <c r="I52" s="11">
        <f>U8</f>
        <v>12</v>
      </c>
      <c r="J52" s="63">
        <f t="shared" si="2"/>
        <v>41.764939909758922</v>
      </c>
      <c r="K52" s="51">
        <f t="shared" si="3"/>
        <v>-48.235060090241063</v>
      </c>
    </row>
    <row r="53" spans="1:22" x14ac:dyDescent="0.45">
      <c r="B53" s="11" t="s">
        <v>860</v>
      </c>
      <c r="C53" s="11">
        <v>3</v>
      </c>
      <c r="D53" s="41">
        <f>M8+(3-(G8+1)/2)*I8</f>
        <v>2.5</v>
      </c>
      <c r="E53" s="11">
        <f>H8</f>
        <v>20</v>
      </c>
      <c r="F53" s="11" t="s">
        <v>1180</v>
      </c>
      <c r="G53" s="49">
        <f>R8+N8*(D53-M8)</f>
        <v>43.764939909758922</v>
      </c>
      <c r="H53" s="49">
        <f>G53-F8</f>
        <v>40.764939909758922</v>
      </c>
      <c r="I53" s="11">
        <f>U8</f>
        <v>12</v>
      </c>
      <c r="J53" s="63">
        <f t="shared" si="2"/>
        <v>41.764939909758922</v>
      </c>
      <c r="K53" s="51">
        <f t="shared" si="3"/>
        <v>-48.235060090241063</v>
      </c>
    </row>
    <row r="54" spans="1:22" x14ac:dyDescent="0.45">
      <c r="B54" s="11" t="s">
        <v>860</v>
      </c>
      <c r="C54" s="11">
        <v>4</v>
      </c>
      <c r="D54" s="41">
        <f>M8+(4-(G8+1)/2)*I8</f>
        <v>7.5</v>
      </c>
      <c r="E54" s="11">
        <f>H8</f>
        <v>20</v>
      </c>
      <c r="F54" s="11" t="s">
        <v>1180</v>
      </c>
      <c r="G54" s="49">
        <f>R8+N8*(D54-M8)</f>
        <v>43.764939909758922</v>
      </c>
      <c r="H54" s="49">
        <f>G54-F8</f>
        <v>40.764939909758922</v>
      </c>
      <c r="I54" s="11">
        <f>U8</f>
        <v>12</v>
      </c>
      <c r="J54" s="63">
        <f t="shared" si="2"/>
        <v>41.764939909758922</v>
      </c>
      <c r="K54" s="51">
        <f t="shared" si="3"/>
        <v>-48.235060090241063</v>
      </c>
    </row>
    <row r="55" spans="1:22" x14ac:dyDescent="0.45">
      <c r="B55" s="11" t="s">
        <v>859</v>
      </c>
      <c r="C55" s="11">
        <v>1</v>
      </c>
      <c r="D55" s="41">
        <f>M9+(1-(G9+1)/2)*I9</f>
        <v>-6.75</v>
      </c>
      <c r="E55" s="11">
        <f>H9</f>
        <v>18</v>
      </c>
      <c r="F55" s="11" t="s">
        <v>1181</v>
      </c>
      <c r="G55" s="49">
        <f>R9+N9*(D55-M9)</f>
        <v>43.237692232218137</v>
      </c>
      <c r="H55" s="49">
        <f>G55-F9</f>
        <v>40.237692232218137</v>
      </c>
      <c r="I55" s="11">
        <f>U9</f>
        <v>12</v>
      </c>
      <c r="J55" s="63">
        <f t="shared" si="2"/>
        <v>41.237692232218137</v>
      </c>
      <c r="K55" s="51">
        <f t="shared" si="3"/>
        <v>-48.762307767781849</v>
      </c>
    </row>
    <row r="56" spans="1:22" x14ac:dyDescent="0.45">
      <c r="B56" s="11" t="s">
        <v>859</v>
      </c>
      <c r="C56" s="11">
        <v>2</v>
      </c>
      <c r="D56" s="41">
        <f>M9+(2-(G9+1)/2)*I9</f>
        <v>-2.25</v>
      </c>
      <c r="E56" s="11">
        <f>H9</f>
        <v>18</v>
      </c>
      <c r="F56" s="11" t="s">
        <v>1181</v>
      </c>
      <c r="G56" s="49">
        <f>R9+N9*(D56-M9)</f>
        <v>43.237692232218137</v>
      </c>
      <c r="H56" s="49">
        <f>G56-F9</f>
        <v>40.237692232218137</v>
      </c>
      <c r="I56" s="11">
        <f>U9</f>
        <v>12</v>
      </c>
      <c r="J56" s="63">
        <f t="shared" si="2"/>
        <v>41.237692232218137</v>
      </c>
      <c r="K56" s="51">
        <f t="shared" si="3"/>
        <v>-48.762307767781849</v>
      </c>
    </row>
    <row r="57" spans="1:22" x14ac:dyDescent="0.45">
      <c r="B57" s="11" t="s">
        <v>859</v>
      </c>
      <c r="C57" s="11">
        <v>3</v>
      </c>
      <c r="D57" s="41">
        <f>M9+(3-(G9+1)/2)*I9</f>
        <v>2.25</v>
      </c>
      <c r="E57" s="11">
        <f>H9</f>
        <v>18</v>
      </c>
      <c r="F57" s="11" t="s">
        <v>1181</v>
      </c>
      <c r="G57" s="49">
        <f>R9+N9*(D57-M9)</f>
        <v>43.237692232218137</v>
      </c>
      <c r="H57" s="49">
        <f>G57-F9</f>
        <v>40.237692232218137</v>
      </c>
      <c r="I57" s="11">
        <f>U9</f>
        <v>12</v>
      </c>
      <c r="J57" s="63">
        <f t="shared" si="2"/>
        <v>41.237692232218137</v>
      </c>
      <c r="K57" s="51">
        <f t="shared" si="3"/>
        <v>-48.762307767781849</v>
      </c>
    </row>
    <row r="58" spans="1:22" x14ac:dyDescent="0.45">
      <c r="B58" s="11" t="s">
        <v>859</v>
      </c>
      <c r="C58" s="11">
        <v>4</v>
      </c>
      <c r="D58" s="41">
        <f>M9+(4-(G9+1)/2)*I9</f>
        <v>6.75</v>
      </c>
      <c r="E58" s="11">
        <f>H9</f>
        <v>18</v>
      </c>
      <c r="F58" s="11" t="s">
        <v>1181</v>
      </c>
      <c r="G58" s="49">
        <f>R9+N9*(D58-M9)</f>
        <v>43.237692232218137</v>
      </c>
      <c r="H58" s="49">
        <f>G58-F9</f>
        <v>40.237692232218137</v>
      </c>
      <c r="I58" s="11">
        <f>U9</f>
        <v>12</v>
      </c>
      <c r="J58" s="63">
        <f t="shared" si="2"/>
        <v>41.237692232218137</v>
      </c>
      <c r="K58" s="51">
        <f t="shared" si="3"/>
        <v>-48.762307767781849</v>
      </c>
    </row>
    <row r="59" spans="1:22" x14ac:dyDescent="0.45">
      <c r="B59" s="11" t="s">
        <v>861</v>
      </c>
      <c r="C59" s="11">
        <v>1</v>
      </c>
      <c r="D59" s="41">
        <f>M10+(1-(G10+1)/2)*I10</f>
        <v>-6.75</v>
      </c>
      <c r="E59" s="11">
        <f>H10</f>
        <v>18</v>
      </c>
      <c r="F59" s="11" t="s">
        <v>1181</v>
      </c>
      <c r="G59" s="49">
        <f>R10+N10*(D59-M10)</f>
        <v>43.249692144029659</v>
      </c>
      <c r="H59" s="49">
        <f>G59-F10</f>
        <v>40.249692144029659</v>
      </c>
      <c r="I59" s="11">
        <f>U10</f>
        <v>12</v>
      </c>
      <c r="J59" s="63">
        <f t="shared" si="2"/>
        <v>41.249692144029659</v>
      </c>
      <c r="K59" s="51">
        <f t="shared" si="3"/>
        <v>-48.750307855970327</v>
      </c>
    </row>
    <row r="60" spans="1:22" x14ac:dyDescent="0.45">
      <c r="B60" s="11" t="s">
        <v>861</v>
      </c>
      <c r="C60" s="11">
        <v>2</v>
      </c>
      <c r="D60" s="41">
        <f>M10+(2-(G10+1)/2)*I10</f>
        <v>-2.25</v>
      </c>
      <c r="E60" s="11">
        <f>H10</f>
        <v>18</v>
      </c>
      <c r="F60" s="11" t="s">
        <v>1181</v>
      </c>
      <c r="G60" s="49">
        <f>R10+N10*(D60-M10)</f>
        <v>43.249692144029659</v>
      </c>
      <c r="H60" s="49">
        <f>G60-F10</f>
        <v>40.249692144029659</v>
      </c>
      <c r="I60" s="11">
        <f>U10</f>
        <v>12</v>
      </c>
      <c r="J60" s="63">
        <f t="shared" si="2"/>
        <v>41.249692144029659</v>
      </c>
      <c r="K60" s="51">
        <f t="shared" si="3"/>
        <v>-48.750307855970327</v>
      </c>
    </row>
    <row r="61" spans="1:22" x14ac:dyDescent="0.45">
      <c r="B61" s="11" t="s">
        <v>861</v>
      </c>
      <c r="C61" s="11">
        <v>3</v>
      </c>
      <c r="D61" s="41">
        <f>M10+(3-(G10+1)/2)*I10</f>
        <v>2.25</v>
      </c>
      <c r="E61" s="11">
        <f>H10</f>
        <v>18</v>
      </c>
      <c r="F61" s="11" t="s">
        <v>1181</v>
      </c>
      <c r="G61" s="49">
        <f>R10+N10*(D61-M10)</f>
        <v>43.249692144029659</v>
      </c>
      <c r="H61" s="49">
        <f>G61-F10</f>
        <v>40.249692144029659</v>
      </c>
      <c r="I61" s="11">
        <f>U10</f>
        <v>12</v>
      </c>
      <c r="J61" s="63">
        <f t="shared" si="2"/>
        <v>41.249692144029659</v>
      </c>
      <c r="K61" s="51">
        <f t="shared" si="3"/>
        <v>-48.750307855970327</v>
      </c>
    </row>
    <row r="62" spans="1:22" x14ac:dyDescent="0.45">
      <c r="B62" s="11" t="s">
        <v>861</v>
      </c>
      <c r="C62" s="11">
        <v>4</v>
      </c>
      <c r="D62" s="41">
        <f>M10+(4-(G10+1)/2)*I10</f>
        <v>6.75</v>
      </c>
      <c r="E62" s="11">
        <f>H10</f>
        <v>18</v>
      </c>
      <c r="F62" s="11" t="s">
        <v>1181</v>
      </c>
      <c r="G62" s="49">
        <f>R10+N10*(D62-M10)</f>
        <v>43.249692144029659</v>
      </c>
      <c r="H62" s="49">
        <f>G62-F10</f>
        <v>40.249692144029659</v>
      </c>
      <c r="I62" s="11">
        <f>U10</f>
        <v>12</v>
      </c>
      <c r="J62" s="63">
        <f t="shared" si="2"/>
        <v>41.249692144029659</v>
      </c>
      <c r="K62" s="51">
        <f t="shared" si="3"/>
        <v>-48.750307855970327</v>
      </c>
    </row>
    <row r="64" spans="1:22" x14ac:dyDescent="0.45">
      <c r="A64" s="17" t="s">
        <v>1182</v>
      </c>
      <c r="B64" s="18"/>
      <c r="C64" s="18"/>
      <c r="D64" s="18"/>
      <c r="E64" s="18"/>
      <c r="F64" s="18"/>
      <c r="G64" s="18"/>
      <c r="H64" s="18"/>
      <c r="I64" s="18"/>
      <c r="J64" s="18"/>
      <c r="K64" s="18"/>
      <c r="L64" s="18"/>
      <c r="M64" s="18"/>
      <c r="N64" s="18"/>
      <c r="O64" s="18"/>
      <c r="P64" s="18"/>
      <c r="Q64" s="18"/>
      <c r="R64" s="18"/>
      <c r="S64" s="18"/>
      <c r="T64" s="18"/>
      <c r="U64" s="18"/>
      <c r="V64" s="18"/>
    </row>
    <row r="65" spans="2:8" ht="18" customHeight="1" x14ac:dyDescent="0.45">
      <c r="B65" s="91" t="s">
        <v>1183</v>
      </c>
      <c r="C65" s="92"/>
      <c r="D65" s="92"/>
      <c r="E65" s="93"/>
      <c r="F65" s="19" t="s">
        <v>859</v>
      </c>
      <c r="G65" s="19" t="s">
        <v>861</v>
      </c>
      <c r="H65" s="19" t="s">
        <v>104</v>
      </c>
    </row>
    <row r="66" spans="2:8" x14ac:dyDescent="0.45">
      <c r="B66" s="90" t="s">
        <v>1184</v>
      </c>
      <c r="C66" s="83"/>
      <c r="D66" s="83"/>
      <c r="E66" s="83"/>
      <c r="F66" s="62">
        <f>EB1_CapSta-EB1_Width/2</f>
        <v>1592.22</v>
      </c>
      <c r="G66" s="62">
        <f>EB2_CapSta+EB2_Width/2</f>
        <v>1806.47</v>
      </c>
      <c r="H66" s="11" t="s">
        <v>135</v>
      </c>
    </row>
    <row r="67" spans="2:8" x14ac:dyDescent="0.45">
      <c r="B67" s="90" t="s">
        <v>1185</v>
      </c>
      <c r="C67" s="83"/>
      <c r="D67" s="83"/>
      <c r="E67" s="83"/>
      <c r="F67" s="62">
        <f>F66-EB1_LugP/12</f>
        <v>1591.72</v>
      </c>
      <c r="G67" s="62">
        <f>G66+EB2_LugP/12</f>
        <v>1806.97</v>
      </c>
      <c r="H67" s="11" t="s">
        <v>135</v>
      </c>
    </row>
    <row r="68" spans="2:8" x14ac:dyDescent="0.45">
      <c r="B68" s="90" t="s">
        <v>1186</v>
      </c>
      <c r="C68" s="83"/>
      <c r="D68" s="83"/>
      <c r="E68" s="83"/>
      <c r="F68" s="62">
        <f>F66+EB1_Inset/12</f>
        <v>1592.22</v>
      </c>
      <c r="G68" s="62">
        <f>G66-(EB2_Inset+EB2_BW)/12</f>
        <v>1805.47</v>
      </c>
      <c r="H68" s="11" t="s">
        <v>135</v>
      </c>
    </row>
    <row r="69" spans="2:8" x14ac:dyDescent="0.45">
      <c r="B69" s="90" t="s">
        <v>1187</v>
      </c>
      <c r="C69" s="83"/>
      <c r="D69" s="83"/>
      <c r="E69" s="83"/>
      <c r="F69" s="62">
        <f>F66+(EB1_Inset+EB1_BW)/12</f>
        <v>1593.22</v>
      </c>
      <c r="G69" s="62">
        <f>G66-EB2_Inset/12</f>
        <v>1806.47</v>
      </c>
      <c r="H69" s="11" t="s">
        <v>135</v>
      </c>
    </row>
    <row r="70" spans="2:8" x14ac:dyDescent="0.45">
      <c r="B70" s="90" t="s">
        <v>1188</v>
      </c>
      <c r="C70" s="83"/>
      <c r="D70" s="83"/>
      <c r="E70" s="83"/>
      <c r="F70" s="42" t="str">
        <f>IF(ABS(F69-Sp1_Sta0)&lt;0.00000001,"PASS","FAIL")</f>
        <v>PASS</v>
      </c>
      <c r="G70" s="42" t="str">
        <f>IF(ABS(G68-Sp2_Sta1)&lt;0.00000001,"PASS","FAIL")</f>
        <v>PASS</v>
      </c>
      <c r="H70" s="11"/>
    </row>
    <row r="71" spans="2:8" x14ac:dyDescent="0.45">
      <c r="B71" s="90" t="s">
        <v>1189</v>
      </c>
      <c r="C71" s="83"/>
      <c r="D71" s="83"/>
      <c r="E71" s="83"/>
      <c r="F71" s="62">
        <f>EB1_Ctr-EB1_Len/2</f>
        <v>-9.7916666666666661</v>
      </c>
      <c r="G71" s="62">
        <f>EB2_Ctr-EB2_Len/2</f>
        <v>-9.7916666666666661</v>
      </c>
      <c r="H71" s="11" t="s">
        <v>135</v>
      </c>
    </row>
    <row r="72" spans="2:8" x14ac:dyDescent="0.45">
      <c r="B72" s="90" t="s">
        <v>1190</v>
      </c>
      <c r="C72" s="83"/>
      <c r="D72" s="83"/>
      <c r="E72" s="83"/>
      <c r="F72" s="62">
        <f>EB1_Ctr+EB1_Len/2</f>
        <v>9.7916666666666661</v>
      </c>
      <c r="G72" s="62">
        <f>EB2_Ctr+EB2_Len/2</f>
        <v>9.7916666666666661</v>
      </c>
      <c r="H72" s="11" t="s">
        <v>135</v>
      </c>
    </row>
    <row r="73" spans="2:8" x14ac:dyDescent="0.45">
      <c r="B73" s="90" t="s">
        <v>1191</v>
      </c>
      <c r="C73" s="83"/>
      <c r="D73" s="83"/>
      <c r="E73" s="83"/>
      <c r="F73" s="64">
        <f>EB1_Len*12+2*EB1_CkT</f>
        <v>251</v>
      </c>
      <c r="G73" s="64">
        <f>EB2_Len*12+2*EB2_CkT</f>
        <v>251</v>
      </c>
      <c r="H73" s="11" t="s">
        <v>211</v>
      </c>
    </row>
    <row r="74" spans="2:8" x14ac:dyDescent="0.45">
      <c r="B74" s="90" t="s">
        <v>1192</v>
      </c>
      <c r="C74" s="83"/>
      <c r="D74" s="83"/>
      <c r="E74" s="83"/>
      <c r="F74" s="62">
        <f>IF(Prof_Mode="parabolic",Prof_Z0+Prof_G1*((Sp1_Sta0)-Prof_Sta0)+Prof_Kq*((Sp1_Sta0)-Prof_Sta0)^2,IF((Sp1_Sta0)&lt;=Prof_PISta,Prof_Z0+Prof_G1*((Sp1_Sta0)-Prof_Sta0),Prof_PIZ+Prof_G2*((Sp1_Sta0)-Prof_PISta)))</f>
        <v>47.661000000000001</v>
      </c>
      <c r="G74" s="62">
        <f>IF(Prof_Mode="parabolic",Prof_Z0+Prof_G1*((Sp2_Sta1)-Prof_Sta0)+Prof_Kq*((Sp2_Sta1)-Prof_Sta0)^2,IF((Sp2_Sta1)&lt;=Prof_PISta,Prof_Z0+Prof_G1*((Sp2_Sta1)-Prof_Sta0),Prof_PIZ+Prof_G2*((Sp2_Sta1)-Prof_PISta)))</f>
        <v>47.673000000000002</v>
      </c>
      <c r="H74" s="11" t="s">
        <v>135</v>
      </c>
    </row>
    <row r="75" spans="2:8" x14ac:dyDescent="0.45">
      <c r="B75" s="90" t="s">
        <v>1193</v>
      </c>
      <c r="C75" s="83"/>
      <c r="D75" s="83"/>
      <c r="E75" s="83"/>
      <c r="F75" s="62">
        <f>F74+IF(Deck_Mode="uniform",Deck_Uni*(F71),Deck_Crown*ABS(F71))-EB1_BwDrop/12</f>
        <v>47.111000000000004</v>
      </c>
      <c r="G75" s="62">
        <f>G74+IF(Deck_Mode="uniform",Deck_Uni*(G71),Deck_Crown*ABS(G71))-EB2_BwDrop/12</f>
        <v>47.123000000000005</v>
      </c>
      <c r="H75" s="11" t="s">
        <v>135</v>
      </c>
    </row>
    <row r="76" spans="2:8" x14ac:dyDescent="0.45">
      <c r="B76" s="90" t="s">
        <v>1194</v>
      </c>
      <c r="C76" s="83"/>
      <c r="D76" s="83"/>
      <c r="E76" s="83"/>
      <c r="F76" s="62">
        <f>F74+IF(Deck_Mode="uniform",Deck_Uni*(0),Deck_Crown*ABS(0))-EB1_BwDrop/12</f>
        <v>47.306833333333337</v>
      </c>
      <c r="G76" s="62">
        <f>G74+IF(Deck_Mode="uniform",Deck_Uni*(0),Deck_Crown*ABS(0))-EB2_BwDrop/12</f>
        <v>47.318833333333338</v>
      </c>
      <c r="H76" s="11" t="s">
        <v>135</v>
      </c>
    </row>
    <row r="77" spans="2:8" x14ac:dyDescent="0.45">
      <c r="B77" s="90" t="s">
        <v>1195</v>
      </c>
      <c r="C77" s="83"/>
      <c r="D77" s="83"/>
      <c r="E77" s="83"/>
      <c r="F77" s="62">
        <f>F74+IF(Deck_Mode="uniform",Deck_Uni*(F72),Deck_Crown*ABS(F72))-EB1_BwDrop/12</f>
        <v>47.111000000000004</v>
      </c>
      <c r="G77" s="62">
        <f>G74+IF(Deck_Mode="uniform",Deck_Uni*(G72),Deck_Crown*ABS(G72))-EB2_BwDrop/12</f>
        <v>47.123000000000005</v>
      </c>
      <c r="H77" s="11" t="s">
        <v>135</v>
      </c>
    </row>
    <row r="78" spans="2:8" x14ac:dyDescent="0.45">
      <c r="B78" s="90" t="s">
        <v>1196</v>
      </c>
      <c r="C78" s="83"/>
      <c r="D78" s="83"/>
      <c r="E78" s="83"/>
      <c r="F78" s="62">
        <f>EB1_Top+EB1_Slope*(F71-EB1_Ctr)</f>
        <v>43.237692232218137</v>
      </c>
      <c r="G78" s="62">
        <f>EB2_Top+EB2_Slope*(G71-EB2_Ctr)</f>
        <v>43.249692144029659</v>
      </c>
      <c r="H78" s="11" t="s">
        <v>135</v>
      </c>
    </row>
    <row r="79" spans="2:8" x14ac:dyDescent="0.45">
      <c r="B79" s="90" t="s">
        <v>1197</v>
      </c>
      <c r="C79" s="83"/>
      <c r="D79" s="83"/>
      <c r="E79" s="83"/>
      <c r="F79" s="62">
        <f>EB1_Top+EB1_Slope*(0-EB1_Ctr)</f>
        <v>43.237692232218137</v>
      </c>
      <c r="G79" s="62">
        <f>EB2_Top+EB2_Slope*(0-EB2_Ctr)</f>
        <v>43.249692144029659</v>
      </c>
      <c r="H79" s="11" t="s">
        <v>135</v>
      </c>
    </row>
    <row r="80" spans="2:8" x14ac:dyDescent="0.45">
      <c r="B80" s="90" t="s">
        <v>1198</v>
      </c>
      <c r="C80" s="83"/>
      <c r="D80" s="83"/>
      <c r="E80" s="83"/>
      <c r="F80" s="62">
        <f>EB1_Top+EB1_Slope*(F72-EB1_Ctr)</f>
        <v>43.237692232218137</v>
      </c>
      <c r="G80" s="62">
        <f>EB2_Top+EB2_Slope*(G72-EB2_Ctr)</f>
        <v>43.249692144029659</v>
      </c>
      <c r="H80" s="11" t="s">
        <v>135</v>
      </c>
    </row>
    <row r="81" spans="2:8" x14ac:dyDescent="0.45">
      <c r="B81" s="90" t="s">
        <v>1199</v>
      </c>
      <c r="C81" s="83"/>
      <c r="D81" s="83"/>
      <c r="E81" s="83"/>
      <c r="F81" s="62">
        <f t="shared" ref="F81:G83" si="4">F75-F78</f>
        <v>3.873307767781867</v>
      </c>
      <c r="G81" s="62">
        <f t="shared" si="4"/>
        <v>3.8733078559703458</v>
      </c>
      <c r="H81" s="11" t="s">
        <v>135</v>
      </c>
    </row>
    <row r="82" spans="2:8" x14ac:dyDescent="0.45">
      <c r="B82" s="90" t="s">
        <v>1200</v>
      </c>
      <c r="C82" s="83"/>
      <c r="D82" s="83"/>
      <c r="E82" s="83"/>
      <c r="F82" s="62">
        <f t="shared" si="4"/>
        <v>4.0691411011151999</v>
      </c>
      <c r="G82" s="62">
        <f t="shared" si="4"/>
        <v>4.0691411893036786</v>
      </c>
      <c r="H82" s="11" t="s">
        <v>135</v>
      </c>
    </row>
    <row r="83" spans="2:8" x14ac:dyDescent="0.45">
      <c r="B83" s="90" t="s">
        <v>1201</v>
      </c>
      <c r="C83" s="83"/>
      <c r="D83" s="83"/>
      <c r="E83" s="83"/>
      <c r="F83" s="62">
        <f t="shared" si="4"/>
        <v>3.873307767781867</v>
      </c>
      <c r="G83" s="62">
        <f t="shared" si="4"/>
        <v>3.8733078559703458</v>
      </c>
      <c r="H83" s="11" t="s">
        <v>135</v>
      </c>
    </row>
    <row r="84" spans="2:8" x14ac:dyDescent="0.45">
      <c r="B84" s="90" t="s">
        <v>1202</v>
      </c>
      <c r="C84" s="83"/>
      <c r="D84" s="83"/>
      <c r="E84" s="83"/>
      <c r="F84" s="62">
        <f>EB1_BW/12*IF(AND(F71&lt;0,F72&gt;0),(0-F71)*(F81+F82)/2+F72*(F82+F83)/2,(F72-F71)*(F81+F83)/2)</f>
        <v>77.769811841283769</v>
      </c>
      <c r="G84" s="62">
        <f>EB2_BW/12*IF(AND(G71&lt;0,G72&gt;0),(0-G71)*(G81+G82)/2+G72*(G82+G83)/2,(G72-G71)*(G81+G83)/2)</f>
        <v>77.769813568308152</v>
      </c>
      <c r="H84" s="11" t="s">
        <v>1203</v>
      </c>
    </row>
    <row r="85" spans="2:8" x14ac:dyDescent="0.45">
      <c r="B85" s="90" t="s">
        <v>1204</v>
      </c>
      <c r="C85" s="83"/>
      <c r="D85" s="83"/>
      <c r="E85" s="83"/>
      <c r="F85" s="62">
        <f>F78-EB1_Depth</f>
        <v>40.237692232218137</v>
      </c>
      <c r="G85" s="62">
        <f>G78-EB2_Depth</f>
        <v>40.249692144029659</v>
      </c>
      <c r="H85" s="11" t="s">
        <v>135</v>
      </c>
    </row>
    <row r="86" spans="2:8" x14ac:dyDescent="0.45">
      <c r="B86" s="90" t="s">
        <v>1205</v>
      </c>
      <c r="C86" s="83"/>
      <c r="D86" s="83"/>
      <c r="E86" s="83"/>
      <c r="F86" s="62">
        <f>F80-EB1_Depth</f>
        <v>40.237692232218137</v>
      </c>
      <c r="G86" s="62">
        <f>G80-EB2_Depth</f>
        <v>40.249692144029659</v>
      </c>
      <c r="H86" s="11" t="s">
        <v>135</v>
      </c>
    </row>
    <row r="87" spans="2:8" x14ac:dyDescent="0.45">
      <c r="B87" s="90" t="s">
        <v>1206</v>
      </c>
      <c r="C87" s="83"/>
      <c r="D87" s="83"/>
      <c r="E87" s="83"/>
      <c r="F87" s="62">
        <f>F85-EB1_LugP/12</f>
        <v>39.737692232218137</v>
      </c>
      <c r="G87" s="62">
        <f>G85-EB2_LugP/12</f>
        <v>39.749692144029659</v>
      </c>
      <c r="H87" s="11" t="s">
        <v>135</v>
      </c>
    </row>
    <row r="88" spans="2:8" x14ac:dyDescent="0.45">
      <c r="B88" s="90" t="s">
        <v>1207</v>
      </c>
      <c r="C88" s="83"/>
      <c r="D88" s="83"/>
      <c r="E88" s="83"/>
      <c r="F88" s="62">
        <f>F86-EB1_LugP/12</f>
        <v>39.737692232218137</v>
      </c>
      <c r="G88" s="62">
        <f>G86-EB2_LugP/12</f>
        <v>39.749692144029659</v>
      </c>
      <c r="H88" s="11" t="s">
        <v>135</v>
      </c>
    </row>
    <row r="89" spans="2:8" x14ac:dyDescent="0.45">
      <c r="B89" s="90" t="s">
        <v>1208</v>
      </c>
      <c r="C89" s="83"/>
      <c r="D89" s="83"/>
      <c r="E89" s="83"/>
      <c r="F89" s="62">
        <f>IF(ISNUMBER(EB1_CkTopL),EB1_CkTopL,F74+IF(Deck_Mode="uniform",Deck_Uni*(Deck_YL),Deck_Crown*ABS(Deck_YL)))</f>
        <v>48.269044756099099</v>
      </c>
      <c r="G89" s="62">
        <f>IF(ISNUMBER(EB2_CkTopL),EB2_CkTopL,G74+IF(Deck_Mode="uniform",Deck_Uni*(Deck_YL),Deck_Crown*ABS(Deck_YL)))</f>
        <v>48.277042695716602</v>
      </c>
      <c r="H89" s="11" t="s">
        <v>135</v>
      </c>
    </row>
    <row r="90" spans="2:8" x14ac:dyDescent="0.45">
      <c r="B90" s="90" t="s">
        <v>1209</v>
      </c>
      <c r="C90" s="83"/>
      <c r="D90" s="83"/>
      <c r="E90" s="83"/>
      <c r="F90" s="62">
        <f>IF(ISNUMBER(EB1_CkTopR),EB1_CkTopR,F74+IF(Deck_Mode="uniform",Deck_Uni*(Deck_YR),Deck_Crown*ABS(Deck_YR)))</f>
        <v>48.264512455291452</v>
      </c>
      <c r="G90" s="62">
        <f>IF(ISNUMBER(EB2_CkTopR),EB2_CkTopR,G74+IF(Deck_Mode="uniform",Deck_Uni*(Deck_YR),Deck_Crown*ABS(Deck_YR)))</f>
        <v>48.259802877755398</v>
      </c>
      <c r="H90" s="11" t="s">
        <v>135</v>
      </c>
    </row>
    <row r="91" spans="2:8" x14ac:dyDescent="0.45">
      <c r="B91" s="90" t="s">
        <v>1210</v>
      </c>
      <c r="C91" s="83"/>
      <c r="D91" s="83"/>
      <c r="E91" s="83"/>
      <c r="F91" s="62">
        <f>EB1_Width*EB1_CkT/12*(F89-F85)+EB1_Width*EB1_LugW/12*EB1_LugP/12+EB1_LugP/12*EB1_LugW/12*(F89-F85+EB1_LugP/12)</f>
        <v>21.497007509111633</v>
      </c>
      <c r="G91" s="62">
        <f>EB2_Width*EB2_CkT/12*(G89-G85)+EB2_Width*EB2_LugW/12*EB2_LugP/12+EB2_LugP/12*EB2_LugW/12*(G89-G85+EB2_LugP/12)</f>
        <v>21.48675245536446</v>
      </c>
      <c r="H91" s="11" t="s">
        <v>1203</v>
      </c>
    </row>
    <row r="92" spans="2:8" x14ac:dyDescent="0.45">
      <c r="B92" s="90" t="s">
        <v>1211</v>
      </c>
      <c r="C92" s="83"/>
      <c r="D92" s="83"/>
      <c r="E92" s="83"/>
      <c r="F92" s="62">
        <f>EB1_Width*EB1_CkT/12*(F90-F86)+EB1_Width*EB1_LugW/12*EB1_LugP/12+EB1_LugP/12*EB1_LugW/12*(F90-F86+EB1_LugP/12)</f>
        <v>21.485393488292036</v>
      </c>
      <c r="G92" s="62">
        <f>EB2_Width*EB2_CkT/12*(G90-G86)+EB2_Width*EB2_LugW/12*EB2_LugP/12+EB2_LugP/12*EB2_LugW/12*(G90-G86+EB2_LugP/12)</f>
        <v>21.442575421838875</v>
      </c>
      <c r="H92" s="11" t="s">
        <v>1203</v>
      </c>
    </row>
    <row r="93" spans="2:8" x14ac:dyDescent="0.45">
      <c r="B93" s="90" t="s">
        <v>1212</v>
      </c>
      <c r="C93" s="83"/>
      <c r="D93" s="83"/>
      <c r="E93" s="83"/>
      <c r="F93" s="42" t="str">
        <f>IF(AND(F89&gt;F78,F90&gt;F80),"PASS","FAIL")</f>
        <v>PASS</v>
      </c>
      <c r="G93" s="42" t="str">
        <f>IF(AND(G89&gt;G78,G90&gt;G80),"PASS","FAIL")</f>
        <v>PASS</v>
      </c>
      <c r="H93" s="11"/>
    </row>
    <row r="94" spans="2:8" x14ac:dyDescent="0.45">
      <c r="B94" s="90" t="s">
        <v>1213</v>
      </c>
      <c r="C94" s="83"/>
      <c r="D94" s="83"/>
      <c r="E94" s="83"/>
      <c r="F94" s="42" t="str">
        <f>IF(AND(F89&gt;=F75-0.000000001,F90&gt;=F77-0.000000001),"PASS","FAIL")</f>
        <v>PASS</v>
      </c>
      <c r="G94" s="42" t="str">
        <f>IF(AND(G89&gt;=G75-0.000000001,G90&gt;=G77-0.000000001),"PASS","FAIL")</f>
        <v>PASS</v>
      </c>
      <c r="H94" s="11"/>
    </row>
    <row r="95" spans="2:8" x14ac:dyDescent="0.45">
      <c r="B95" s="90" t="s">
        <v>1214</v>
      </c>
      <c r="C95" s="83"/>
      <c r="D95" s="83"/>
      <c r="E95" s="83"/>
      <c r="F95" s="42" t="str">
        <f>IF(AND(EB1_LugW&gt;0,EB1_LugW&lt;=EB1_CkT,EB1_LugP&gt;=0),"PASS","FAIL")</f>
        <v>PASS</v>
      </c>
      <c r="G95" s="42" t="str">
        <f>IF(AND(EB2_LugW&gt;0,EB2_LugW&lt;=EB2_CkT,EB2_LugP&gt;=0),"PASS","FAIL")</f>
        <v>PASS</v>
      </c>
      <c r="H95" s="11"/>
    </row>
    <row r="96" spans="2:8" ht="32" customHeight="1" x14ac:dyDescent="0.45">
      <c r="B96" s="8" t="s">
        <v>2711</v>
      </c>
    </row>
  </sheetData>
  <mergeCells count="31">
    <mergeCell ref="B65:E65"/>
    <mergeCell ref="B83:E83"/>
    <mergeCell ref="B74:E74"/>
    <mergeCell ref="B92:E92"/>
    <mergeCell ref="B68:E68"/>
    <mergeCell ref="B80:E80"/>
    <mergeCell ref="B75:E75"/>
    <mergeCell ref="B72:E72"/>
    <mergeCell ref="B66:E66"/>
    <mergeCell ref="B71:E71"/>
    <mergeCell ref="B70:E70"/>
    <mergeCell ref="B67:E67"/>
    <mergeCell ref="B73:E73"/>
    <mergeCell ref="B69:E69"/>
    <mergeCell ref="B84:E84"/>
    <mergeCell ref="B95:E95"/>
    <mergeCell ref="B89:E89"/>
    <mergeCell ref="B85:E85"/>
    <mergeCell ref="B76:E76"/>
    <mergeCell ref="B94:E94"/>
    <mergeCell ref="B79:E79"/>
    <mergeCell ref="B91:E91"/>
    <mergeCell ref="B90:E90"/>
    <mergeCell ref="B81:E81"/>
    <mergeCell ref="B93:E93"/>
    <mergeCell ref="B86:E86"/>
    <mergeCell ref="B77:E77"/>
    <mergeCell ref="B88:E88"/>
    <mergeCell ref="B82:E82"/>
    <mergeCell ref="B78:E78"/>
    <mergeCell ref="B87:E87"/>
  </mergeCells>
  <conditionalFormatting sqref="F66:G95">
    <cfRule type="cellIs" dxfId="41" priority="13" operator="equal">
      <formula>"PASS"</formula>
    </cfRule>
    <cfRule type="cellIs" dxfId="40" priority="14" operator="equal">
      <formula>"FAIL"</formula>
    </cfRule>
    <cfRule type="cellIs" dxfId="39" priority="15" operator="equal">
      <formula>"CHECK"</formula>
    </cfRule>
  </conditionalFormatting>
  <conditionalFormatting sqref="G27:H32">
    <cfRule type="cellIs" dxfId="38" priority="10" operator="equal">
      <formula>"PASS"</formula>
    </cfRule>
    <cfRule type="cellIs" dxfId="37" priority="11" operator="equal">
      <formula>"FAIL"</formula>
    </cfRule>
    <cfRule type="cellIs" dxfId="36" priority="12" operator="equal">
      <formula>"CHECK"</formula>
    </cfRule>
  </conditionalFormatting>
  <conditionalFormatting sqref="I16:I23">
    <cfRule type="cellIs" dxfId="35" priority="7" operator="equal">
      <formula>"PASS"</formula>
    </cfRule>
    <cfRule type="cellIs" dxfId="34" priority="8" operator="equal">
      <formula>"FAIL"</formula>
    </cfRule>
    <cfRule type="cellIs" dxfId="33" priority="9" operator="equal">
      <formula>"CHECK"</formula>
    </cfRule>
  </conditionalFormatting>
  <conditionalFormatting sqref="L8:L10">
    <cfRule type="cellIs" dxfId="32" priority="1" operator="equal">
      <formula>"PASS"</formula>
    </cfRule>
    <cfRule type="cellIs" dxfId="31" priority="2" operator="equal">
      <formula>"FAIL"</formula>
    </cfRule>
    <cfRule type="cellIs" dxfId="30" priority="3" operator="equal">
      <formula>"CHECK"</formula>
    </cfRule>
  </conditionalFormatting>
  <conditionalFormatting sqref="V8:V10">
    <cfRule type="cellIs" dxfId="29" priority="4" operator="equal">
      <formula>"PASS"</formula>
    </cfRule>
    <cfRule type="cellIs" dxfId="28" priority="5" operator="equal">
      <formula>"FAIL"</formula>
    </cfRule>
    <cfRule type="cellIs" dxfId="27" priority="6" operator="equal">
      <formula>"CHECK"</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96A3"/>
    <pageSetUpPr fitToPage="1"/>
  </sheetPr>
  <dimension ref="B1:S194"/>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1215</v>
      </c>
      <c r="P1" s="43" t="s">
        <v>785</v>
      </c>
    </row>
    <row r="2" spans="2:19" x14ac:dyDescent="0.45">
      <c r="B2" s="8" t="s">
        <v>1216</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1217</v>
      </c>
    </row>
    <row r="5" spans="2:19" ht="18" customHeight="1" x14ac:dyDescent="0.45">
      <c r="B5" s="36" t="s">
        <v>1218</v>
      </c>
      <c r="C5" s="18"/>
      <c r="D5" s="18"/>
      <c r="E5" s="18"/>
      <c r="F5" s="18"/>
      <c r="G5" s="18"/>
      <c r="H5" s="18"/>
      <c r="I5" s="18"/>
      <c r="J5" s="18"/>
      <c r="K5" s="18"/>
      <c r="L5" s="18"/>
      <c r="M5" s="18"/>
      <c r="P5" s="46" t="s">
        <v>790</v>
      </c>
      <c r="Q5" s="46" t="s">
        <v>791</v>
      </c>
      <c r="R5" s="46" t="s">
        <v>792</v>
      </c>
      <c r="S5" s="46" t="s">
        <v>793</v>
      </c>
    </row>
    <row r="6" spans="2:19" ht="15" customHeight="1" x14ac:dyDescent="0.45">
      <c r="P6" s="44" t="s">
        <v>1219</v>
      </c>
      <c r="Q6" s="48">
        <f>EB1_Top</f>
        <v>43.237692232218137</v>
      </c>
    </row>
    <row r="7" spans="2:19" ht="15" customHeight="1" x14ac:dyDescent="0.45">
      <c r="P7" s="44" t="s">
        <v>1220</v>
      </c>
      <c r="Q7" s="48">
        <f>MIN(((EB1_Top+EB1_Slope*((EB1_Ctr-EB1_Len/2)-EB1_Ctr)))-$Q$6,((EB1_Top+EB1_Slope*((EB1_Ctr+EB1_Len/2)-EB1_Ctr)))-$Q$6)-EB1_Depth</f>
        <v>-3</v>
      </c>
    </row>
    <row r="8" spans="2:19" ht="15" customHeight="1" x14ac:dyDescent="0.45">
      <c r="P8" s="44" t="s">
        <v>1221</v>
      </c>
      <c r="Q8" s="47">
        <f>Substructure!$F$71</f>
        <v>-9.7916666666666661</v>
      </c>
      <c r="R8" s="47">
        <f>(Substructure!$F$78)-$Q$6</f>
        <v>0</v>
      </c>
    </row>
    <row r="9" spans="2:19" ht="15" customHeight="1" x14ac:dyDescent="0.45">
      <c r="Q9" s="47">
        <f>Substructure!$F$72</f>
        <v>9.7916666666666661</v>
      </c>
      <c r="R9" s="47">
        <f>(Substructure!$F$80)-$Q$6</f>
        <v>0</v>
      </c>
    </row>
    <row r="10" spans="2:19" ht="15" customHeight="1" x14ac:dyDescent="0.45">
      <c r="Q10" s="47">
        <f>Substructure!$F$72</f>
        <v>9.7916666666666661</v>
      </c>
      <c r="R10" s="47">
        <f>(Substructure!$F$77)-$Q$6</f>
        <v>3.873307767781867</v>
      </c>
    </row>
    <row r="11" spans="2:19" ht="15" customHeight="1" x14ac:dyDescent="0.45">
      <c r="Q11" s="47">
        <f>MAX(Substructure!$F$71,MIN(0,Substructure!$F$72))</f>
        <v>0</v>
      </c>
      <c r="R11" s="47">
        <f>(Substructure!$F$76)-$Q$6</f>
        <v>4.0691411011151999</v>
      </c>
    </row>
    <row r="12" spans="2:19" x14ac:dyDescent="0.45">
      <c r="Q12" s="47">
        <f>Substructure!$F$71</f>
        <v>-9.7916666666666661</v>
      </c>
      <c r="R12" s="47">
        <f>(Substructure!$F$75)-$Q$6</f>
        <v>3.873307767781867</v>
      </c>
    </row>
    <row r="13" spans="2:19" ht="18" customHeight="1" x14ac:dyDescent="0.45">
      <c r="B13" s="36" t="s">
        <v>1222</v>
      </c>
      <c r="C13" s="18"/>
      <c r="D13" s="18"/>
      <c r="E13" s="18"/>
      <c r="F13" s="18"/>
      <c r="G13" s="18"/>
      <c r="H13" s="18"/>
      <c r="I13" s="18"/>
      <c r="J13" s="18"/>
      <c r="K13" s="18"/>
      <c r="L13" s="18"/>
      <c r="M13" s="18"/>
      <c r="Q13" s="47">
        <f>Substructure!$F$71</f>
        <v>-9.7916666666666661</v>
      </c>
      <c r="R13" s="47">
        <f>(Substructure!$F$78)-$Q$6</f>
        <v>0</v>
      </c>
    </row>
    <row r="14" spans="2:19" ht="16.25" customHeight="1" x14ac:dyDescent="0.45">
      <c r="B14" s="85" t="s">
        <v>1223</v>
      </c>
      <c r="C14" s="83"/>
      <c r="D14" s="83"/>
      <c r="E14" s="83"/>
      <c r="F14" s="83"/>
      <c r="G14" s="83"/>
      <c r="H14" s="83"/>
      <c r="I14" s="83"/>
      <c r="J14" s="83"/>
      <c r="K14" s="83"/>
      <c r="L14" s="83"/>
      <c r="M14" s="83"/>
    </row>
    <row r="15" spans="2:19" ht="15" customHeight="1" x14ac:dyDescent="0.45">
      <c r="P15" s="44" t="s">
        <v>1224</v>
      </c>
      <c r="Q15" s="47">
        <f>Substructure!$F$71-EB1_CkT/12</f>
        <v>-10.458333333333332</v>
      </c>
      <c r="R15" s="47">
        <f>(Substructure!$F$87)-$Q$6</f>
        <v>-3.5</v>
      </c>
    </row>
    <row r="16" spans="2:19" ht="15" customHeight="1" x14ac:dyDescent="0.45">
      <c r="Q16" s="47">
        <f>Substructure!$F$71-EB1_CkT/12+EB1_LugW/12</f>
        <v>-9.9999999999999982</v>
      </c>
      <c r="R16" s="47">
        <f>(Substructure!$F$87)-$Q$6</f>
        <v>-3.5</v>
      </c>
    </row>
    <row r="17" spans="2:18" ht="15" customHeight="1" x14ac:dyDescent="0.45">
      <c r="Q17" s="47">
        <f>Substructure!$F$71-EB1_CkT/12+EB1_LugW/12</f>
        <v>-9.9999999999999982</v>
      </c>
      <c r="R17" s="47">
        <f>(Substructure!$F$85)-$Q$6</f>
        <v>-3</v>
      </c>
    </row>
    <row r="18" spans="2:18" x14ac:dyDescent="0.45">
      <c r="Q18" s="47">
        <f>Substructure!$F$71</f>
        <v>-9.7916666666666661</v>
      </c>
      <c r="R18" s="47">
        <f>(Substructure!$F$85)-$Q$6</f>
        <v>-3</v>
      </c>
    </row>
    <row r="19" spans="2:18" ht="18" customHeight="1" x14ac:dyDescent="0.45">
      <c r="B19" s="36" t="s">
        <v>1225</v>
      </c>
      <c r="C19" s="18"/>
      <c r="D19" s="18"/>
      <c r="E19" s="18"/>
      <c r="F19" s="18"/>
      <c r="G19" s="18"/>
      <c r="H19" s="18"/>
      <c r="I19" s="18"/>
      <c r="J19" s="18"/>
      <c r="K19" s="18"/>
      <c r="L19" s="18"/>
      <c r="M19" s="18"/>
      <c r="Q19" s="47">
        <f>Substructure!$F$71</f>
        <v>-9.7916666666666661</v>
      </c>
      <c r="R19" s="47">
        <f>(Substructure!$F$89)-$Q$6</f>
        <v>5.0313525238809618</v>
      </c>
    </row>
    <row r="20" spans="2:18" ht="15" customHeight="1" x14ac:dyDescent="0.45">
      <c r="Q20" s="47">
        <f>Substructure!$F$71-EB1_CkT/12</f>
        <v>-10.458333333333332</v>
      </c>
      <c r="R20" s="47">
        <f>(Substructure!$F$89)-$Q$6</f>
        <v>5.0313525238809618</v>
      </c>
    </row>
    <row r="21" spans="2:18" ht="15" customHeight="1" x14ac:dyDescent="0.45">
      <c r="Q21" s="47">
        <f>Substructure!$F$71-EB1_CkT/12</f>
        <v>-10.458333333333332</v>
      </c>
      <c r="R21" s="47">
        <f>(Substructure!$F$87)-$Q$6</f>
        <v>-3.5</v>
      </c>
    </row>
    <row r="22" spans="2:18" ht="15" customHeight="1" x14ac:dyDescent="0.45"/>
    <row r="23" spans="2:18" ht="15" customHeight="1" x14ac:dyDescent="0.45">
      <c r="Q23" s="47">
        <f>Substructure!$F$72+EB1_CkT/12-EB1_LugW/12</f>
        <v>9.9999999999999982</v>
      </c>
      <c r="R23" s="47">
        <f>(Substructure!$F$88)-$Q$6</f>
        <v>-3.5</v>
      </c>
    </row>
    <row r="24" spans="2:18" ht="15" customHeight="1" x14ac:dyDescent="0.45">
      <c r="Q24" s="47">
        <f>Substructure!$F$72+EB1_CkT/12</f>
        <v>10.458333333333332</v>
      </c>
      <c r="R24" s="47">
        <f>(Substructure!$F$88)-$Q$6</f>
        <v>-3.5</v>
      </c>
    </row>
    <row r="25" spans="2:18" ht="15" customHeight="1" x14ac:dyDescent="0.45">
      <c r="Q25" s="47">
        <f>Substructure!$F$72+EB1_CkT/12</f>
        <v>10.458333333333332</v>
      </c>
      <c r="R25" s="47">
        <f>(Substructure!$F$90)-$Q$6</f>
        <v>5.0268202230733152</v>
      </c>
    </row>
    <row r="26" spans="2:18" ht="15" customHeight="1" x14ac:dyDescent="0.45">
      <c r="Q26" s="47">
        <f>Substructure!$F$72</f>
        <v>9.7916666666666661</v>
      </c>
      <c r="R26" s="47">
        <f>(Substructure!$F$90)-$Q$6</f>
        <v>5.0268202230733152</v>
      </c>
    </row>
    <row r="27" spans="2:18" ht="15" customHeight="1" x14ac:dyDescent="0.45">
      <c r="Q27" s="47">
        <f>Substructure!$F$72</f>
        <v>9.7916666666666661</v>
      </c>
      <c r="R27" s="47">
        <f>(Substructure!$F$86)-$Q$6</f>
        <v>-3</v>
      </c>
    </row>
    <row r="28" spans="2:18" ht="15" customHeight="1" x14ac:dyDescent="0.45">
      <c r="Q28" s="47">
        <f>Substructure!$F$72+EB1_CkT/12-EB1_LugW/12</f>
        <v>9.9999999999999982</v>
      </c>
      <c r="R28" s="47">
        <f>(Substructure!$F$86)-$Q$6</f>
        <v>-3</v>
      </c>
    </row>
    <row r="29" spans="2:18" ht="15" customHeight="1" x14ac:dyDescent="0.45">
      <c r="Q29" s="47">
        <f>Substructure!$F$72+EB1_CkT/12-EB1_LugW/12</f>
        <v>9.9999999999999982</v>
      </c>
      <c r="R29" s="47">
        <f>(Substructure!$F$88)-$Q$6</f>
        <v>-3.5</v>
      </c>
    </row>
    <row r="30" spans="2:18" ht="15" customHeight="1" x14ac:dyDescent="0.45"/>
    <row r="31" spans="2:18" ht="15" customHeight="1" x14ac:dyDescent="0.45">
      <c r="P31" s="44" t="str">
        <f>"backwall top "&amp;TEXT(Substructure!$F$76,"0.000")&amp;""&amp;CHAR(10)&amp;"(behind, at FFBW)"</f>
        <v>backwall top 47.307
(behind, at FFBW)</v>
      </c>
      <c r="Q31" s="47">
        <f>0</f>
        <v>0</v>
      </c>
      <c r="R31" s="47">
        <f>(Substructure!$F$76)-$Q$6</f>
        <v>4.0691411011151999</v>
      </c>
    </row>
    <row r="32" spans="2:18" ht="15" customHeight="1" x14ac:dyDescent="0.45"/>
    <row r="33" spans="2:18" ht="15" customHeight="1" x14ac:dyDescent="0.45">
      <c r="P33" s="44" t="str">
        <f>"cheek top"&amp;CHAR(10)&amp;TEXT(Substructure!$F$89,"0.000")</f>
        <v>cheek top
48.269</v>
      </c>
      <c r="Q33" s="47">
        <f>Substructure!$F$71-EB1_CkT/12/2</f>
        <v>-10.125</v>
      </c>
      <c r="R33" s="47">
        <f>(Substructure!$F$89)-$Q$6</f>
        <v>5.0313525238809618</v>
      </c>
    </row>
    <row r="34" spans="2:18" ht="15" customHeight="1" x14ac:dyDescent="0.45"/>
    <row r="35" spans="2:18" ht="15" customHeight="1" x14ac:dyDescent="0.45">
      <c r="P35" s="44" t="str">
        <f>"cheek top"&amp;CHAR(10)&amp;TEXT(Substructure!$F$90,"0.000")</f>
        <v>cheek top
48.265</v>
      </c>
      <c r="Q35" s="47">
        <f>Substructure!$F$72+EB1_CkT/12/2</f>
        <v>10.125</v>
      </c>
      <c r="R35" s="47">
        <f>(Substructure!$F$90)-$Q$6</f>
        <v>5.0268202230733152</v>
      </c>
    </row>
    <row r="36" spans="2:18" ht="15" customHeight="1" x14ac:dyDescent="0.45"/>
    <row r="37" spans="2:18" ht="15" customHeight="1" x14ac:dyDescent="0.45">
      <c r="P37" s="44" t="s">
        <v>1226</v>
      </c>
      <c r="Q37" s="47">
        <f>EB1_Ctr-EB1_Len/2</f>
        <v>-9.7916666666666661</v>
      </c>
      <c r="R37" s="47">
        <f>((EB1_Top+EB1_Slope*((EB1_Ctr-EB1_Len/2)-EB1_Ctr)))-$Q$6</f>
        <v>0</v>
      </c>
    </row>
    <row r="38" spans="2:18" ht="15" customHeight="1" x14ac:dyDescent="0.45">
      <c r="Q38" s="47">
        <f>EB1_Ctr+EB1_Len/2</f>
        <v>9.7916666666666661</v>
      </c>
      <c r="R38" s="47">
        <f>((EB1_Top+EB1_Slope*((EB1_Ctr+EB1_Len/2)-EB1_Ctr)))-$Q$6</f>
        <v>0</v>
      </c>
    </row>
    <row r="39" spans="2:18" ht="15" customHeight="1" x14ac:dyDescent="0.45">
      <c r="Q39" s="47">
        <f>EB1_Ctr+EB1_Len/2</f>
        <v>9.7916666666666661</v>
      </c>
      <c r="R39" s="47">
        <f>((EB1_Top+EB1_Slope*((EB1_Ctr+EB1_Len/2)-EB1_Ctr))-EB1_Depth)-$Q$6</f>
        <v>-3</v>
      </c>
    </row>
    <row r="40" spans="2:18" ht="15" customHeight="1" x14ac:dyDescent="0.45">
      <c r="Q40" s="47">
        <f>EB1_Ctr-EB1_Len/2</f>
        <v>-9.7916666666666661</v>
      </c>
      <c r="R40" s="47">
        <f>((EB1_Top+EB1_Slope*((EB1_Ctr-EB1_Len/2)-EB1_Ctr))-EB1_Depth)-$Q$6</f>
        <v>-3</v>
      </c>
    </row>
    <row r="41" spans="2:18" ht="15" customHeight="1" x14ac:dyDescent="0.45">
      <c r="Q41" s="47">
        <f>EB1_Ctr-EB1_Len/2</f>
        <v>-9.7916666666666661</v>
      </c>
      <c r="R41" s="47">
        <f>((EB1_Top+EB1_Slope*((EB1_Ctr-EB1_Len/2)-EB1_Ctr)))-$Q$6</f>
        <v>0</v>
      </c>
    </row>
    <row r="42" spans="2:18" ht="15" customHeight="1" x14ac:dyDescent="0.45"/>
    <row r="43" spans="2:18" ht="29.45" customHeight="1" x14ac:dyDescent="0.45">
      <c r="B43" s="82" t="s">
        <v>1227</v>
      </c>
      <c r="C43" s="83"/>
      <c r="D43" s="83"/>
      <c r="E43" s="83"/>
      <c r="F43" s="83"/>
      <c r="G43" s="83"/>
      <c r="H43" s="83"/>
      <c r="I43" s="83"/>
      <c r="J43" s="83"/>
      <c r="K43" s="83"/>
      <c r="L43" s="83"/>
      <c r="M43" s="83"/>
      <c r="P43" s="44" t="s">
        <v>1228</v>
      </c>
      <c r="Q43" s="47">
        <f>Substructure!$D$55-EB1_PileW/12/2</f>
        <v>-7.5</v>
      </c>
      <c r="R43" s="47">
        <f>(Substructure!$J$55)-$Q$6</f>
        <v>-2</v>
      </c>
    </row>
    <row r="44" spans="2:18" ht="15" customHeight="1" x14ac:dyDescent="0.45">
      <c r="Q44" s="47">
        <f>Substructure!$D$55+EB1_PileW/12/2</f>
        <v>-6</v>
      </c>
      <c r="R44" s="47">
        <f>(Substructure!$J$55)-$Q$6</f>
        <v>-2</v>
      </c>
    </row>
    <row r="45" spans="2:18" ht="15" customHeight="1" x14ac:dyDescent="0.45">
      <c r="Q45" s="47">
        <f>Substructure!$D$55+EB1_PileW/12/2</f>
        <v>-6</v>
      </c>
      <c r="R45" s="47">
        <f>(Substructure!$H$55)-$Q$6-2.2</f>
        <v>-5.2</v>
      </c>
    </row>
    <row r="46" spans="2:18" ht="15" customHeight="1" x14ac:dyDescent="0.45">
      <c r="Q46" s="47">
        <f>Substructure!$D$55-EB1_PileW/12/2</f>
        <v>-7.5</v>
      </c>
      <c r="R46" s="47">
        <f>(Substructure!$H$55)-$Q$6-2.2</f>
        <v>-5.2</v>
      </c>
    </row>
    <row r="47" spans="2:18" ht="15" customHeight="1" x14ac:dyDescent="0.45">
      <c r="Q47" s="47">
        <f>Substructure!$D$55-EB1_PileW/12/2</f>
        <v>-7.5</v>
      </c>
      <c r="R47" s="47">
        <f>(Substructure!$J$55)-$Q$6</f>
        <v>-2</v>
      </c>
    </row>
    <row r="48" spans="2:18" ht="15" customHeight="1" x14ac:dyDescent="0.45"/>
    <row r="49" spans="2:18" ht="15" customHeight="1" x14ac:dyDescent="0.45">
      <c r="Q49" s="47">
        <f>Substructure!$D$56-EB1_PileW/12/2</f>
        <v>-3</v>
      </c>
      <c r="R49" s="47">
        <f>(Substructure!$J$56)-$Q$6</f>
        <v>-2</v>
      </c>
    </row>
    <row r="50" spans="2:18" ht="15" customHeight="1" x14ac:dyDescent="0.45">
      <c r="Q50" s="47">
        <f>Substructure!$D$56+EB1_PileW/12/2</f>
        <v>-1.5</v>
      </c>
      <c r="R50" s="47">
        <f>(Substructure!$J$56)-$Q$6</f>
        <v>-2</v>
      </c>
    </row>
    <row r="51" spans="2:18" ht="15" customHeight="1" x14ac:dyDescent="0.45">
      <c r="Q51" s="47">
        <f>Substructure!$D$56+EB1_PileW/12/2</f>
        <v>-1.5</v>
      </c>
      <c r="R51" s="47">
        <f>(Substructure!$H$56)-$Q$6-2.2</f>
        <v>-5.2</v>
      </c>
    </row>
    <row r="52" spans="2:18" ht="15" customHeight="1" x14ac:dyDescent="0.45">
      <c r="Q52" s="47">
        <f>Substructure!$D$56-EB1_PileW/12/2</f>
        <v>-3</v>
      </c>
      <c r="R52" s="47">
        <f>(Substructure!$H$56)-$Q$6-2.2</f>
        <v>-5.2</v>
      </c>
    </row>
    <row r="53" spans="2:18" ht="15" customHeight="1" x14ac:dyDescent="0.45">
      <c r="Q53" s="47">
        <f>Substructure!$D$56-EB1_PileW/12/2</f>
        <v>-3</v>
      </c>
      <c r="R53" s="47">
        <f>(Substructure!$J$56)-$Q$6</f>
        <v>-2</v>
      </c>
    </row>
    <row r="54" spans="2:18" ht="15" customHeight="1" x14ac:dyDescent="0.45"/>
    <row r="55" spans="2:18" ht="15" customHeight="1" x14ac:dyDescent="0.45">
      <c r="Q55" s="47">
        <f>Substructure!$D$57-EB1_PileW/12/2</f>
        <v>1.5</v>
      </c>
      <c r="R55" s="47">
        <f>(Substructure!$J$57)-$Q$6</f>
        <v>-2</v>
      </c>
    </row>
    <row r="56" spans="2:18" ht="15" customHeight="1" x14ac:dyDescent="0.45">
      <c r="Q56" s="47">
        <f>Substructure!$D$57+EB1_PileW/12/2</f>
        <v>3</v>
      </c>
      <c r="R56" s="47">
        <f>(Substructure!$J$57)-$Q$6</f>
        <v>-2</v>
      </c>
    </row>
    <row r="57" spans="2:18" ht="15" customHeight="1" x14ac:dyDescent="0.45">
      <c r="Q57" s="47">
        <f>Substructure!$D$57+EB1_PileW/12/2</f>
        <v>3</v>
      </c>
      <c r="R57" s="47">
        <f>(Substructure!$H$57)-$Q$6-2.2</f>
        <v>-5.2</v>
      </c>
    </row>
    <row r="58" spans="2:18" ht="15" customHeight="1" x14ac:dyDescent="0.45">
      <c r="Q58" s="47">
        <f>Substructure!$D$57-EB1_PileW/12/2</f>
        <v>1.5</v>
      </c>
      <c r="R58" s="47">
        <f>(Substructure!$H$57)-$Q$6-2.2</f>
        <v>-5.2</v>
      </c>
    </row>
    <row r="59" spans="2:18" ht="15" customHeight="1" x14ac:dyDescent="0.45">
      <c r="Q59" s="47">
        <f>Substructure!$D$57-EB1_PileW/12/2</f>
        <v>1.5</v>
      </c>
      <c r="R59" s="47">
        <f>(Substructure!$J$57)-$Q$6</f>
        <v>-2</v>
      </c>
    </row>
    <row r="60" spans="2:18" ht="15" customHeight="1" x14ac:dyDescent="0.45"/>
    <row r="61" spans="2:18" ht="15" customHeight="1" x14ac:dyDescent="0.45">
      <c r="Q61" s="47">
        <f>Substructure!$D$58-EB1_PileW/12/2</f>
        <v>6</v>
      </c>
      <c r="R61" s="47">
        <f>(Substructure!$J$58)-$Q$6</f>
        <v>-2</v>
      </c>
    </row>
    <row r="62" spans="2:18" ht="15" customHeight="1" x14ac:dyDescent="0.45">
      <c r="Q62" s="47">
        <f>Substructure!$D$58+EB1_PileW/12/2</f>
        <v>7.5</v>
      </c>
      <c r="R62" s="47">
        <f>(Substructure!$J$58)-$Q$6</f>
        <v>-2</v>
      </c>
    </row>
    <row r="63" spans="2:18" ht="15" customHeight="1" x14ac:dyDescent="0.45">
      <c r="Q63" s="47">
        <f>Substructure!$D$58+EB1_PileW/12/2</f>
        <v>7.5</v>
      </c>
      <c r="R63" s="47">
        <f>(Substructure!$H$58)-$Q$6-2.2</f>
        <v>-5.2</v>
      </c>
    </row>
    <row r="64" spans="2:18" ht="16.25" customHeight="1" x14ac:dyDescent="0.45">
      <c r="B64" s="82" t="s">
        <v>1229</v>
      </c>
      <c r="C64" s="83"/>
      <c r="D64" s="83"/>
      <c r="E64" s="83"/>
      <c r="F64" s="83"/>
      <c r="G64" s="83"/>
      <c r="H64" s="83"/>
      <c r="I64" s="83"/>
      <c r="J64" s="83"/>
      <c r="K64" s="83"/>
      <c r="L64" s="83"/>
      <c r="M64" s="83"/>
      <c r="Q64" s="47">
        <f>Substructure!$D$58-EB1_PileW/12/2</f>
        <v>6</v>
      </c>
      <c r="R64" s="47">
        <f>(Substructure!$H$58)-$Q$6-2.2</f>
        <v>-5.2</v>
      </c>
    </row>
    <row r="65" spans="2:18" x14ac:dyDescent="0.45">
      <c r="Q65" s="47">
        <f>Substructure!$D$58-EB1_PileW/12/2</f>
        <v>6</v>
      </c>
      <c r="R65" s="47">
        <f>(Substructure!$J$58)-$Q$6</f>
        <v>-2</v>
      </c>
    </row>
    <row r="66" spans="2:18" ht="18" customHeight="1" x14ac:dyDescent="0.45">
      <c r="B66" s="36" t="s">
        <v>1230</v>
      </c>
      <c r="C66" s="18"/>
      <c r="D66" s="18"/>
      <c r="E66" s="18"/>
      <c r="F66" s="18"/>
      <c r="G66" s="18"/>
      <c r="H66" s="18"/>
      <c r="I66" s="18"/>
      <c r="J66" s="18"/>
      <c r="K66" s="18"/>
      <c r="L66" s="18"/>
      <c r="M66" s="18"/>
    </row>
    <row r="67" spans="2:18" ht="29.45" customHeight="1" x14ac:dyDescent="0.45">
      <c r="B67" s="85" t="str">
        <f>"The "&amp;TEXT(EB1_Len*12,"0.0")&amp;"-in cap body follows from the pile layout. Two "&amp;TEXT(EB1_CkT,"General")&amp;"-in cheek webs sit outside the cap ends over the full cap width, so the cage envelope is "&amp;TEXT(EB1_OutIn,"0.0")&amp;" in (D-027). The backwall sits on the cap rear between the inset and the FFBW, across the full cap length:"</f>
        <v>The 235.0-in cap body follows from the pile layout. Two 8-in cheek webs sit outside the cap ends over the full cap width, so the cage envelope is 251.0 in (D-027). The backwall sits on the cap rear between the inset and the FFBW, across the full cap length:</v>
      </c>
      <c r="C67" s="83"/>
      <c r="D67" s="83"/>
      <c r="E67" s="83"/>
      <c r="F67" s="83"/>
      <c r="G67" s="83"/>
      <c r="H67" s="83"/>
      <c r="I67" s="83"/>
      <c r="J67" s="83"/>
      <c r="K67" s="83"/>
      <c r="L67" s="83"/>
      <c r="M67" s="83"/>
      <c r="P67" s="44" t="str">
        <f>"pile cutoff"&amp;CHAR(10)&amp;TEXT(Substructure!$J$55,"0.0000")</f>
        <v>pile cutoff
41.2377</v>
      </c>
      <c r="Q67" s="47">
        <f>Substructure!$D$55</f>
        <v>-6.75</v>
      </c>
      <c r="R67" s="47">
        <f>(Substructure!$J$55)-$Q$6</f>
        <v>-2</v>
      </c>
    </row>
    <row r="68" spans="2:18" ht="15" customHeight="1" x14ac:dyDescent="0.45"/>
    <row r="69" spans="2:18" ht="15" customHeight="1" x14ac:dyDescent="0.45">
      <c r="P69" s="44" t="str">
        <f>"pad top"&amp;CHAR(10)&amp;TEXT('Bearing Seats'!$S$8,"0.000")</f>
        <v>pad top
43.951</v>
      </c>
      <c r="Q69" s="47">
        <f>Bm1_Off</f>
        <v>-4.291666666666667</v>
      </c>
      <c r="R69" s="47">
        <f>('Bearing Seats'!$V$8)-$Q$6+EB1_Pad/12</f>
        <v>0.71354166666666663</v>
      </c>
    </row>
    <row r="70" spans="2:18" ht="15" customHeight="1" x14ac:dyDescent="0.45"/>
    <row r="71" spans="2:18" ht="15" customHeight="1" x14ac:dyDescent="0.45">
      <c r="P71" s="44" t="str">
        <f>"pad top"&amp;CHAR(10)&amp;TEXT('Bearing Seats'!$S$9,"0.000")</f>
        <v>pad top
43.951</v>
      </c>
      <c r="Q71" s="47">
        <f>Bm2_Off</f>
        <v>4.291666666666667</v>
      </c>
      <c r="R71" s="47">
        <f>('Bearing Seats'!$V$9)-$Q$6+EB1_Pad/12</f>
        <v>0.71354166666666663</v>
      </c>
    </row>
    <row r="72" spans="2:18" ht="15" customHeight="1" x14ac:dyDescent="0.45"/>
    <row r="73" spans="2:18" ht="15" customHeight="1" x14ac:dyDescent="0.45">
      <c r="P73" s="44" t="s">
        <v>1231</v>
      </c>
      <c r="Q73" s="47">
        <f>Bm1_Off-EB1_PedW/24</f>
        <v>-6.041666666666667</v>
      </c>
      <c r="R73" s="47">
        <f>((EB1_Top+EB1_Slope*((Bm1_Off-EB1_PedW/24)-EB1_Ctr)))-$Q$6</f>
        <v>0</v>
      </c>
    </row>
    <row r="74" spans="2:18" ht="29.45" customHeight="1" x14ac:dyDescent="0.45">
      <c r="B74" s="85" t="str">
        <f>"Each cheek runs from the local cap underside at its cap end to its entered top (the D-033 barrier-return base, an MSE interface input). A bottom lug hangs below the cap and a rear lug stands behind it, both "&amp;TEXT(EB1_LugP,"General")&amp;" in deep and "&amp;TEXT(EB1_LugW,"General")&amp;" in wide on the outer face:"</f>
        <v>Each cheek runs from the local cap underside at its cap end to its entered top (the D-033 barrier-return base, an MSE interface input). A bottom lug hangs below the cap and a rear lug stands behind it, both 6 in deep and 5.5 in wide on the outer face:</v>
      </c>
      <c r="C74" s="83"/>
      <c r="D74" s="83"/>
      <c r="E74" s="83"/>
      <c r="F74" s="83"/>
      <c r="G74" s="83"/>
      <c r="H74" s="83"/>
      <c r="I74" s="83"/>
      <c r="J74" s="83"/>
      <c r="K74" s="83"/>
      <c r="L74" s="83"/>
      <c r="M74" s="83"/>
      <c r="Q74" s="47">
        <f>Bm1_Off+EB1_PedW/24</f>
        <v>-2.541666666666667</v>
      </c>
      <c r="R74" s="47">
        <f>((EB1_Top+EB1_Slope*((Bm1_Off+EB1_PedW/24)-EB1_Ctr)))-$Q$6</f>
        <v>0</v>
      </c>
    </row>
    <row r="75" spans="2:18" ht="15" customHeight="1" x14ac:dyDescent="0.45">
      <c r="Q75" s="47">
        <f>Bm1_Off+EB1_PedW/24</f>
        <v>-2.541666666666667</v>
      </c>
      <c r="R75" s="47">
        <f>('Bearing Seats'!$V$8)-$Q$6</f>
        <v>0.5</v>
      </c>
    </row>
    <row r="76" spans="2:18" ht="15" customHeight="1" x14ac:dyDescent="0.45">
      <c r="Q76" s="47">
        <f>Bm1_Off-EB1_PedW/24</f>
        <v>-6.041666666666667</v>
      </c>
      <c r="R76" s="47">
        <f>('Bearing Seats'!$V$8)-$Q$6</f>
        <v>0.5</v>
      </c>
    </row>
    <row r="77" spans="2:18" ht="15" customHeight="1" x14ac:dyDescent="0.45">
      <c r="Q77" s="47">
        <f>Bm1_Off-EB1_PedW/24</f>
        <v>-6.041666666666667</v>
      </c>
      <c r="R77" s="47">
        <f>((EB1_Top+EB1_Slope*((Bm1_Off-EB1_PedW/24)-EB1_Ctr)))-$Q$6</f>
        <v>0</v>
      </c>
    </row>
    <row r="78" spans="2:18" ht="15" customHeight="1" x14ac:dyDescent="0.45"/>
    <row r="79" spans="2:18" ht="15" customHeight="1" x14ac:dyDescent="0.45">
      <c r="Q79" s="47">
        <f>Bm2_Off-EB1_PedW/24</f>
        <v>2.541666666666667</v>
      </c>
      <c r="R79" s="47">
        <f>((EB1_Top+EB1_Slope*((Bm2_Off-EB1_PedW/24)-EB1_Ctr)))-$Q$6</f>
        <v>0</v>
      </c>
    </row>
    <row r="80" spans="2:18" ht="15" customHeight="1" x14ac:dyDescent="0.45">
      <c r="Q80" s="47">
        <f>Bm2_Off+EB1_PedW/24</f>
        <v>6.041666666666667</v>
      </c>
      <c r="R80" s="47">
        <f>((EB1_Top+EB1_Slope*((Bm2_Off+EB1_PedW/24)-EB1_Ctr)))-$Q$6</f>
        <v>0</v>
      </c>
    </row>
    <row r="81" spans="2:18" ht="74" customHeight="1" x14ac:dyDescent="0.45">
      <c r="B81" s="88" t="s">
        <v>2712</v>
      </c>
      <c r="C81" s="89"/>
      <c r="D81" s="89"/>
      <c r="E81" s="89"/>
      <c r="F81" s="89"/>
      <c r="G81" s="89"/>
      <c r="H81" s="89"/>
      <c r="I81" s="89"/>
      <c r="J81" s="89"/>
      <c r="K81" s="89"/>
      <c r="L81" s="89"/>
      <c r="M81" s="89"/>
      <c r="Q81" s="47">
        <f>Bm2_Off+EB1_PedW/24</f>
        <v>6.041666666666667</v>
      </c>
      <c r="R81" s="47">
        <f>('Bearing Seats'!$V$9)-$Q$6</f>
        <v>0.5</v>
      </c>
    </row>
    <row r="82" spans="2:18" x14ac:dyDescent="0.45">
      <c r="B82" s="86" t="s">
        <v>102</v>
      </c>
      <c r="C82" s="86" t="s">
        <v>699</v>
      </c>
      <c r="D82" s="87"/>
      <c r="E82" s="87"/>
      <c r="F82" s="87"/>
      <c r="G82" s="87"/>
      <c r="H82" s="86" t="s">
        <v>700</v>
      </c>
      <c r="I82" s="87"/>
      <c r="J82" s="87"/>
      <c r="K82" s="86" t="s">
        <v>701</v>
      </c>
      <c r="L82" s="87"/>
      <c r="M82" s="87"/>
      <c r="Q82" s="47">
        <f>Bm2_Off-EB1_PedW/24</f>
        <v>2.541666666666667</v>
      </c>
      <c r="R82" s="47">
        <f>('Bearing Seats'!$V$9)-$Q$6</f>
        <v>0.5</v>
      </c>
    </row>
    <row r="83" spans="2:18" ht="15.2" customHeight="1" x14ac:dyDescent="0.45">
      <c r="B83" s="85" t="s">
        <v>1232</v>
      </c>
      <c r="C83" s="85" t="s">
        <v>1233</v>
      </c>
      <c r="D83" s="83"/>
      <c r="E83" s="83"/>
      <c r="F83" s="83"/>
      <c r="G83" s="83"/>
      <c r="H83" s="85" t="s">
        <v>1234</v>
      </c>
      <c r="I83" s="83"/>
      <c r="J83" s="83"/>
      <c r="K83" s="85" t="s">
        <v>1235</v>
      </c>
      <c r="L83" s="83"/>
      <c r="M83" s="83"/>
      <c r="Q83" s="47">
        <f>Bm2_Off-EB1_PedW/24</f>
        <v>2.541666666666667</v>
      </c>
      <c r="R83" s="47">
        <f>((EB1_Top+EB1_Slope*((Bm2_Off-EB1_PedW/24)-EB1_Ctr)))-$Q$6</f>
        <v>0</v>
      </c>
    </row>
    <row r="84" spans="2:18" ht="15.2" customHeight="1" x14ac:dyDescent="0.45">
      <c r="B84" s="85" t="s">
        <v>1236</v>
      </c>
      <c r="C84" s="85" t="s">
        <v>304</v>
      </c>
      <c r="D84" s="83"/>
      <c r="E84" s="83"/>
      <c r="F84" s="83"/>
      <c r="G84" s="83"/>
      <c r="H84" s="85" t="s">
        <v>1237</v>
      </c>
      <c r="I84" s="83"/>
      <c r="J84" s="83"/>
      <c r="K84" s="85" t="s">
        <v>211</v>
      </c>
      <c r="L84" s="83"/>
      <c r="M84" s="83"/>
    </row>
    <row r="85" spans="2:18" ht="15.2" customHeight="1" x14ac:dyDescent="0.45">
      <c r="B85" s="85" t="s">
        <v>1238</v>
      </c>
      <c r="C85" s="85" t="s">
        <v>1239</v>
      </c>
      <c r="D85" s="83"/>
      <c r="E85" s="83"/>
      <c r="F85" s="83"/>
      <c r="G85" s="83"/>
      <c r="H85" s="85" t="s">
        <v>1240</v>
      </c>
      <c r="I85" s="83"/>
      <c r="J85" s="83"/>
      <c r="K85" s="85" t="s">
        <v>1241</v>
      </c>
      <c r="L85" s="83"/>
      <c r="M85" s="83"/>
      <c r="P85" s="44" t="s">
        <v>1242</v>
      </c>
      <c r="Q85" s="47">
        <f>Bm1_Off-EB1_PadW/24</f>
        <v>-5.625</v>
      </c>
      <c r="R85" s="47">
        <f>('Bearing Seats'!$V$8)-$Q$6</f>
        <v>0.5</v>
      </c>
    </row>
    <row r="86" spans="2:18" ht="15.2" customHeight="1" x14ac:dyDescent="0.45">
      <c r="B86" s="85" t="s">
        <v>1243</v>
      </c>
      <c r="C86" s="85" t="s">
        <v>1244</v>
      </c>
      <c r="D86" s="83"/>
      <c r="E86" s="83"/>
      <c r="F86" s="83"/>
      <c r="G86" s="83"/>
      <c r="H86" s="85" t="s">
        <v>1245</v>
      </c>
      <c r="I86" s="83"/>
      <c r="J86" s="83"/>
      <c r="K86" s="85" t="s">
        <v>211</v>
      </c>
      <c r="L86" s="83"/>
      <c r="M86" s="83"/>
      <c r="Q86" s="47">
        <f>Bm1_Off+EB1_PadW/24</f>
        <v>-2.9583333333333339</v>
      </c>
      <c r="R86" s="47">
        <f>('Bearing Seats'!$V$8)-$Q$6</f>
        <v>0.5</v>
      </c>
    </row>
    <row r="87" spans="2:18" x14ac:dyDescent="0.45">
      <c r="Q87" s="47">
        <f>Bm1_Off+EB1_PadW/24</f>
        <v>-2.9583333333333339</v>
      </c>
      <c r="R87" s="47">
        <f>('Bearing Seats'!$V$8)-$Q$6+EB1_Pad/12</f>
        <v>0.71354166666666663</v>
      </c>
    </row>
    <row r="88" spans="2:18" x14ac:dyDescent="0.45">
      <c r="Q88" s="47">
        <f>Bm1_Off-EB1_PadW/24</f>
        <v>-5.625</v>
      </c>
      <c r="R88" s="47">
        <f>('Bearing Seats'!$V$8)-$Q$6+EB1_Pad/12</f>
        <v>0.71354166666666663</v>
      </c>
    </row>
    <row r="89" spans="2:18" x14ac:dyDescent="0.45">
      <c r="Q89" s="47">
        <f>Bm1_Off-EB1_PadW/24</f>
        <v>-5.625</v>
      </c>
      <c r="R89" s="47">
        <f>('Bearing Seats'!$V$8)-$Q$6</f>
        <v>0.5</v>
      </c>
    </row>
    <row r="91" spans="2:18" x14ac:dyDescent="0.45">
      <c r="Q91" s="47">
        <f>Bm2_Off-EB1_PadW/24</f>
        <v>2.9583333333333339</v>
      </c>
      <c r="R91" s="47">
        <f>('Bearing Seats'!$V$9)-$Q$6</f>
        <v>0.5</v>
      </c>
    </row>
    <row r="92" spans="2:18" x14ac:dyDescent="0.45">
      <c r="Q92" s="47">
        <f>Bm2_Off+EB1_PadW/24</f>
        <v>5.625</v>
      </c>
      <c r="R92" s="47">
        <f>('Bearing Seats'!$V$9)-$Q$6</f>
        <v>0.5</v>
      </c>
    </row>
    <row r="93" spans="2:18" x14ac:dyDescent="0.45">
      <c r="Q93" s="47">
        <f>Bm2_Off+EB1_PadW/24</f>
        <v>5.625</v>
      </c>
      <c r="R93" s="47">
        <f>('Bearing Seats'!$V$9)-$Q$6+EB1_Pad/12</f>
        <v>0.71354166666666663</v>
      </c>
    </row>
    <row r="94" spans="2:18" x14ac:dyDescent="0.45">
      <c r="Q94" s="47">
        <f>Bm2_Off-EB1_PadW/24</f>
        <v>2.9583333333333339</v>
      </c>
      <c r="R94" s="47">
        <f>('Bearing Seats'!$V$9)-$Q$6+EB1_Pad/12</f>
        <v>0.71354166666666663</v>
      </c>
    </row>
    <row r="95" spans="2:18" x14ac:dyDescent="0.45">
      <c r="Q95" s="47">
        <f>Bm2_Off-EB1_PadW/24</f>
        <v>2.9583333333333339</v>
      </c>
      <c r="R95" s="47">
        <f>('Bearing Seats'!$V$9)-$Q$6</f>
        <v>0.5</v>
      </c>
    </row>
    <row r="97" spans="16:18" x14ac:dyDescent="0.45">
      <c r="P97" s="44" t="str">
        <f>"cap top "&amp;TEXT(EB1_Top,"0.0000")</f>
        <v>cap top 43.2377</v>
      </c>
      <c r="Q97" s="47">
        <f>EB1_Ctr</f>
        <v>0</v>
      </c>
      <c r="R97" s="47">
        <f>((EB1_Top+EB1_Slope*((EB1_Ctr)-EB1_Ctr)))-$Q$6</f>
        <v>0</v>
      </c>
    </row>
    <row r="99" spans="16:18" x14ac:dyDescent="0.45">
      <c r="P99" s="44" t="str">
        <f>"cap underside"&amp;CHAR(10)&amp;TEXT(EB1_Under,"0.0000")</f>
        <v>cap underside
40.2377</v>
      </c>
      <c r="Q99" s="47">
        <f>EB1_Ctr</f>
        <v>0</v>
      </c>
      <c r="R99" s="47">
        <f>((EB1_Top+EB1_Slope*((EB1_Ctr)-EB1_Ctr)))-$Q$6-EB1_Depth</f>
        <v>-3</v>
      </c>
    </row>
    <row r="101" spans="16:18" x14ac:dyDescent="0.45">
      <c r="P101" s="44" t="s">
        <v>1246</v>
      </c>
      <c r="Q101" s="48">
        <f>$Q$7-2.7</f>
        <v>-5.7</v>
      </c>
    </row>
    <row r="102" spans="16:18" x14ac:dyDescent="0.45">
      <c r="P102" s="44" t="s">
        <v>1247</v>
      </c>
      <c r="Q102" s="47">
        <f>EB1_Ctr-EB1_Len/2</f>
        <v>-9.7916666666666661</v>
      </c>
      <c r="R102" s="47">
        <f>$Q$101</f>
        <v>-5.7</v>
      </c>
    </row>
    <row r="103" spans="16:18" x14ac:dyDescent="0.45">
      <c r="Q103" s="47">
        <f>EB1_Ctr+EB1_Len/2</f>
        <v>9.7916666666666661</v>
      </c>
      <c r="R103" s="47">
        <f>$Q$101</f>
        <v>-5.7</v>
      </c>
    </row>
    <row r="105" spans="16:18" x14ac:dyDescent="0.45">
      <c r="P105" s="44" t="str">
        <f>"cap length "&amp;TEXT(EB1_Len*12,"0.0")&amp;" in"</f>
        <v>cap length 235.0 in</v>
      </c>
      <c r="Q105" s="47">
        <f>EB1_Ctr</f>
        <v>0</v>
      </c>
      <c r="R105" s="47">
        <f>$Q$101</f>
        <v>-5.7</v>
      </c>
    </row>
    <row r="107" spans="16:18" x14ac:dyDescent="0.45">
      <c r="P107" s="44" t="s">
        <v>1248</v>
      </c>
      <c r="Q107" s="48">
        <f>$Q$7-3.2</f>
        <v>-6.2</v>
      </c>
    </row>
    <row r="108" spans="16:18" x14ac:dyDescent="0.45">
      <c r="P108" s="44" t="s">
        <v>1249</v>
      </c>
      <c r="Q108" s="47">
        <f>EB1_Ctr-EB1_Len/2-EB1_CkT/12</f>
        <v>-10.458333333333332</v>
      </c>
      <c r="R108" s="47">
        <f>$Q$107</f>
        <v>-6.2</v>
      </c>
    </row>
    <row r="109" spans="16:18" x14ac:dyDescent="0.45">
      <c r="Q109" s="47">
        <f>EB1_Ctr+EB1_Len/2+EB1_CkT/12</f>
        <v>10.458333333333332</v>
      </c>
      <c r="R109" s="47">
        <f>$Q$107</f>
        <v>-6.2</v>
      </c>
    </row>
    <row r="111" spans="16:18" x14ac:dyDescent="0.45">
      <c r="P111" s="44" t="str">
        <f>"out-to-out with cheeks "&amp;TEXT(EB1_OutIn,"0.0")&amp;" in"</f>
        <v>out-to-out with cheeks 251.0 in</v>
      </c>
      <c r="Q111" s="47">
        <f>EB1_Ctr</f>
        <v>0</v>
      </c>
      <c r="R111" s="47">
        <f>$Q$107</f>
        <v>-6.2</v>
      </c>
    </row>
    <row r="113" spans="16:19" x14ac:dyDescent="0.45">
      <c r="P113" s="44" t="s">
        <v>1250</v>
      </c>
      <c r="Q113" s="48">
        <f>MAX(('Bearing Seats'!$V$8)-$Q$6+EB1_Pad/12,('Bearing Seats'!$V$9)-$Q$6+EB1_Pad/12,(Substructure!$F$89)-$Q$6,(Substructure!$F$90)-$Q$6)+1</f>
        <v>6.0313525238809618</v>
      </c>
    </row>
    <row r="114" spans="16:19" x14ac:dyDescent="0.45">
      <c r="P114" s="44" t="s">
        <v>802</v>
      </c>
      <c r="Q114" s="47">
        <f>EB1_Ctr-EB1_Len/2-1.3</f>
        <v>-11.091666666666667</v>
      </c>
      <c r="R114" s="47">
        <f>$Q$107-0.5-0.3</f>
        <v>-7</v>
      </c>
    </row>
    <row r="115" spans="16:19" x14ac:dyDescent="0.45">
      <c r="Q115" s="47">
        <f>EB1_Ctr+EB1_Len/2+1.3</f>
        <v>11.091666666666667</v>
      </c>
      <c r="R115" s="47">
        <f>$Q$113</f>
        <v>6.0313525238809618</v>
      </c>
    </row>
    <row r="118" spans="16:19" x14ac:dyDescent="0.45">
      <c r="P118" s="45" t="s">
        <v>1251</v>
      </c>
    </row>
    <row r="119" spans="16:19" x14ac:dyDescent="0.45">
      <c r="P119" s="46" t="s">
        <v>790</v>
      </c>
      <c r="Q119" s="46" t="s">
        <v>791</v>
      </c>
      <c r="R119" s="46" t="s">
        <v>792</v>
      </c>
      <c r="S119" s="46" t="s">
        <v>793</v>
      </c>
    </row>
    <row r="120" spans="16:19" x14ac:dyDescent="0.45">
      <c r="P120" s="44" t="s">
        <v>1219</v>
      </c>
      <c r="Q120" s="48">
        <f>Pier_Top</f>
        <v>43.764939909758922</v>
      </c>
    </row>
    <row r="121" spans="16:19" x14ac:dyDescent="0.45">
      <c r="P121" s="44" t="s">
        <v>1220</v>
      </c>
      <c r="Q121" s="48">
        <f>MIN(((Pier_Top+Pier_Slope*((Pier_Ctr-Pier_Len/2)-Pier_Ctr)))-$Q$120,((Pier_Top+Pier_Slope*((Pier_Ctr+Pier_Len/2)-Pier_Ctr)))-$Q$120)-Pier_Depth</f>
        <v>-3</v>
      </c>
    </row>
    <row r="122" spans="16:19" x14ac:dyDescent="0.45">
      <c r="P122" s="44" t="s">
        <v>1226</v>
      </c>
      <c r="Q122" s="47">
        <f>Pier_Ctr-Pier_Len/2</f>
        <v>-9.5833333333333339</v>
      </c>
      <c r="R122" s="47">
        <f>((Pier_Top+Pier_Slope*((Pier_Ctr-Pier_Len/2)-Pier_Ctr)))-$Q$120</f>
        <v>0</v>
      </c>
    </row>
    <row r="123" spans="16:19" x14ac:dyDescent="0.45">
      <c r="Q123" s="47">
        <f>Pier_Ctr+Pier_Len/2</f>
        <v>9.5833333333333339</v>
      </c>
      <c r="R123" s="47">
        <f>((Pier_Top+Pier_Slope*((Pier_Ctr+Pier_Len/2)-Pier_Ctr)))-$Q$120</f>
        <v>0</v>
      </c>
    </row>
    <row r="124" spans="16:19" x14ac:dyDescent="0.45">
      <c r="Q124" s="47">
        <f>Pier_Ctr+Pier_Len/2</f>
        <v>9.5833333333333339</v>
      </c>
      <c r="R124" s="47">
        <f>((Pier_Top+Pier_Slope*((Pier_Ctr+Pier_Len/2)-Pier_Ctr))-Pier_Depth)-$Q$120</f>
        <v>-3</v>
      </c>
    </row>
    <row r="125" spans="16:19" x14ac:dyDescent="0.45">
      <c r="Q125" s="47">
        <f>Pier_Ctr-Pier_Len/2</f>
        <v>-9.5833333333333339</v>
      </c>
      <c r="R125" s="47">
        <f>((Pier_Top+Pier_Slope*((Pier_Ctr-Pier_Len/2)-Pier_Ctr))-Pier_Depth)-$Q$120</f>
        <v>-3</v>
      </c>
    </row>
    <row r="126" spans="16:19" x14ac:dyDescent="0.45">
      <c r="Q126" s="47">
        <f>Pier_Ctr-Pier_Len/2</f>
        <v>-9.5833333333333339</v>
      </c>
      <c r="R126" s="47">
        <f>((Pier_Top+Pier_Slope*((Pier_Ctr-Pier_Len/2)-Pier_Ctr)))-$Q$120</f>
        <v>0</v>
      </c>
    </row>
    <row r="128" spans="16:19" x14ac:dyDescent="0.45">
      <c r="P128" s="44" t="s">
        <v>1228</v>
      </c>
      <c r="Q128" s="47">
        <f>Substructure!$D$51-Pier_PileD/12/2</f>
        <v>-8.3333333333333339</v>
      </c>
      <c r="R128" s="47">
        <f>(Substructure!$J$51)-$Q$120</f>
        <v>-2</v>
      </c>
    </row>
    <row r="129" spans="17:18" x14ac:dyDescent="0.45">
      <c r="Q129" s="47">
        <f>Substructure!$D$51+Pier_PileD/12/2</f>
        <v>-6.666666666666667</v>
      </c>
      <c r="R129" s="47">
        <f>(Substructure!$J$51)-$Q$120</f>
        <v>-2</v>
      </c>
    </row>
    <row r="130" spans="17:18" x14ac:dyDescent="0.45">
      <c r="Q130" s="47">
        <f>Substructure!$D$51+Pier_PileD/12/2</f>
        <v>-6.666666666666667</v>
      </c>
      <c r="R130" s="47">
        <f>(Substructure!$H$51)-$Q$120-2.2</f>
        <v>-5.2</v>
      </c>
    </row>
    <row r="131" spans="17:18" x14ac:dyDescent="0.45">
      <c r="Q131" s="47">
        <f>Substructure!$D$51-Pier_PileD/12/2</f>
        <v>-8.3333333333333339</v>
      </c>
      <c r="R131" s="47">
        <f>(Substructure!$H$51)-$Q$120-2.2</f>
        <v>-5.2</v>
      </c>
    </row>
    <row r="132" spans="17:18" x14ac:dyDescent="0.45">
      <c r="Q132" s="47">
        <f>Substructure!$D$51-Pier_PileD/12/2</f>
        <v>-8.3333333333333339</v>
      </c>
      <c r="R132" s="47">
        <f>(Substructure!$J$51)-$Q$120</f>
        <v>-2</v>
      </c>
    </row>
    <row r="134" spans="17:18" x14ac:dyDescent="0.45">
      <c r="Q134" s="47">
        <f>Substructure!$D$52-Pier_PileD/12/2</f>
        <v>-3.3333333333333335</v>
      </c>
      <c r="R134" s="47">
        <f>(Substructure!$J$52)-$Q$120</f>
        <v>-2</v>
      </c>
    </row>
    <row r="135" spans="17:18" x14ac:dyDescent="0.45">
      <c r="Q135" s="47">
        <f>Substructure!$D$52+Pier_PileD/12/2</f>
        <v>-1.6666666666666665</v>
      </c>
      <c r="R135" s="47">
        <f>(Substructure!$J$52)-$Q$120</f>
        <v>-2</v>
      </c>
    </row>
    <row r="136" spans="17:18" x14ac:dyDescent="0.45">
      <c r="Q136" s="47">
        <f>Substructure!$D$52+Pier_PileD/12/2</f>
        <v>-1.6666666666666665</v>
      </c>
      <c r="R136" s="47">
        <f>(Substructure!$H$52)-$Q$120-2.2</f>
        <v>-5.2</v>
      </c>
    </row>
    <row r="137" spans="17:18" x14ac:dyDescent="0.45">
      <c r="Q137" s="47">
        <f>Substructure!$D$52-Pier_PileD/12/2</f>
        <v>-3.3333333333333335</v>
      </c>
      <c r="R137" s="47">
        <f>(Substructure!$H$52)-$Q$120-2.2</f>
        <v>-5.2</v>
      </c>
    </row>
    <row r="138" spans="17:18" x14ac:dyDescent="0.45">
      <c r="Q138" s="47">
        <f>Substructure!$D$52-Pier_PileD/12/2</f>
        <v>-3.3333333333333335</v>
      </c>
      <c r="R138" s="47">
        <f>(Substructure!$J$52)-$Q$120</f>
        <v>-2</v>
      </c>
    </row>
    <row r="140" spans="17:18" x14ac:dyDescent="0.45">
      <c r="Q140" s="47">
        <f>Substructure!$D$53-Pier_PileD/12/2</f>
        <v>1.6666666666666665</v>
      </c>
      <c r="R140" s="47">
        <f>(Substructure!$J$53)-$Q$120</f>
        <v>-2</v>
      </c>
    </row>
    <row r="141" spans="17:18" x14ac:dyDescent="0.45">
      <c r="Q141" s="47">
        <f>Substructure!$D$53+Pier_PileD/12/2</f>
        <v>3.3333333333333335</v>
      </c>
      <c r="R141" s="47">
        <f>(Substructure!$J$53)-$Q$120</f>
        <v>-2</v>
      </c>
    </row>
    <row r="142" spans="17:18" x14ac:dyDescent="0.45">
      <c r="Q142" s="47">
        <f>Substructure!$D$53+Pier_PileD/12/2</f>
        <v>3.3333333333333335</v>
      </c>
      <c r="R142" s="47">
        <f>(Substructure!$H$53)-$Q$120-2.2</f>
        <v>-5.2</v>
      </c>
    </row>
    <row r="143" spans="17:18" x14ac:dyDescent="0.45">
      <c r="Q143" s="47">
        <f>Substructure!$D$53-Pier_PileD/12/2</f>
        <v>1.6666666666666665</v>
      </c>
      <c r="R143" s="47">
        <f>(Substructure!$H$53)-$Q$120-2.2</f>
        <v>-5.2</v>
      </c>
    </row>
    <row r="144" spans="17:18" x14ac:dyDescent="0.45">
      <c r="Q144" s="47">
        <f>Substructure!$D$53-Pier_PileD/12/2</f>
        <v>1.6666666666666665</v>
      </c>
      <c r="R144" s="47">
        <f>(Substructure!$J$53)-$Q$120</f>
        <v>-2</v>
      </c>
    </row>
    <row r="146" spans="16:18" x14ac:dyDescent="0.45">
      <c r="Q146" s="47">
        <f>Substructure!$D$54-Pier_PileD/12/2</f>
        <v>6.666666666666667</v>
      </c>
      <c r="R146" s="47">
        <f>(Substructure!$J$54)-$Q$120</f>
        <v>-2</v>
      </c>
    </row>
    <row r="147" spans="16:18" x14ac:dyDescent="0.45">
      <c r="Q147" s="47">
        <f>Substructure!$D$54+Pier_PileD/12/2</f>
        <v>8.3333333333333339</v>
      </c>
      <c r="R147" s="47">
        <f>(Substructure!$J$54)-$Q$120</f>
        <v>-2</v>
      </c>
    </row>
    <row r="148" spans="16:18" x14ac:dyDescent="0.45">
      <c r="Q148" s="47">
        <f>Substructure!$D$54+Pier_PileD/12/2</f>
        <v>8.3333333333333339</v>
      </c>
      <c r="R148" s="47">
        <f>(Substructure!$H$54)-$Q$120-2.2</f>
        <v>-5.2</v>
      </c>
    </row>
    <row r="149" spans="16:18" x14ac:dyDescent="0.45">
      <c r="Q149" s="47">
        <f>Substructure!$D$54-Pier_PileD/12/2</f>
        <v>6.666666666666667</v>
      </c>
      <c r="R149" s="47">
        <f>(Substructure!$H$54)-$Q$120-2.2</f>
        <v>-5.2</v>
      </c>
    </row>
    <row r="150" spans="16:18" x14ac:dyDescent="0.45">
      <c r="Q150" s="47">
        <f>Substructure!$D$54-Pier_PileD/12/2</f>
        <v>6.666666666666667</v>
      </c>
      <c r="R150" s="47">
        <f>(Substructure!$J$54)-$Q$120</f>
        <v>-2</v>
      </c>
    </row>
    <row r="152" spans="16:18" x14ac:dyDescent="0.45">
      <c r="P152" s="44" t="str">
        <f>"pile cutoff"&amp;CHAR(10)&amp;TEXT(Substructure!$J$51,"0.0000")</f>
        <v>pile cutoff
41.7649</v>
      </c>
      <c r="Q152" s="47">
        <f>Substructure!$D$51</f>
        <v>-7.5</v>
      </c>
      <c r="R152" s="47">
        <f>(Substructure!$J$51)-$Q$120</f>
        <v>-2</v>
      </c>
    </row>
    <row r="154" spans="16:18" x14ac:dyDescent="0.45">
      <c r="P154" s="44" t="str">
        <f>"pad top"&amp;CHAR(10)&amp;TEXT('Bearing Seats'!$S$10,"0.000")</f>
        <v>pad top
44.478</v>
      </c>
      <c r="Q154" s="47">
        <f>Bm1_Off</f>
        <v>-4.291666666666667</v>
      </c>
      <c r="R154" s="47">
        <f>('Bearing Seats'!$V$10)-$Q$120+Pier_Pad/12</f>
        <v>0.71354617240487761</v>
      </c>
    </row>
    <row r="156" spans="16:18" x14ac:dyDescent="0.45">
      <c r="P156" s="44" t="str">
        <f>"pad top"&amp;CHAR(10)&amp;TEXT('Bearing Seats'!$S$11,"0.000")</f>
        <v>pad top
44.478</v>
      </c>
      <c r="Q156" s="47">
        <f>Bm2_Off</f>
        <v>4.291666666666667</v>
      </c>
      <c r="R156" s="47">
        <f>('Bearing Seats'!$V$11)-$Q$120+Pier_Pad/12</f>
        <v>0.71354617240487761</v>
      </c>
    </row>
    <row r="158" spans="16:18" x14ac:dyDescent="0.45">
      <c r="P158" s="44" t="s">
        <v>1231</v>
      </c>
      <c r="Q158" s="47">
        <f>Bm1_Off-Pier_PedW/24</f>
        <v>-6.041666666666667</v>
      </c>
      <c r="R158" s="47">
        <f>((Pier_Top+Pier_Slope*((Bm1_Off-Pier_PedW/24)-Pier_Ctr)))-$Q$120</f>
        <v>0</v>
      </c>
    </row>
    <row r="159" spans="16:18" x14ac:dyDescent="0.45">
      <c r="Q159" s="47">
        <f>Bm1_Off+Pier_PedW/24</f>
        <v>-2.541666666666667</v>
      </c>
      <c r="R159" s="47">
        <f>((Pier_Top+Pier_Slope*((Bm1_Off+Pier_PedW/24)-Pier_Ctr)))-$Q$120</f>
        <v>0</v>
      </c>
    </row>
    <row r="160" spans="16:18" x14ac:dyDescent="0.45">
      <c r="Q160" s="47">
        <f>Bm1_Off+Pier_PedW/24</f>
        <v>-2.541666666666667</v>
      </c>
      <c r="R160" s="47">
        <f>('Bearing Seats'!$V$10)-$Q$120</f>
        <v>0.50000450573821098</v>
      </c>
    </row>
    <row r="161" spans="16:18" x14ac:dyDescent="0.45">
      <c r="Q161" s="47">
        <f>Bm1_Off-Pier_PedW/24</f>
        <v>-6.041666666666667</v>
      </c>
      <c r="R161" s="47">
        <f>('Bearing Seats'!$V$10)-$Q$120</f>
        <v>0.50000450573821098</v>
      </c>
    </row>
    <row r="162" spans="16:18" x14ac:dyDescent="0.45">
      <c r="Q162" s="47">
        <f>Bm1_Off-Pier_PedW/24</f>
        <v>-6.041666666666667</v>
      </c>
      <c r="R162" s="47">
        <f>((Pier_Top+Pier_Slope*((Bm1_Off-Pier_PedW/24)-Pier_Ctr)))-$Q$120</f>
        <v>0</v>
      </c>
    </row>
    <row r="164" spans="16:18" x14ac:dyDescent="0.45">
      <c r="Q164" s="47">
        <f>Bm2_Off-Pier_PedW/24</f>
        <v>2.541666666666667</v>
      </c>
      <c r="R164" s="47">
        <f>((Pier_Top+Pier_Slope*((Bm2_Off-Pier_PedW/24)-Pier_Ctr)))-$Q$120</f>
        <v>0</v>
      </c>
    </row>
    <row r="165" spans="16:18" x14ac:dyDescent="0.45">
      <c r="Q165" s="47">
        <f>Bm2_Off+Pier_PedW/24</f>
        <v>6.041666666666667</v>
      </c>
      <c r="R165" s="47">
        <f>((Pier_Top+Pier_Slope*((Bm2_Off+Pier_PedW/24)-Pier_Ctr)))-$Q$120</f>
        <v>0</v>
      </c>
    </row>
    <row r="166" spans="16:18" x14ac:dyDescent="0.45">
      <c r="Q166" s="47">
        <f>Bm2_Off+Pier_PedW/24</f>
        <v>6.041666666666667</v>
      </c>
      <c r="R166" s="47">
        <f>('Bearing Seats'!$V$11)-$Q$120</f>
        <v>0.50000450573821098</v>
      </c>
    </row>
    <row r="167" spans="16:18" x14ac:dyDescent="0.45">
      <c r="Q167" s="47">
        <f>Bm2_Off-Pier_PedW/24</f>
        <v>2.541666666666667</v>
      </c>
      <c r="R167" s="47">
        <f>('Bearing Seats'!$V$11)-$Q$120</f>
        <v>0.50000450573821098</v>
      </c>
    </row>
    <row r="168" spans="16:18" x14ac:dyDescent="0.45">
      <c r="Q168" s="47">
        <f>Bm2_Off-Pier_PedW/24</f>
        <v>2.541666666666667</v>
      </c>
      <c r="R168" s="47">
        <f>((Pier_Top+Pier_Slope*((Bm2_Off-Pier_PedW/24)-Pier_Ctr)))-$Q$120</f>
        <v>0</v>
      </c>
    </row>
    <row r="170" spans="16:18" x14ac:dyDescent="0.45">
      <c r="P170" s="44" t="s">
        <v>1242</v>
      </c>
      <c r="Q170" s="47">
        <f>Bm1_Off-Pier_PadW/24</f>
        <v>-5.625</v>
      </c>
      <c r="R170" s="47">
        <f>('Bearing Seats'!$V$10)-$Q$120</f>
        <v>0.50000450573821098</v>
      </c>
    </row>
    <row r="171" spans="16:18" x14ac:dyDescent="0.45">
      <c r="Q171" s="47">
        <f>Bm1_Off+Pier_PadW/24</f>
        <v>-2.9583333333333339</v>
      </c>
      <c r="R171" s="47">
        <f>('Bearing Seats'!$V$10)-$Q$120</f>
        <v>0.50000450573821098</v>
      </c>
    </row>
    <row r="172" spans="16:18" x14ac:dyDescent="0.45">
      <c r="Q172" s="47">
        <f>Bm1_Off+Pier_PadW/24</f>
        <v>-2.9583333333333339</v>
      </c>
      <c r="R172" s="47">
        <f>('Bearing Seats'!$V$10)-$Q$120+Pier_Pad/12</f>
        <v>0.71354617240487761</v>
      </c>
    </row>
    <row r="173" spans="16:18" x14ac:dyDescent="0.45">
      <c r="Q173" s="47">
        <f>Bm1_Off-Pier_PadW/24</f>
        <v>-5.625</v>
      </c>
      <c r="R173" s="47">
        <f>('Bearing Seats'!$V$10)-$Q$120+Pier_Pad/12</f>
        <v>0.71354617240487761</v>
      </c>
    </row>
    <row r="174" spans="16:18" x14ac:dyDescent="0.45">
      <c r="Q174" s="47">
        <f>Bm1_Off-Pier_PadW/24</f>
        <v>-5.625</v>
      </c>
      <c r="R174" s="47">
        <f>('Bearing Seats'!$V$10)-$Q$120</f>
        <v>0.50000450573821098</v>
      </c>
    </row>
    <row r="176" spans="16:18" x14ac:dyDescent="0.45">
      <c r="Q176" s="47">
        <f>Bm2_Off-Pier_PadW/24</f>
        <v>2.9583333333333339</v>
      </c>
      <c r="R176" s="47">
        <f>('Bearing Seats'!$V$11)-$Q$120</f>
        <v>0.50000450573821098</v>
      </c>
    </row>
    <row r="177" spans="16:18" x14ac:dyDescent="0.45">
      <c r="Q177" s="47">
        <f>Bm2_Off+Pier_PadW/24</f>
        <v>5.625</v>
      </c>
      <c r="R177" s="47">
        <f>('Bearing Seats'!$V$11)-$Q$120</f>
        <v>0.50000450573821098</v>
      </c>
    </row>
    <row r="178" spans="16:18" x14ac:dyDescent="0.45">
      <c r="Q178" s="47">
        <f>Bm2_Off+Pier_PadW/24</f>
        <v>5.625</v>
      </c>
      <c r="R178" s="47">
        <f>('Bearing Seats'!$V$11)-$Q$120+Pier_Pad/12</f>
        <v>0.71354617240487761</v>
      </c>
    </row>
    <row r="179" spans="16:18" x14ac:dyDescent="0.45">
      <c r="Q179" s="47">
        <f>Bm2_Off-Pier_PadW/24</f>
        <v>2.9583333333333339</v>
      </c>
      <c r="R179" s="47">
        <f>('Bearing Seats'!$V$11)-$Q$120+Pier_Pad/12</f>
        <v>0.71354617240487761</v>
      </c>
    </row>
    <row r="180" spans="16:18" x14ac:dyDescent="0.45">
      <c r="Q180" s="47">
        <f>Bm2_Off-Pier_PadW/24</f>
        <v>2.9583333333333339</v>
      </c>
      <c r="R180" s="47">
        <f>('Bearing Seats'!$V$11)-$Q$120</f>
        <v>0.50000450573821098</v>
      </c>
    </row>
    <row r="182" spans="16:18" x14ac:dyDescent="0.45">
      <c r="P182" s="44" t="str">
        <f>"cap top "&amp;TEXT(Pier_Top,"0.0000")</f>
        <v>cap top 43.7649</v>
      </c>
      <c r="Q182" s="47">
        <f>Pier_Ctr</f>
        <v>0</v>
      </c>
      <c r="R182" s="47">
        <f>((Pier_Top+Pier_Slope*((Pier_Ctr)-Pier_Ctr)))-$Q$120</f>
        <v>0</v>
      </c>
    </row>
    <row r="184" spans="16:18" x14ac:dyDescent="0.45">
      <c r="P184" s="44" t="str">
        <f>"cap underside"&amp;CHAR(10)&amp;TEXT(Pier_Under,"0.0000")</f>
        <v>cap underside
40.7649</v>
      </c>
      <c r="Q184" s="47">
        <f>Pier_Ctr</f>
        <v>0</v>
      </c>
      <c r="R184" s="47">
        <f>((Pier_Top+Pier_Slope*((Pier_Ctr)-Pier_Ctr)))-$Q$120-Pier_Depth</f>
        <v>-3</v>
      </c>
    </row>
    <row r="186" spans="16:18" x14ac:dyDescent="0.45">
      <c r="P186" s="44" t="s">
        <v>1246</v>
      </c>
      <c r="Q186" s="48">
        <f>$Q$121-2.7</f>
        <v>-5.7</v>
      </c>
    </row>
    <row r="187" spans="16:18" x14ac:dyDescent="0.45">
      <c r="P187" s="44" t="s">
        <v>1247</v>
      </c>
      <c r="Q187" s="47">
        <f>Pier_Ctr-Pier_Len/2</f>
        <v>-9.5833333333333339</v>
      </c>
      <c r="R187" s="47">
        <f>$Q$186</f>
        <v>-5.7</v>
      </c>
    </row>
    <row r="188" spans="16:18" x14ac:dyDescent="0.45">
      <c r="Q188" s="47">
        <f>Pier_Ctr+Pier_Len/2</f>
        <v>9.5833333333333339</v>
      </c>
      <c r="R188" s="47">
        <f>$Q$186</f>
        <v>-5.7</v>
      </c>
    </row>
    <row r="190" spans="16:18" x14ac:dyDescent="0.45">
      <c r="P190" s="44" t="str">
        <f>"cap length "&amp;TEXT(Pier_Len*12,"0.0")&amp;" in"</f>
        <v>cap length 230.0 in</v>
      </c>
      <c r="Q190" s="47">
        <f>Pier_Ctr</f>
        <v>0</v>
      </c>
      <c r="R190" s="47">
        <f>$Q$186</f>
        <v>-5.7</v>
      </c>
    </row>
    <row r="192" spans="16:18" x14ac:dyDescent="0.45">
      <c r="P192" s="44" t="s">
        <v>1250</v>
      </c>
      <c r="Q192" s="48">
        <f>MAX(('Bearing Seats'!$V$10)-$Q$120+Pier_Pad/12,('Bearing Seats'!$V$11)-$Q$120+Pier_Pad/12)+1</f>
        <v>1.7135461724048775</v>
      </c>
    </row>
    <row r="193" spans="16:18" x14ac:dyDescent="0.45">
      <c r="P193" s="44" t="s">
        <v>802</v>
      </c>
      <c r="Q193" s="47">
        <f>Pier_Ctr-Pier_Len/2-1.3</f>
        <v>-10.883333333333335</v>
      </c>
      <c r="R193" s="47">
        <f>$Q$186-0.3</f>
        <v>-6</v>
      </c>
    </row>
    <row r="194" spans="16:18" x14ac:dyDescent="0.45">
      <c r="Q194" s="47">
        <f>Pier_Ctr+Pier_Len/2+1.3</f>
        <v>10.883333333333335</v>
      </c>
      <c r="R194" s="47">
        <f>$Q$192</f>
        <v>1.7135461724048775</v>
      </c>
    </row>
  </sheetData>
  <mergeCells count="27">
    <mergeCell ref="B85"/>
    <mergeCell ref="K86:M86"/>
    <mergeCell ref="H84:J84"/>
    <mergeCell ref="C85:G85"/>
    <mergeCell ref="C84:G84"/>
    <mergeCell ref="H86:J86"/>
    <mergeCell ref="B86"/>
    <mergeCell ref="K85:M85"/>
    <mergeCell ref="H85:J85"/>
    <mergeCell ref="K84:M84"/>
    <mergeCell ref="C86:G86"/>
    <mergeCell ref="B81:M81"/>
    <mergeCell ref="C82:G82"/>
    <mergeCell ref="B3:M3"/>
    <mergeCell ref="B82"/>
    <mergeCell ref="B84"/>
    <mergeCell ref="B43:M43"/>
    <mergeCell ref="B67:M67"/>
    <mergeCell ref="B83"/>
    <mergeCell ref="B14:M14"/>
    <mergeCell ref="B74:M74"/>
    <mergeCell ref="H83:J83"/>
    <mergeCell ref="K82:M82"/>
    <mergeCell ref="B64:M64"/>
    <mergeCell ref="K83:M83"/>
    <mergeCell ref="H82:J82"/>
    <mergeCell ref="C83:G83"/>
  </mergeCells>
  <conditionalFormatting sqref="B3:M3">
    <cfRule type="expression" dxfId="26" priority="1">
      <formula>Inputs_Edited=0</formula>
    </cfRule>
    <cfRule type="expression" dxfId="25" priority="2">
      <formula>Inputs_Edited&gt;0</formula>
    </cfRule>
  </conditionalFormatting>
  <pageMargins left="0.75" right="0.75" top="1" bottom="1" header="0.5" footer="0.5"/>
  <pageSetup fitToHeight="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2A36"/>
  </sheetPr>
  <dimension ref="A1:X16"/>
  <sheetViews>
    <sheetView showGridLines="0" workbookViewId="0"/>
  </sheetViews>
  <sheetFormatPr defaultRowHeight="14.25" x14ac:dyDescent="0.45"/>
  <cols>
    <col min="1" max="1" width="3" customWidth="1"/>
    <col min="2" max="2" width="14" customWidth="1"/>
    <col min="3" max="25" width="11" customWidth="1"/>
  </cols>
  <sheetData>
    <row r="1" spans="1:24" ht="17.649999999999999" x14ac:dyDescent="0.5">
      <c r="A1" s="15" t="s">
        <v>52</v>
      </c>
      <c r="P1" s="37" t="s">
        <v>107</v>
      </c>
      <c r="Q1" s="2" t="str">
        <f>""&amp;TB_Project</f>
        <v>D2 I-95 Pedestrian Bridge</v>
      </c>
    </row>
    <row r="2" spans="1:24" x14ac:dyDescent="0.45">
      <c r="A2" s="8" t="s">
        <v>1252</v>
      </c>
      <c r="P2" s="37" t="s">
        <v>115</v>
      </c>
      <c r="Q2" s="2" t="str">
        <f>""&amp;TB_JobNo</f>
        <v/>
      </c>
    </row>
    <row r="3" spans="1:24" x14ac:dyDescent="0.45">
      <c r="P3" s="37" t="s">
        <v>722</v>
      </c>
      <c r="Q3" s="2" t="str">
        <f>TB_CalcBy&amp;"  "&amp;TB_CalcDate</f>
        <v xml:space="preserve">  </v>
      </c>
    </row>
    <row r="4" spans="1:24" x14ac:dyDescent="0.45">
      <c r="P4" s="37" t="s">
        <v>723</v>
      </c>
      <c r="Q4" s="2" t="str">
        <f>TB_CheckBy&amp;"  "&amp;TB_CheckDate</f>
        <v xml:space="preserve">  </v>
      </c>
    </row>
    <row r="6" spans="1:24" x14ac:dyDescent="0.45">
      <c r="A6" s="17" t="s">
        <v>1253</v>
      </c>
      <c r="B6" s="18"/>
      <c r="C6" s="18"/>
      <c r="D6" s="18"/>
      <c r="E6" s="18"/>
      <c r="F6" s="18"/>
      <c r="G6" s="18"/>
      <c r="H6" s="18"/>
      <c r="I6" s="18"/>
      <c r="J6" s="18"/>
      <c r="K6" s="18"/>
      <c r="L6" s="18"/>
      <c r="M6" s="18"/>
      <c r="N6" s="18"/>
      <c r="O6" s="18"/>
      <c r="P6" s="18"/>
      <c r="Q6" s="18"/>
      <c r="R6" s="18"/>
      <c r="S6" s="18"/>
      <c r="T6" s="18"/>
    </row>
    <row r="7" spans="1:24" ht="32" customHeight="1" x14ac:dyDescent="0.45">
      <c r="B7" s="19" t="s">
        <v>840</v>
      </c>
      <c r="C7" s="19" t="s">
        <v>1254</v>
      </c>
      <c r="D7" s="19" t="s">
        <v>1255</v>
      </c>
      <c r="E7" s="19" t="s">
        <v>1256</v>
      </c>
      <c r="F7" s="19" t="s">
        <v>1257</v>
      </c>
      <c r="G7" s="19" t="s">
        <v>1258</v>
      </c>
      <c r="H7" s="19" t="s">
        <v>1259</v>
      </c>
      <c r="I7" s="19" t="s">
        <v>1260</v>
      </c>
      <c r="J7" s="19" t="s">
        <v>1261</v>
      </c>
      <c r="K7" s="19" t="s">
        <v>1262</v>
      </c>
      <c r="L7" s="19" t="s">
        <v>1263</v>
      </c>
      <c r="M7" s="19" t="s">
        <v>1264</v>
      </c>
      <c r="N7" s="19" t="s">
        <v>1265</v>
      </c>
      <c r="O7" s="19" t="s">
        <v>1266</v>
      </c>
    </row>
    <row r="8" spans="1:24" x14ac:dyDescent="0.45">
      <c r="B8" s="11">
        <v>1</v>
      </c>
      <c r="C8" s="11">
        <f>MC1_A1_n+MC1_A2_n</f>
        <v>4</v>
      </c>
      <c r="D8" s="2">
        <f>MC1_A1_s</f>
        <v>3.5</v>
      </c>
      <c r="E8" s="2">
        <f>MC1_A3_n</f>
        <v>12</v>
      </c>
      <c r="F8" s="2">
        <f>MC1_A3_s</f>
        <v>3</v>
      </c>
      <c r="G8" s="2">
        <f>MC1_S1_n</f>
        <v>30</v>
      </c>
      <c r="H8" s="2">
        <f>MC1_S1_s</f>
        <v>5.9999999999999991</v>
      </c>
      <c r="I8" s="2">
        <f>MC1_S2_n</f>
        <v>20</v>
      </c>
      <c r="J8" s="2">
        <f>MC1_S2_s</f>
        <v>9</v>
      </c>
      <c r="K8" s="2">
        <f>MC1_S3_n</f>
        <v>5</v>
      </c>
      <c r="L8" s="2">
        <f>MC1_S3_s</f>
        <v>12</v>
      </c>
      <c r="M8" s="2">
        <f>MC1_S4_s</f>
        <v>18</v>
      </c>
      <c r="N8" s="2">
        <f>MC1_EndSp</f>
        <v>3</v>
      </c>
      <c r="O8" s="42" t="str">
        <f>IF(ABS(MC1_A1_s-MC1_A2_s)&lt;0.000000001,"PASS","FAIL")</f>
        <v>PASS</v>
      </c>
    </row>
    <row r="9" spans="1:24" x14ac:dyDescent="0.45">
      <c r="B9" s="11">
        <v>2</v>
      </c>
      <c r="C9" s="11">
        <f>MC2_A1_n+MC2_A2_n</f>
        <v>4</v>
      </c>
      <c r="D9" s="2">
        <f>MC2_A1_s</f>
        <v>3.5</v>
      </c>
      <c r="E9" s="2">
        <f>MC2_A3_n</f>
        <v>12</v>
      </c>
      <c r="F9" s="2">
        <f>MC2_A3_s</f>
        <v>3</v>
      </c>
      <c r="G9" s="2">
        <f>MC2_S1_n</f>
        <v>30</v>
      </c>
      <c r="H9" s="2">
        <f>MC2_S1_s</f>
        <v>5.9999999999999991</v>
      </c>
      <c r="I9" s="2">
        <f>MC2_S2_n</f>
        <v>20</v>
      </c>
      <c r="J9" s="2">
        <f>MC2_S2_s</f>
        <v>9</v>
      </c>
      <c r="K9" s="2">
        <f>MC2_S3_n</f>
        <v>5</v>
      </c>
      <c r="L9" s="2">
        <f>MC2_S3_s</f>
        <v>12</v>
      </c>
      <c r="M9" s="2">
        <f>MC2_S4_s</f>
        <v>18</v>
      </c>
      <c r="N9" s="2">
        <f>MC2_EndSp</f>
        <v>3</v>
      </c>
      <c r="O9" s="42" t="str">
        <f>IF(ABS(MC2_A1_s-MC2_A2_s)&lt;0.000000001,"PASS","FAIL")</f>
        <v>PASS</v>
      </c>
    </row>
    <row r="11" spans="1:24" x14ac:dyDescent="0.45">
      <c r="A11" s="17" t="s">
        <v>1267</v>
      </c>
      <c r="B11" s="18"/>
      <c r="C11" s="18"/>
      <c r="D11" s="18"/>
      <c r="E11" s="18"/>
      <c r="F11" s="18"/>
      <c r="G11" s="18"/>
      <c r="H11" s="18"/>
      <c r="I11" s="18"/>
      <c r="J11" s="18"/>
      <c r="K11" s="18"/>
      <c r="L11" s="18"/>
      <c r="M11" s="18"/>
      <c r="N11" s="18"/>
      <c r="O11" s="18"/>
      <c r="P11" s="18"/>
      <c r="Q11" s="18"/>
      <c r="R11" s="18"/>
      <c r="S11" s="18"/>
      <c r="T11" s="18"/>
      <c r="U11" s="18"/>
      <c r="V11" s="18"/>
      <c r="W11" s="18"/>
      <c r="X11" s="18"/>
    </row>
    <row r="12" spans="1:24" ht="32" customHeight="1" x14ac:dyDescent="0.45">
      <c r="B12" s="19" t="s">
        <v>765</v>
      </c>
      <c r="C12" s="19" t="s">
        <v>1268</v>
      </c>
      <c r="D12" s="19" t="s">
        <v>1269</v>
      </c>
      <c r="E12" s="19" t="s">
        <v>1270</v>
      </c>
      <c r="F12" s="19" t="s">
        <v>1271</v>
      </c>
      <c r="G12" s="19" t="s">
        <v>1272</v>
      </c>
      <c r="H12" s="19" t="s">
        <v>1273</v>
      </c>
      <c r="I12" s="19" t="s">
        <v>1274</v>
      </c>
      <c r="J12" s="19" t="s">
        <v>1275</v>
      </c>
      <c r="K12" s="19" t="s">
        <v>1276</v>
      </c>
      <c r="L12" s="19" t="s">
        <v>1277</v>
      </c>
      <c r="M12" s="19" t="s">
        <v>1278</v>
      </c>
      <c r="N12" s="19" t="s">
        <v>1279</v>
      </c>
      <c r="O12" s="19" t="s">
        <v>1280</v>
      </c>
      <c r="P12" s="19" t="s">
        <v>1281</v>
      </c>
      <c r="Q12" s="19" t="s">
        <v>1282</v>
      </c>
      <c r="R12" s="19" t="s">
        <v>1283</v>
      </c>
      <c r="S12" s="19" t="s">
        <v>1284</v>
      </c>
    </row>
    <row r="13" spans="1:24" x14ac:dyDescent="0.45">
      <c r="B13" s="11" t="s">
        <v>881</v>
      </c>
      <c r="C13" s="40">
        <f>'Beam Geometry'!S13</f>
        <v>107.10324975259935</v>
      </c>
      <c r="D13" s="50">
        <f>C13*12/2</f>
        <v>642.61949851559609</v>
      </c>
      <c r="E13" s="50">
        <f>N8+C8*D8+E8*F8+G8*H8+I8*J8+K8*L8</f>
        <v>473</v>
      </c>
      <c r="F13" s="11">
        <f>MAX(0,ROUNDDOWN((D13-E13)/M8,0))</f>
        <v>9</v>
      </c>
      <c r="G13" s="50">
        <f>(D13-E13-F13*M8)*2</f>
        <v>15.238997031192184</v>
      </c>
      <c r="H13" s="42" t="str">
        <f>IF(G13&lt;=M8+0.000000001,"PASS","CHECK")</f>
        <v>PASS</v>
      </c>
      <c r="I13" s="11">
        <f>2*(1+C8+E8+G8+I8+K8+F13)</f>
        <v>162</v>
      </c>
      <c r="J13" s="50">
        <f>Bar_C/SIN(RADIANS('Beam Geometry'!I13))</f>
        <v>17.5</v>
      </c>
      <c r="K13" s="50">
        <f>Bar_C/SIN(RADIANS('Beam Geometry'!J13))</f>
        <v>17.5</v>
      </c>
      <c r="L13" s="50">
        <f>Bar_DA/SIN(RADIANS('Beam Geometry'!I13))</f>
        <v>8.5</v>
      </c>
      <c r="M13" s="50">
        <f>Bar_DB/SIN(RADIANS('Beam Geometry'!I13))</f>
        <v>15</v>
      </c>
      <c r="N13" s="50">
        <f>Bar_DA/SIN(RADIANS('Beam Geometry'!J13))</f>
        <v>8.5</v>
      </c>
      <c r="O13" s="50">
        <f>Bar_DB/SIN(RADIANS('Beam Geometry'!J13))</f>
        <v>15</v>
      </c>
      <c r="P13" s="11">
        <f>(1+ROUNDUP((C13*12-2*(N8+C8*D8+E8*F8+Bar_D3s))/Bar_D3s,0))*2</f>
        <v>130</v>
      </c>
      <c r="Q13" s="50">
        <f>Bar_MD/SIN(RADIANS('Beam Geometry'!I13))</f>
        <v>44</v>
      </c>
      <c r="R13" s="50">
        <f>Bar_MD/SIN(RADIANS('Beam Geometry'!J13))</f>
        <v>44</v>
      </c>
      <c r="S13" s="11">
        <f>1+CEILING((C13*12-2*(3.5+2*7+Bar_Mk*6+12))/12,1)</f>
        <v>98</v>
      </c>
    </row>
    <row r="14" spans="1:24" x14ac:dyDescent="0.45">
      <c r="B14" s="11" t="s">
        <v>882</v>
      </c>
      <c r="C14" s="40">
        <f>'Beam Geometry'!S14</f>
        <v>107.10324975259935</v>
      </c>
      <c r="D14" s="50">
        <f>C14*12/2</f>
        <v>642.61949851559609</v>
      </c>
      <c r="E14" s="50">
        <f>N8+C8*D8+E8*F8+G8*H8+I8*J8+K8*L8</f>
        <v>473</v>
      </c>
      <c r="F14" s="11">
        <f>MAX(0,ROUNDDOWN((D14-E14)/M8,0))</f>
        <v>9</v>
      </c>
      <c r="G14" s="50">
        <f>(D14-E14-F14*M8)*2</f>
        <v>15.238997031192184</v>
      </c>
      <c r="H14" s="42" t="str">
        <f>IF(G14&lt;=M8+0.000000001,"PASS","CHECK")</f>
        <v>PASS</v>
      </c>
      <c r="I14" s="11">
        <f>2*(1+C8+E8+G8+I8+K8+F14)</f>
        <v>162</v>
      </c>
      <c r="J14" s="50">
        <f>Bar_C/SIN(RADIANS('Beam Geometry'!I14))</f>
        <v>17.5</v>
      </c>
      <c r="K14" s="50">
        <f>Bar_C/SIN(RADIANS('Beam Geometry'!J14))</f>
        <v>17.5</v>
      </c>
      <c r="L14" s="50">
        <f>Bar_DA/SIN(RADIANS('Beam Geometry'!I14))</f>
        <v>8.5</v>
      </c>
      <c r="M14" s="50">
        <f>Bar_DB/SIN(RADIANS('Beam Geometry'!I14))</f>
        <v>15</v>
      </c>
      <c r="N14" s="50">
        <f>Bar_DA/SIN(RADIANS('Beam Geometry'!J14))</f>
        <v>8.5</v>
      </c>
      <c r="O14" s="50">
        <f>Bar_DB/SIN(RADIANS('Beam Geometry'!J14))</f>
        <v>15</v>
      </c>
      <c r="P14" s="11">
        <f>(1+ROUNDUP((C14*12-2*(N8+C8*D8+E8*F8+Bar_D3s))/Bar_D3s,0))*2</f>
        <v>130</v>
      </c>
      <c r="Q14" s="50">
        <f>Bar_MD/SIN(RADIANS('Beam Geometry'!I14))</f>
        <v>44</v>
      </c>
      <c r="R14" s="50">
        <f>Bar_MD/SIN(RADIANS('Beam Geometry'!J14))</f>
        <v>44</v>
      </c>
      <c r="S14" s="11">
        <f>1+CEILING((C14*12-2*(3.5+2*7+Bar_Mk*6+12))/12,1)</f>
        <v>98</v>
      </c>
    </row>
    <row r="15" spans="1:24" x14ac:dyDescent="0.45">
      <c r="B15" s="11" t="s">
        <v>883</v>
      </c>
      <c r="C15" s="40">
        <f>'Beam Geometry'!S15</f>
        <v>104.65031373933842</v>
      </c>
      <c r="D15" s="50">
        <f>C15*12/2</f>
        <v>627.90188243603052</v>
      </c>
      <c r="E15" s="50">
        <f>N9+C9*D9+E9*F9+G9*H9+I9*J9+K9*L9</f>
        <v>473</v>
      </c>
      <c r="F15" s="11">
        <f>MAX(0,ROUNDDOWN((D15-E15)/M9,0))</f>
        <v>8</v>
      </c>
      <c r="G15" s="50">
        <f>(D15-E15-F15*M9)*2</f>
        <v>21.803764872061038</v>
      </c>
      <c r="H15" s="42" t="str">
        <f>IF(G15&lt;=M9+0.000000001,"PASS","CHECK")</f>
        <v>CHECK</v>
      </c>
      <c r="I15" s="11">
        <f>2*(1+C9+E9+G9+I9+K9+F15)</f>
        <v>160</v>
      </c>
      <c r="J15" s="50">
        <f>Bar_C/SIN(RADIANS('Beam Geometry'!I15))</f>
        <v>17.5</v>
      </c>
      <c r="K15" s="50">
        <f>Bar_C/SIN(RADIANS('Beam Geometry'!J15))</f>
        <v>17.5</v>
      </c>
      <c r="L15" s="50">
        <f>Bar_DA/SIN(RADIANS('Beam Geometry'!I15))</f>
        <v>8.5</v>
      </c>
      <c r="M15" s="50">
        <f>Bar_DB/SIN(RADIANS('Beam Geometry'!I15))</f>
        <v>15</v>
      </c>
      <c r="N15" s="50">
        <f>Bar_DA/SIN(RADIANS('Beam Geometry'!J15))</f>
        <v>8.5</v>
      </c>
      <c r="O15" s="50">
        <f>Bar_DB/SIN(RADIANS('Beam Geometry'!J15))</f>
        <v>15</v>
      </c>
      <c r="P15" s="11">
        <f>(1+ROUNDUP((C15*12-2*(N9+C9*D9+E9*F9+Bar_D3s))/Bar_D3s,0))*2</f>
        <v>126</v>
      </c>
      <c r="Q15" s="50">
        <f>Bar_MD/SIN(RADIANS('Beam Geometry'!I15))</f>
        <v>44</v>
      </c>
      <c r="R15" s="50">
        <f>Bar_MD/SIN(RADIANS('Beam Geometry'!J15))</f>
        <v>44</v>
      </c>
      <c r="S15" s="11">
        <f>1+CEILING((C15*12-2*(3.5+2*7+Bar_Mk*6+12))/12,1)</f>
        <v>95</v>
      </c>
    </row>
    <row r="16" spans="1:24" x14ac:dyDescent="0.45">
      <c r="B16" s="11" t="s">
        <v>884</v>
      </c>
      <c r="C16" s="40">
        <f>'Beam Geometry'!S16</f>
        <v>104.65031373933842</v>
      </c>
      <c r="D16" s="50">
        <f>C16*12/2</f>
        <v>627.90188243603052</v>
      </c>
      <c r="E16" s="50">
        <f>N9+C9*D9+E9*F9+G9*H9+I9*J9+K9*L9</f>
        <v>473</v>
      </c>
      <c r="F16" s="11">
        <f>MAX(0,ROUNDDOWN((D16-E16)/M9,0))</f>
        <v>8</v>
      </c>
      <c r="G16" s="50">
        <f>(D16-E16-F16*M9)*2</f>
        <v>21.803764872061038</v>
      </c>
      <c r="H16" s="42" t="str">
        <f>IF(G16&lt;=M9+0.000000001,"PASS","CHECK")</f>
        <v>CHECK</v>
      </c>
      <c r="I16" s="11">
        <f>2*(1+C9+E9+G9+I9+K9+F16)</f>
        <v>160</v>
      </c>
      <c r="J16" s="50">
        <f>Bar_C/SIN(RADIANS('Beam Geometry'!I16))</f>
        <v>17.5</v>
      </c>
      <c r="K16" s="50">
        <f>Bar_C/SIN(RADIANS('Beam Geometry'!J16))</f>
        <v>17.5</v>
      </c>
      <c r="L16" s="50">
        <f>Bar_DA/SIN(RADIANS('Beam Geometry'!I16))</f>
        <v>8.5</v>
      </c>
      <c r="M16" s="50">
        <f>Bar_DB/SIN(RADIANS('Beam Geometry'!I16))</f>
        <v>15</v>
      </c>
      <c r="N16" s="50">
        <f>Bar_DA/SIN(RADIANS('Beam Geometry'!J16))</f>
        <v>8.5</v>
      </c>
      <c r="O16" s="50">
        <f>Bar_DB/SIN(RADIANS('Beam Geometry'!J16))</f>
        <v>15</v>
      </c>
      <c r="P16" s="11">
        <f>(1+ROUNDUP((C16*12-2*(N9+C9*D9+E9*F9+Bar_D3s))/Bar_D3s,0))*2</f>
        <v>126</v>
      </c>
      <c r="Q16" s="50">
        <f>Bar_MD/SIN(RADIANS('Beam Geometry'!I16))</f>
        <v>44</v>
      </c>
      <c r="R16" s="50">
        <f>Bar_MD/SIN(RADIANS('Beam Geometry'!J16))</f>
        <v>44</v>
      </c>
      <c r="S16" s="11">
        <f>1+CEILING((C16*12-2*(3.5+2*7+Bar_Mk*6+12))/12,1)</f>
        <v>95</v>
      </c>
    </row>
  </sheetData>
  <conditionalFormatting sqref="H13:H16">
    <cfRule type="cellIs" dxfId="24" priority="4" operator="equal">
      <formula>"PASS"</formula>
    </cfRule>
    <cfRule type="cellIs" dxfId="23" priority="5" operator="equal">
      <formula>"FAIL"</formula>
    </cfRule>
    <cfRule type="cellIs" dxfId="22" priority="6" operator="equal">
      <formula>"CHECK"</formula>
    </cfRule>
  </conditionalFormatting>
  <conditionalFormatting sqref="O8:O9">
    <cfRule type="cellIs" dxfId="21" priority="1" operator="equal">
      <formula>"PASS"</formula>
    </cfRule>
    <cfRule type="cellIs" dxfId="20" priority="2" operator="equal">
      <formula>"FAIL"</formula>
    </cfRule>
    <cfRule type="cellIs" dxfId="19" priority="3" operator="equal">
      <formula>"CHECK"</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A96A3"/>
    <pageSetUpPr fitToPage="1"/>
  </sheetPr>
  <dimension ref="B1:S58"/>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1285</v>
      </c>
      <c r="P1" s="43" t="s">
        <v>785</v>
      </c>
    </row>
    <row r="2" spans="2:19" x14ac:dyDescent="0.45">
      <c r="B2" s="8" t="s">
        <v>1286</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P4" s="45" t="s">
        <v>1287</v>
      </c>
    </row>
    <row r="5" spans="2:19" ht="18" customHeight="1" x14ac:dyDescent="0.45">
      <c r="B5" s="36" t="s">
        <v>1288</v>
      </c>
      <c r="C5" s="18"/>
      <c r="D5" s="18"/>
      <c r="E5" s="18"/>
      <c r="F5" s="18"/>
      <c r="G5" s="18"/>
      <c r="H5" s="18"/>
      <c r="I5" s="18"/>
      <c r="J5" s="18"/>
      <c r="K5" s="18"/>
      <c r="L5" s="18"/>
      <c r="M5" s="18"/>
      <c r="P5" s="46" t="s">
        <v>790</v>
      </c>
      <c r="Q5" s="46" t="s">
        <v>791</v>
      </c>
      <c r="R5" s="46" t="s">
        <v>792</v>
      </c>
      <c r="S5" s="46" t="s">
        <v>793</v>
      </c>
    </row>
    <row r="6" spans="2:19" ht="29.45" customHeight="1" x14ac:dyDescent="0.45">
      <c r="B6" s="85" t="s">
        <v>1289</v>
      </c>
      <c r="C6" s="83"/>
      <c r="D6" s="83"/>
      <c r="E6" s="83"/>
      <c r="F6" s="83"/>
      <c r="G6" s="83"/>
      <c r="H6" s="83"/>
      <c r="I6" s="83"/>
      <c r="J6" s="83"/>
      <c r="K6" s="83"/>
      <c r="L6" s="83"/>
      <c r="M6" s="83"/>
      <c r="P6" s="44" t="s">
        <v>1290</v>
      </c>
      <c r="Q6" s="65">
        <f>'Beam Data'!$D$13</f>
        <v>642.61949851559609</v>
      </c>
    </row>
    <row r="7" spans="2:19" x14ac:dyDescent="0.45">
      <c r="B7" s="86" t="s">
        <v>102</v>
      </c>
      <c r="C7" s="86" t="s">
        <v>699</v>
      </c>
      <c r="D7" s="87"/>
      <c r="E7" s="87"/>
      <c r="F7" s="87"/>
      <c r="G7" s="87"/>
      <c r="H7" s="86" t="s">
        <v>700</v>
      </c>
      <c r="I7" s="87"/>
      <c r="J7" s="87"/>
      <c r="K7" s="86" t="s">
        <v>701</v>
      </c>
      <c r="L7" s="87"/>
      <c r="M7" s="87"/>
      <c r="P7" s="44" t="s">
        <v>1291</v>
      </c>
      <c r="Q7" s="65">
        <f>'Beam Data'!$N$8</f>
        <v>3</v>
      </c>
    </row>
    <row r="8" spans="2:19" ht="15.2" customHeight="1" x14ac:dyDescent="0.45">
      <c r="B8" s="85" t="s">
        <v>1292</v>
      </c>
      <c r="C8" s="85" t="s">
        <v>1293</v>
      </c>
      <c r="D8" s="83"/>
      <c r="E8" s="83"/>
      <c r="F8" s="83"/>
      <c r="G8" s="83"/>
      <c r="H8" s="85" t="s">
        <v>1294</v>
      </c>
      <c r="I8" s="83"/>
      <c r="J8" s="83"/>
      <c r="K8" s="85" t="str">
        <f>TEXT(MC1_A1_n+MC1_A2_n,"0")&amp;" @ "&amp;TEXT(MC1_A1_s,"General")&amp;" in"</f>
        <v>4 @ 3.5 in</v>
      </c>
      <c r="L8" s="83"/>
      <c r="M8" s="83"/>
      <c r="P8" s="44" t="s">
        <v>1295</v>
      </c>
      <c r="Q8" s="47">
        <f>0</f>
        <v>0</v>
      </c>
      <c r="R8" s="47">
        <f>0</f>
        <v>0</v>
      </c>
    </row>
    <row r="9" spans="2:19" ht="15.2" customHeight="1" x14ac:dyDescent="0.45">
      <c r="B9" s="85" t="s">
        <v>1296</v>
      </c>
      <c r="C9" s="85" t="s">
        <v>1297</v>
      </c>
      <c r="D9" s="83"/>
      <c r="E9" s="83"/>
      <c r="F9" s="83"/>
      <c r="G9" s="83"/>
      <c r="H9" s="85" t="s">
        <v>1298</v>
      </c>
      <c r="I9" s="83"/>
      <c r="J9" s="83"/>
      <c r="K9" s="85" t="str">
        <f>TEXT(MC1_A3_n,"0")&amp;" @ "&amp;TEXT(MC1_A3_s,"General")&amp;" in"</f>
        <v>12 @ 3 in</v>
      </c>
      <c r="L9" s="83"/>
      <c r="M9" s="83"/>
      <c r="Q9" s="47">
        <f>$Q$6</f>
        <v>642.61949851559609</v>
      </c>
      <c r="R9" s="47">
        <f>0</f>
        <v>0</v>
      </c>
    </row>
    <row r="10" spans="2:19" ht="15.2" customHeight="1" x14ac:dyDescent="0.45">
      <c r="B10" s="85" t="s">
        <v>1299</v>
      </c>
      <c r="C10" s="85" t="s">
        <v>1300</v>
      </c>
      <c r="D10" s="83"/>
      <c r="E10" s="83"/>
      <c r="F10" s="83"/>
      <c r="G10" s="83"/>
      <c r="H10" s="85" t="s">
        <v>1301</v>
      </c>
      <c r="I10" s="83"/>
      <c r="J10" s="83"/>
      <c r="K10" s="85" t="str">
        <f>TEXT(MC1_S1_n,"0")&amp;" @ "&amp;TEXT(MC1_S1_s,"General")&amp;", "&amp;TEXT(MC1_S2_n,"0")&amp;" @ "&amp;TEXT(MC1_S2_s,"General")&amp;", "&amp;TEXT(MC1_S3_n,"0")&amp;" @ "&amp;TEXT(MC1_S3_s,"General")&amp;" in"</f>
        <v>30 @ 6, 20 @ 9, 5 @ 12 in</v>
      </c>
      <c r="L10" s="83"/>
      <c r="M10" s="83"/>
    </row>
    <row r="11" spans="2:19" ht="15.2" customHeight="1" x14ac:dyDescent="0.45">
      <c r="B11" s="85" t="s">
        <v>1302</v>
      </c>
      <c r="C11" s="85" t="s">
        <v>1303</v>
      </c>
      <c r="D11" s="83"/>
      <c r="E11" s="83"/>
      <c r="F11" s="83"/>
      <c r="G11" s="83"/>
      <c r="H11" s="85" t="s">
        <v>1304</v>
      </c>
      <c r="I11" s="83"/>
      <c r="J11" s="83"/>
      <c r="K11" s="85" t="str">
        <f>"@ "&amp;TEXT(MC1_S4_s,"General")&amp;" in"</f>
        <v>@ 18 in</v>
      </c>
      <c r="L11" s="83"/>
      <c r="M11" s="83"/>
      <c r="P11" s="44" t="s">
        <v>846</v>
      </c>
      <c r="Q11" s="47">
        <f>0</f>
        <v>0</v>
      </c>
      <c r="R11" s="47">
        <f>-0.3</f>
        <v>-0.3</v>
      </c>
    </row>
    <row r="12" spans="2:19" ht="15.2" customHeight="1" x14ac:dyDescent="0.45">
      <c r="B12" s="85" t="s">
        <v>1305</v>
      </c>
      <c r="C12" s="85" t="s">
        <v>1306</v>
      </c>
      <c r="D12" s="83"/>
      <c r="E12" s="83"/>
      <c r="F12" s="83"/>
      <c r="G12" s="83"/>
      <c r="H12" s="85" t="s">
        <v>1307</v>
      </c>
      <c r="I12" s="83"/>
      <c r="J12" s="83"/>
      <c r="K12" s="85" t="str">
        <f>TEXT(MC1_EndSp,"General")&amp;" in"</f>
        <v>3 in</v>
      </c>
      <c r="L12" s="83"/>
      <c r="M12" s="83"/>
      <c r="Q12" s="47">
        <f>0</f>
        <v>0</v>
      </c>
      <c r="R12" s="47">
        <f>0.6</f>
        <v>0.6</v>
      </c>
    </row>
    <row r="14" spans="2:19" ht="15" customHeight="1" x14ac:dyDescent="0.45">
      <c r="P14" s="44" t="s">
        <v>950</v>
      </c>
      <c r="Q14" s="47">
        <f>$Q$6</f>
        <v>642.61949851559609</v>
      </c>
      <c r="R14" s="47">
        <f>-0.3</f>
        <v>-0.3</v>
      </c>
    </row>
    <row r="15" spans="2:19" ht="15" customHeight="1" x14ac:dyDescent="0.45">
      <c r="Q15" s="47">
        <f>$Q$6</f>
        <v>642.61949851559609</v>
      </c>
      <c r="R15" s="47">
        <f>0.6</f>
        <v>0.6</v>
      </c>
    </row>
    <row r="16" spans="2:19" ht="15" customHeight="1" x14ac:dyDescent="0.45"/>
    <row r="17" spans="2:18" ht="15" customHeight="1" x14ac:dyDescent="0.45">
      <c r="P17" s="44" t="s">
        <v>1308</v>
      </c>
      <c r="Q17" s="47">
        <f>0</f>
        <v>0</v>
      </c>
      <c r="R17" s="47">
        <f>0.6</f>
        <v>0.6</v>
      </c>
    </row>
    <row r="18" spans="2:18" ht="15" customHeight="1" x14ac:dyDescent="0.45"/>
    <row r="19" spans="2:18" ht="15" customHeight="1" x14ac:dyDescent="0.45">
      <c r="P19" s="44" t="s">
        <v>1309</v>
      </c>
      <c r="Q19" s="47">
        <f>$Q$6</f>
        <v>642.61949851559609</v>
      </c>
      <c r="R19" s="47">
        <f>0.6</f>
        <v>0.6</v>
      </c>
    </row>
    <row r="20" spans="2:18" ht="15" customHeight="1" x14ac:dyDescent="0.45"/>
    <row r="21" spans="2:18" ht="15" customHeight="1" x14ac:dyDescent="0.45">
      <c r="P21" s="44" t="s">
        <v>1310</v>
      </c>
      <c r="Q21" s="65">
        <f>$Q$7+'Beam Data'!$C$8*'Beam Data'!$D$8</f>
        <v>17</v>
      </c>
    </row>
    <row r="22" spans="2:18" ht="15" customHeight="1" x14ac:dyDescent="0.45">
      <c r="P22" s="44" t="s">
        <v>1311</v>
      </c>
      <c r="Q22" s="47">
        <f>$Q$7</f>
        <v>3</v>
      </c>
      <c r="R22" s="47">
        <f>0</f>
        <v>0</v>
      </c>
    </row>
    <row r="23" spans="2:18" ht="15" customHeight="1" x14ac:dyDescent="0.45">
      <c r="Q23" s="47">
        <f>$Q$21</f>
        <v>17</v>
      </c>
      <c r="R23" s="47">
        <f>0</f>
        <v>0</v>
      </c>
    </row>
    <row r="24" spans="2:18" ht="15" customHeight="1" x14ac:dyDescent="0.45"/>
    <row r="25" spans="2:18" ht="15" customHeight="1" x14ac:dyDescent="0.45">
      <c r="P25" s="44" t="str">
        <f>"S*: "&amp;TEXT('Beam Data'!$C$8,"0")&amp;" @ "&amp;TEXT('Beam Data'!$D$8,"General")&amp;" in"</f>
        <v>S*: 4 @ 3.5 in</v>
      </c>
      <c r="Q25" s="47">
        <f>($Q$7+$Q$21)/2</f>
        <v>10</v>
      </c>
      <c r="R25" s="47">
        <f>0.22</f>
        <v>0.22</v>
      </c>
    </row>
    <row r="26" spans="2:18" ht="15" customHeight="1" x14ac:dyDescent="0.45"/>
    <row r="27" spans="2:18" ht="15" customHeight="1" x14ac:dyDescent="0.45">
      <c r="P27" s="44" t="s">
        <v>1312</v>
      </c>
      <c r="Q27" s="65">
        <f>$Q$21+'Beam Data'!$E$8*'Beam Data'!$F$8</f>
        <v>53</v>
      </c>
    </row>
    <row r="28" spans="2:18" ht="15" customHeight="1" x14ac:dyDescent="0.45">
      <c r="P28" s="44" t="s">
        <v>1313</v>
      </c>
      <c r="Q28" s="47">
        <f>$Q$21</f>
        <v>17</v>
      </c>
      <c r="R28" s="47">
        <f>0</f>
        <v>0</v>
      </c>
    </row>
    <row r="29" spans="2:18" ht="15" customHeight="1" x14ac:dyDescent="0.45">
      <c r="Q29" s="47">
        <f>$Q$27</f>
        <v>53</v>
      </c>
      <c r="R29" s="47">
        <f>0</f>
        <v>0</v>
      </c>
    </row>
    <row r="30" spans="2:18" ht="15" customHeight="1" x14ac:dyDescent="0.45"/>
    <row r="31" spans="2:18" ht="15" customHeight="1" x14ac:dyDescent="0.45">
      <c r="P31" s="44" t="str">
        <f>"Sj: "&amp;TEXT('Beam Data'!$E$8,"0")&amp;" @ "&amp;TEXT('Beam Data'!$F$8,"General")&amp;" in"</f>
        <v>Sj: 12 @ 3 in</v>
      </c>
      <c r="Q31" s="47">
        <f>($Q$21+$Q$27)/2</f>
        <v>35</v>
      </c>
      <c r="R31" s="47">
        <f>-0.22</f>
        <v>-0.22</v>
      </c>
    </row>
    <row r="32" spans="2:18" ht="16.25" customHeight="1" x14ac:dyDescent="0.45">
      <c r="B32" s="82" t="s">
        <v>1314</v>
      </c>
      <c r="C32" s="83"/>
      <c r="D32" s="83"/>
      <c r="E32" s="83"/>
      <c r="F32" s="83"/>
      <c r="G32" s="83"/>
      <c r="H32" s="83"/>
      <c r="I32" s="83"/>
      <c r="J32" s="83"/>
      <c r="K32" s="83"/>
      <c r="L32" s="83"/>
      <c r="M32" s="83"/>
    </row>
    <row r="33" spans="2:18" x14ac:dyDescent="0.45">
      <c r="P33" s="44" t="s">
        <v>1315</v>
      </c>
      <c r="Q33" s="65">
        <f>$Q$27+'Beam Data'!$G$8*'Beam Data'!$H$8</f>
        <v>232.99999999999997</v>
      </c>
    </row>
    <row r="34" spans="2:18" ht="18" customHeight="1" x14ac:dyDescent="0.45">
      <c r="B34" s="36" t="s">
        <v>1316</v>
      </c>
      <c r="C34" s="18"/>
      <c r="D34" s="18"/>
      <c r="E34" s="18"/>
      <c r="F34" s="18"/>
      <c r="G34" s="18"/>
      <c r="H34" s="18"/>
      <c r="I34" s="18"/>
      <c r="J34" s="18"/>
      <c r="K34" s="18"/>
      <c r="L34" s="18"/>
      <c r="M34" s="18"/>
      <c r="P34" s="44" t="s">
        <v>1317</v>
      </c>
      <c r="Q34" s="47">
        <f>$Q$27</f>
        <v>53</v>
      </c>
      <c r="R34" s="47">
        <f>0</f>
        <v>0</v>
      </c>
    </row>
    <row r="35" spans="2:18" ht="15" customHeight="1" x14ac:dyDescent="0.45">
      <c r="Q35" s="47">
        <f>$Q$33</f>
        <v>232.99999999999997</v>
      </c>
      <c r="R35" s="47">
        <f>0</f>
        <v>0</v>
      </c>
    </row>
    <row r="36" spans="2:18" ht="15" customHeight="1" x14ac:dyDescent="0.45"/>
    <row r="37" spans="2:18" ht="15" customHeight="1" x14ac:dyDescent="0.45">
      <c r="P37" s="44" t="str">
        <f>"S1: "&amp;TEXT('Beam Data'!$G$8,"0")&amp;" @ "&amp;TEXT('Beam Data'!$H$8,"General")&amp;" in"</f>
        <v>S1: 30 @ 6 in</v>
      </c>
      <c r="Q37" s="47">
        <f>($Q$27+$Q$33)/2</f>
        <v>143</v>
      </c>
      <c r="R37" s="47">
        <f>0.22</f>
        <v>0.22</v>
      </c>
    </row>
    <row r="38" spans="2:18" ht="15" customHeight="1" x14ac:dyDescent="0.45"/>
    <row r="39" spans="2:18" ht="15" customHeight="1" x14ac:dyDescent="0.45">
      <c r="P39" s="44" t="s">
        <v>1318</v>
      </c>
      <c r="Q39" s="65">
        <f>$Q$33+'Beam Data'!$I$8*'Beam Data'!$J$8</f>
        <v>413</v>
      </c>
    </row>
    <row r="40" spans="2:18" ht="15" customHeight="1" x14ac:dyDescent="0.45">
      <c r="P40" s="44" t="s">
        <v>1319</v>
      </c>
      <c r="Q40" s="47">
        <f>$Q$33</f>
        <v>232.99999999999997</v>
      </c>
      <c r="R40" s="47">
        <f>0</f>
        <v>0</v>
      </c>
    </row>
    <row r="41" spans="2:18" ht="29.45" customHeight="1" x14ac:dyDescent="0.45">
      <c r="B41" s="88" t="s">
        <v>1320</v>
      </c>
      <c r="C41" s="89"/>
      <c r="D41" s="89"/>
      <c r="E41" s="89"/>
      <c r="F41" s="89"/>
      <c r="G41" s="89"/>
      <c r="H41" s="89"/>
      <c r="I41" s="89"/>
      <c r="J41" s="89"/>
      <c r="K41" s="89"/>
      <c r="L41" s="89"/>
      <c r="M41" s="89"/>
      <c r="Q41" s="47">
        <f>$Q$39</f>
        <v>413</v>
      </c>
      <c r="R41" s="47">
        <f>0</f>
        <v>0</v>
      </c>
    </row>
    <row r="43" spans="2:18" x14ac:dyDescent="0.45">
      <c r="P43" s="44" t="str">
        <f>"S2: "&amp;TEXT('Beam Data'!$I$8,"0")&amp;" @ "&amp;TEXT('Beam Data'!$J$8,"General")&amp;" in"</f>
        <v>S2: 20 @ 9 in</v>
      </c>
      <c r="Q43" s="47">
        <f>($Q$33+$Q$39)/2</f>
        <v>323</v>
      </c>
      <c r="R43" s="47">
        <f>-0.22</f>
        <v>-0.22</v>
      </c>
    </row>
    <row r="45" spans="2:18" x14ac:dyDescent="0.45">
      <c r="P45" s="44" t="s">
        <v>1321</v>
      </c>
      <c r="Q45" s="65">
        <f>$Q$39+'Beam Data'!$K$8*'Beam Data'!$L$8</f>
        <v>473</v>
      </c>
    </row>
    <row r="46" spans="2:18" x14ac:dyDescent="0.45">
      <c r="P46" s="44" t="s">
        <v>1322</v>
      </c>
      <c r="Q46" s="47">
        <f>$Q$39</f>
        <v>413</v>
      </c>
      <c r="R46" s="47">
        <f>0</f>
        <v>0</v>
      </c>
    </row>
    <row r="47" spans="2:18" x14ac:dyDescent="0.45">
      <c r="Q47" s="47">
        <f>$Q$45</f>
        <v>473</v>
      </c>
      <c r="R47" s="47">
        <f>0</f>
        <v>0</v>
      </c>
    </row>
    <row r="49" spans="16:18" x14ac:dyDescent="0.45">
      <c r="P49" s="44" t="str">
        <f>"S3: "&amp;TEXT('Beam Data'!$K$8,"0")&amp;" @ "&amp;TEXT('Beam Data'!$L$8,"General")&amp;" in"</f>
        <v>S3: 5 @ 12 in</v>
      </c>
      <c r="Q49" s="47">
        <f>($Q$39+$Q$45)/2</f>
        <v>443</v>
      </c>
      <c r="R49" s="47">
        <f>0.22</f>
        <v>0.22</v>
      </c>
    </row>
    <row r="51" spans="16:18" x14ac:dyDescent="0.45">
      <c r="P51" s="44" t="s">
        <v>1323</v>
      </c>
      <c r="Q51" s="65">
        <f>$Q$45+'Beam Data'!$F$13*'Beam Data'!$M$8</f>
        <v>635</v>
      </c>
    </row>
    <row r="52" spans="16:18" x14ac:dyDescent="0.45">
      <c r="P52" s="44" t="s">
        <v>1324</v>
      </c>
      <c r="Q52" s="47">
        <f>$Q$45</f>
        <v>473</v>
      </c>
      <c r="R52" s="47">
        <f>0</f>
        <v>0</v>
      </c>
    </row>
    <row r="53" spans="16:18" x14ac:dyDescent="0.45">
      <c r="Q53" s="47">
        <f>$Q$51</f>
        <v>635</v>
      </c>
      <c r="R53" s="47">
        <f>0</f>
        <v>0</v>
      </c>
    </row>
    <row r="55" spans="16:18" x14ac:dyDescent="0.45">
      <c r="P55" s="44" t="str">
        <f>"S4: "&amp;TEXT('Beam Data'!$F$13,"0")&amp;" @ "&amp;TEXT('Beam Data'!$M$8,"General")&amp;" in"</f>
        <v>S4: 9 @ 18 in</v>
      </c>
      <c r="Q55" s="47">
        <f>($Q$45+$Q$51)/2</f>
        <v>554</v>
      </c>
      <c r="R55" s="47">
        <f>-0.22</f>
        <v>-0.22</v>
      </c>
    </row>
    <row r="57" spans="16:18" x14ac:dyDescent="0.45">
      <c r="P57" s="44" t="s">
        <v>802</v>
      </c>
      <c r="Q57" s="47">
        <f>-12</f>
        <v>-12</v>
      </c>
      <c r="R57" s="47">
        <f>-1</f>
        <v>-1</v>
      </c>
    </row>
    <row r="58" spans="16:18" x14ac:dyDescent="0.45">
      <c r="Q58" s="47">
        <f>$Q$6+12</f>
        <v>654.61949851559609</v>
      </c>
      <c r="R58" s="47">
        <f>1.1</f>
        <v>1.1000000000000001</v>
      </c>
    </row>
  </sheetData>
  <mergeCells count="28">
    <mergeCell ref="H12:J12"/>
    <mergeCell ref="C9:G9"/>
    <mergeCell ref="K7:M7"/>
    <mergeCell ref="B32:M32"/>
    <mergeCell ref="B41:M41"/>
    <mergeCell ref="C8:G8"/>
    <mergeCell ref="B8"/>
    <mergeCell ref="C7:G7"/>
    <mergeCell ref="H10:J10"/>
    <mergeCell ref="B12"/>
    <mergeCell ref="K10:M10"/>
    <mergeCell ref="C12:G12"/>
    <mergeCell ref="B11"/>
    <mergeCell ref="H8:J8"/>
    <mergeCell ref="C11:G11"/>
    <mergeCell ref="B9"/>
    <mergeCell ref="K12:M12"/>
    <mergeCell ref="H11:J11"/>
    <mergeCell ref="H7:J7"/>
    <mergeCell ref="B3:M3"/>
    <mergeCell ref="K9:M9"/>
    <mergeCell ref="H9:J9"/>
    <mergeCell ref="B10"/>
    <mergeCell ref="K11:M11"/>
    <mergeCell ref="B6:M6"/>
    <mergeCell ref="K8:M8"/>
    <mergeCell ref="C10:G10"/>
    <mergeCell ref="B7"/>
  </mergeCells>
  <conditionalFormatting sqref="B3:M3">
    <cfRule type="expression" dxfId="18" priority="1">
      <formula>Inputs_Edited=0</formula>
    </cfRule>
    <cfRule type="expression" dxfId="17" priority="2">
      <formula>Inputs_Edited&gt;0</formula>
    </cfRule>
  </conditionalFormatting>
  <pageMargins left="0.75" right="0.75" top="1" bottom="1" header="0.5" footer="0.5"/>
  <pageSetup fitToHeight="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2A36"/>
  </sheetPr>
  <dimension ref="A1:V217"/>
  <sheetViews>
    <sheetView showGridLines="0" workbookViewId="0"/>
  </sheetViews>
  <sheetFormatPr defaultRowHeight="14.25" x14ac:dyDescent="0.45"/>
  <cols>
    <col min="1" max="1" width="3" customWidth="1"/>
    <col min="2" max="25" width="11" customWidth="1"/>
  </cols>
  <sheetData>
    <row r="1" spans="1:17" ht="17.649999999999999" x14ac:dyDescent="0.5">
      <c r="A1" s="15" t="s">
        <v>1325</v>
      </c>
      <c r="P1" s="37" t="s">
        <v>107</v>
      </c>
      <c r="Q1" s="2" t="str">
        <f>""&amp;TB_Project</f>
        <v>D2 I-95 Pedestrian Bridge</v>
      </c>
    </row>
    <row r="2" spans="1:17" x14ac:dyDescent="0.45">
      <c r="A2" s="8" t="s">
        <v>1326</v>
      </c>
      <c r="P2" s="37" t="s">
        <v>115</v>
      </c>
      <c r="Q2" s="2" t="str">
        <f>""&amp;TB_JobNo</f>
        <v/>
      </c>
    </row>
    <row r="3" spans="1:17" x14ac:dyDescent="0.45">
      <c r="P3" s="37" t="s">
        <v>722</v>
      </c>
      <c r="Q3" s="2" t="str">
        <f>TB_CalcBy&amp;"  "&amp;TB_CalcDate</f>
        <v xml:space="preserve">  </v>
      </c>
    </row>
    <row r="4" spans="1:17" x14ac:dyDescent="0.45">
      <c r="P4" s="37" t="s">
        <v>723</v>
      </c>
      <c r="Q4" s="2" t="str">
        <f>TB_CheckBy&amp;"  "&amp;TB_CheckDate</f>
        <v xml:space="preserve">  </v>
      </c>
    </row>
    <row r="6" spans="1:17" x14ac:dyDescent="0.45">
      <c r="A6" s="17" t="s">
        <v>1327</v>
      </c>
      <c r="B6" s="18"/>
      <c r="C6" s="18"/>
      <c r="D6" s="18"/>
      <c r="E6" s="18"/>
      <c r="F6" s="18"/>
      <c r="G6" s="18"/>
      <c r="H6" s="18"/>
      <c r="I6" s="18"/>
      <c r="J6" s="18"/>
      <c r="K6" s="18"/>
      <c r="L6" s="18"/>
    </row>
    <row r="7" spans="1:17" x14ac:dyDescent="0.45">
      <c r="B7" s="7" t="s">
        <v>1328</v>
      </c>
      <c r="F7" s="66">
        <f>MIN(U118:U217)</f>
        <v>18.361569093606256</v>
      </c>
      <c r="H7" s="8" t="s">
        <v>1329</v>
      </c>
    </row>
    <row r="8" spans="1:17" x14ac:dyDescent="0.45">
      <c r="B8" s="7" t="s">
        <v>1330</v>
      </c>
      <c r="F8" s="66">
        <f>INDEX(V118:V217,MATCH(Clr_Min,U118:U217,0))</f>
        <v>1699.462329</v>
      </c>
    </row>
    <row r="9" spans="1:17" x14ac:dyDescent="0.45">
      <c r="B9" s="7" t="s">
        <v>1331</v>
      </c>
      <c r="F9" s="58">
        <f>Rd_Req</f>
        <v>17</v>
      </c>
    </row>
    <row r="10" spans="1:17" x14ac:dyDescent="0.45">
      <c r="B10" s="7" t="s">
        <v>1332</v>
      </c>
      <c r="F10" s="66">
        <f>Clr_Min-Rd_Req</f>
        <v>1.3615690936062563</v>
      </c>
    </row>
    <row r="11" spans="1:17" x14ac:dyDescent="0.45">
      <c r="B11" s="7" t="s">
        <v>1333</v>
      </c>
      <c r="F11" s="58">
        <f>SUM(J16:J114)</f>
        <v>207.23188600000003</v>
      </c>
    </row>
    <row r="12" spans="1:17" x14ac:dyDescent="0.45">
      <c r="B12" s="7" t="s">
        <v>1334</v>
      </c>
      <c r="F12" s="67" t="str">
        <f>IF(Clr_Min&lt;Rd_Req-0.00000001,"Below requirement",IF(ABS(Clr_Cover-Prof_L)&lt;=0.000001,"Meets requirement","Covered region only"))</f>
        <v>Covered region only</v>
      </c>
    </row>
    <row r="14" spans="1:17" x14ac:dyDescent="0.45">
      <c r="A14" s="17" t="s">
        <v>1335</v>
      </c>
      <c r="B14" s="18"/>
      <c r="C14" s="18"/>
      <c r="D14" s="18"/>
      <c r="E14" s="18"/>
      <c r="F14" s="18"/>
      <c r="G14" s="18"/>
      <c r="H14" s="18"/>
      <c r="I14" s="18"/>
      <c r="J14" s="18"/>
      <c r="K14" s="18"/>
      <c r="L14" s="18"/>
    </row>
    <row r="15" spans="1:17" ht="32" customHeight="1" x14ac:dyDescent="0.45">
      <c r="B15" s="19" t="s">
        <v>1336</v>
      </c>
      <c r="C15" s="19" t="s">
        <v>1337</v>
      </c>
      <c r="D15" s="19" t="s">
        <v>1338</v>
      </c>
      <c r="E15" s="19" t="s">
        <v>1339</v>
      </c>
      <c r="F15" s="19" t="s">
        <v>1340</v>
      </c>
      <c r="G15" s="19" t="s">
        <v>1341</v>
      </c>
      <c r="H15" s="19" t="s">
        <v>1342</v>
      </c>
      <c r="I15" s="19" t="s">
        <v>1343</v>
      </c>
      <c r="J15" s="19" t="s">
        <v>1344</v>
      </c>
    </row>
    <row r="16" spans="1:17" x14ac:dyDescent="0.45">
      <c r="B16" s="11">
        <v>1</v>
      </c>
      <c r="C16" s="68">
        <v>0</v>
      </c>
      <c r="D16" s="68">
        <v>2.3367929999999428</v>
      </c>
      <c r="E16" s="41">
        <f t="shared" ref="E16:E47" si="0">C16+Rd_Shift</f>
        <v>1593.22</v>
      </c>
      <c r="F16" s="41">
        <f t="shared" ref="F16:F47" si="1">D16+Rd_Shift</f>
        <v>1595.556793</v>
      </c>
      <c r="G16" s="68">
        <v>24.034211378999998</v>
      </c>
      <c r="H16" s="69">
        <v>-6.4160994148819664E-2</v>
      </c>
      <c r="I16" s="69">
        <v>0</v>
      </c>
      <c r="J16" s="49">
        <f t="shared" ref="J16:J47" si="2">MAX(0,MIN(F16,Prof_Sta1)-MAX(E16,Prof_Sta0))</f>
        <v>2.3367929999999433</v>
      </c>
    </row>
    <row r="17" spans="2:10" x14ac:dyDescent="0.45">
      <c r="B17" s="11">
        <v>2</v>
      </c>
      <c r="C17" s="68">
        <v>2.3367929999999428</v>
      </c>
      <c r="D17" s="68">
        <v>5.1601399999999558</v>
      </c>
      <c r="E17" s="41">
        <f t="shared" si="0"/>
        <v>1595.556793</v>
      </c>
      <c r="F17" s="41">
        <f t="shared" si="1"/>
        <v>1598.38014</v>
      </c>
      <c r="G17" s="68">
        <v>23.884280416999999</v>
      </c>
      <c r="H17" s="69">
        <v>-2.95099645916647E-3</v>
      </c>
      <c r="I17" s="69">
        <v>0</v>
      </c>
      <c r="J17" s="49">
        <f t="shared" si="2"/>
        <v>2.8233470000000125</v>
      </c>
    </row>
    <row r="18" spans="2:10" x14ac:dyDescent="0.45">
      <c r="B18" s="11">
        <v>3</v>
      </c>
      <c r="C18" s="68">
        <v>5.1601399999999558</v>
      </c>
      <c r="D18" s="68">
        <v>7.0663770000001023</v>
      </c>
      <c r="E18" s="41">
        <f t="shared" si="0"/>
        <v>1598.38014</v>
      </c>
      <c r="F18" s="41">
        <f t="shared" si="1"/>
        <v>1600.2863770000001</v>
      </c>
      <c r="G18" s="68">
        <v>23.875948730000001</v>
      </c>
      <c r="H18" s="69">
        <v>-9.9363930088550287E-4</v>
      </c>
      <c r="I18" s="69">
        <v>0</v>
      </c>
      <c r="J18" s="49">
        <f t="shared" si="2"/>
        <v>1.9062370000001465</v>
      </c>
    </row>
    <row r="19" spans="2:10" x14ac:dyDescent="0.45">
      <c r="B19" s="11">
        <v>4</v>
      </c>
      <c r="C19" s="68">
        <v>7.0663770000001023</v>
      </c>
      <c r="D19" s="68">
        <v>9.98791099999994</v>
      </c>
      <c r="E19" s="41">
        <f t="shared" si="0"/>
        <v>1600.2863770000001</v>
      </c>
      <c r="F19" s="41">
        <f t="shared" si="1"/>
        <v>1603.207911</v>
      </c>
      <c r="G19" s="68">
        <v>23.874054617999999</v>
      </c>
      <c r="H19" s="69">
        <v>0.22410749866338589</v>
      </c>
      <c r="I19" s="69">
        <v>0</v>
      </c>
      <c r="J19" s="49">
        <f t="shared" si="2"/>
        <v>2.9215339999998378</v>
      </c>
    </row>
    <row r="20" spans="2:10" x14ac:dyDescent="0.45">
      <c r="B20" s="11">
        <v>5</v>
      </c>
      <c r="C20" s="68">
        <v>9.98791099999994</v>
      </c>
      <c r="D20" s="68">
        <v>10.251893999999989</v>
      </c>
      <c r="E20" s="41">
        <f t="shared" si="0"/>
        <v>1603.207911</v>
      </c>
      <c r="F20" s="41">
        <f t="shared" si="1"/>
        <v>1603.471894</v>
      </c>
      <c r="G20" s="68">
        <v>24.528792294999999</v>
      </c>
      <c r="H20" s="69">
        <v>7.591020633903281E-2</v>
      </c>
      <c r="I20" s="69">
        <v>0</v>
      </c>
      <c r="J20" s="49">
        <f t="shared" si="2"/>
        <v>0.26398300000005293</v>
      </c>
    </row>
    <row r="21" spans="2:10" x14ac:dyDescent="0.45">
      <c r="B21" s="11">
        <v>6</v>
      </c>
      <c r="C21" s="68">
        <v>10.251893999999989</v>
      </c>
      <c r="D21" s="68">
        <v>10.31191800000011</v>
      </c>
      <c r="E21" s="41">
        <f t="shared" si="0"/>
        <v>1603.471894</v>
      </c>
      <c r="F21" s="41">
        <f t="shared" si="1"/>
        <v>1603.5319180000001</v>
      </c>
      <c r="G21" s="68">
        <v>24.548831299</v>
      </c>
      <c r="H21" s="69">
        <v>7.591098560564262E-2</v>
      </c>
      <c r="I21" s="69">
        <v>0</v>
      </c>
      <c r="J21" s="49">
        <f t="shared" si="2"/>
        <v>6.002400000011221E-2</v>
      </c>
    </row>
    <row r="22" spans="2:10" x14ac:dyDescent="0.45">
      <c r="B22" s="11">
        <v>7</v>
      </c>
      <c r="C22" s="68">
        <v>10.31191800000011</v>
      </c>
      <c r="D22" s="68">
        <v>10.384334000000081</v>
      </c>
      <c r="E22" s="41">
        <f t="shared" si="0"/>
        <v>1603.5319180000001</v>
      </c>
      <c r="F22" s="41">
        <f t="shared" si="1"/>
        <v>1603.6043340000001</v>
      </c>
      <c r="G22" s="68">
        <v>24.553387780000001</v>
      </c>
      <c r="H22" s="69">
        <v>7.5910309876263724E-2</v>
      </c>
      <c r="I22" s="69">
        <v>0</v>
      </c>
      <c r="J22" s="49">
        <f t="shared" si="2"/>
        <v>7.2415999999975611E-2</v>
      </c>
    </row>
    <row r="23" spans="2:10" x14ac:dyDescent="0.45">
      <c r="B23" s="11">
        <v>8</v>
      </c>
      <c r="C23" s="68">
        <v>10.384334000000081</v>
      </c>
      <c r="D23" s="68">
        <v>10.455044999999931</v>
      </c>
      <c r="E23" s="41">
        <f t="shared" si="0"/>
        <v>1603.6043340000001</v>
      </c>
      <c r="F23" s="41">
        <f t="shared" si="1"/>
        <v>1603.675045</v>
      </c>
      <c r="G23" s="68">
        <v>24.558884900999999</v>
      </c>
      <c r="H23" s="69">
        <v>7.5910678678197979E-2</v>
      </c>
      <c r="I23" s="69">
        <v>0</v>
      </c>
      <c r="J23" s="49">
        <f t="shared" si="2"/>
        <v>7.0710999999846536E-2</v>
      </c>
    </row>
    <row r="24" spans="2:10" x14ac:dyDescent="0.45">
      <c r="B24" s="11">
        <v>9</v>
      </c>
      <c r="C24" s="68">
        <v>10.455044999999931</v>
      </c>
      <c r="D24" s="68">
        <v>11.77617299999997</v>
      </c>
      <c r="E24" s="41">
        <f t="shared" si="0"/>
        <v>1603.675045</v>
      </c>
      <c r="F24" s="41">
        <f t="shared" si="1"/>
        <v>1604.996173</v>
      </c>
      <c r="G24" s="68">
        <v>24.564252621000001</v>
      </c>
      <c r="H24" s="69">
        <v>7.5910456064813267E-2</v>
      </c>
      <c r="I24" s="69">
        <v>0</v>
      </c>
      <c r="J24" s="49">
        <f t="shared" si="2"/>
        <v>1.3211280000000443</v>
      </c>
    </row>
    <row r="25" spans="2:10" x14ac:dyDescent="0.45">
      <c r="B25" s="11">
        <v>10</v>
      </c>
      <c r="C25" s="68">
        <v>11.77617299999997</v>
      </c>
      <c r="D25" s="68">
        <v>12.54720300000008</v>
      </c>
      <c r="E25" s="41">
        <f t="shared" si="0"/>
        <v>1604.996173</v>
      </c>
      <c r="F25" s="41">
        <f t="shared" si="1"/>
        <v>1605.7672030000001</v>
      </c>
      <c r="G25" s="68">
        <v>24.664540049999999</v>
      </c>
      <c r="H25" s="69">
        <v>-0.1206597369751964</v>
      </c>
      <c r="I25" s="69">
        <v>0</v>
      </c>
      <c r="J25" s="49">
        <f t="shared" si="2"/>
        <v>0.77103000000010979</v>
      </c>
    </row>
    <row r="26" spans="2:10" x14ac:dyDescent="0.45">
      <c r="B26" s="11">
        <v>11</v>
      </c>
      <c r="C26" s="68">
        <v>12.54720300000008</v>
      </c>
      <c r="D26" s="68">
        <v>14.67012700000009</v>
      </c>
      <c r="E26" s="41">
        <f t="shared" si="0"/>
        <v>1605.7672030000001</v>
      </c>
      <c r="F26" s="41">
        <f t="shared" si="1"/>
        <v>1607.8901270000001</v>
      </c>
      <c r="G26" s="68">
        <v>24.571507773</v>
      </c>
      <c r="H26" s="69">
        <v>-4.8728382645821668E-2</v>
      </c>
      <c r="I26" s="69">
        <v>0</v>
      </c>
      <c r="J26" s="49">
        <f t="shared" si="2"/>
        <v>2.1229240000000118</v>
      </c>
    </row>
    <row r="27" spans="2:10" x14ac:dyDescent="0.45">
      <c r="B27" s="11">
        <v>12</v>
      </c>
      <c r="C27" s="68">
        <v>14.67012700000009</v>
      </c>
      <c r="D27" s="68">
        <v>22.874307000000041</v>
      </c>
      <c r="E27" s="41">
        <f t="shared" si="0"/>
        <v>1607.8901270000001</v>
      </c>
      <c r="F27" s="41">
        <f t="shared" si="1"/>
        <v>1616.0943070000001</v>
      </c>
      <c r="G27" s="68">
        <v>24.468061120000002</v>
      </c>
      <c r="H27" s="69">
        <v>-0.1428949908461308</v>
      </c>
      <c r="I27" s="69">
        <v>0</v>
      </c>
      <c r="J27" s="49">
        <f t="shared" si="2"/>
        <v>8.2041799999999512</v>
      </c>
    </row>
    <row r="28" spans="2:10" x14ac:dyDescent="0.45">
      <c r="B28" s="11">
        <v>13</v>
      </c>
      <c r="C28" s="68">
        <v>22.874307000000041</v>
      </c>
      <c r="D28" s="68">
        <v>26.687670000000029</v>
      </c>
      <c r="E28" s="41">
        <f t="shared" si="0"/>
        <v>1616.0943070000001</v>
      </c>
      <c r="F28" s="41">
        <f t="shared" si="1"/>
        <v>1619.9076700000001</v>
      </c>
      <c r="G28" s="68">
        <v>23.295724893999999</v>
      </c>
      <c r="H28" s="69">
        <v>-0.146446393380332</v>
      </c>
      <c r="I28" s="69">
        <v>0</v>
      </c>
      <c r="J28" s="49">
        <f t="shared" si="2"/>
        <v>3.8133629999999812</v>
      </c>
    </row>
    <row r="29" spans="2:10" x14ac:dyDescent="0.45">
      <c r="B29" s="11">
        <v>14</v>
      </c>
      <c r="C29" s="68">
        <v>26.687670000000029</v>
      </c>
      <c r="D29" s="68">
        <v>28.875017000000071</v>
      </c>
      <c r="E29" s="41">
        <f t="shared" si="0"/>
        <v>1619.9076700000001</v>
      </c>
      <c r="F29" s="41">
        <f t="shared" si="1"/>
        <v>1622.0950170000001</v>
      </c>
      <c r="G29" s="68">
        <v>22.737271635999999</v>
      </c>
      <c r="H29" s="69">
        <v>-2.149178845423207E-2</v>
      </c>
      <c r="I29" s="69">
        <v>0</v>
      </c>
      <c r="J29" s="49">
        <f t="shared" si="2"/>
        <v>2.1873470000000452</v>
      </c>
    </row>
    <row r="30" spans="2:10" x14ac:dyDescent="0.45">
      <c r="B30" s="11">
        <v>15</v>
      </c>
      <c r="C30" s="68">
        <v>28.875017000000071</v>
      </c>
      <c r="D30" s="68">
        <v>33.482909000000063</v>
      </c>
      <c r="E30" s="41">
        <f t="shared" si="0"/>
        <v>1622.0950170000001</v>
      </c>
      <c r="F30" s="41">
        <f t="shared" si="1"/>
        <v>1626.7029090000001</v>
      </c>
      <c r="G30" s="68">
        <v>22.690261636999999</v>
      </c>
      <c r="H30" s="69">
        <v>-3.0469016417919451E-2</v>
      </c>
      <c r="I30" s="69">
        <v>0</v>
      </c>
      <c r="J30" s="49">
        <f t="shared" si="2"/>
        <v>4.6078919999999925</v>
      </c>
    </row>
    <row r="31" spans="2:10" x14ac:dyDescent="0.45">
      <c r="B31" s="11">
        <v>16</v>
      </c>
      <c r="C31" s="68">
        <v>33.482909000000063</v>
      </c>
      <c r="D31" s="68">
        <v>33.531744000000117</v>
      </c>
      <c r="E31" s="41">
        <f t="shared" si="0"/>
        <v>1626.7029090000001</v>
      </c>
      <c r="F31" s="41">
        <f t="shared" si="1"/>
        <v>1626.7517440000001</v>
      </c>
      <c r="G31" s="68">
        <v>22.5498637</v>
      </c>
      <c r="H31" s="69">
        <v>2.3926548581970009E-2</v>
      </c>
      <c r="I31" s="69">
        <v>0</v>
      </c>
      <c r="J31" s="49">
        <f t="shared" si="2"/>
        <v>4.8835000000053697E-2</v>
      </c>
    </row>
    <row r="32" spans="2:10" x14ac:dyDescent="0.45">
      <c r="B32" s="11">
        <v>17</v>
      </c>
      <c r="C32" s="68">
        <v>33.531744000000117</v>
      </c>
      <c r="D32" s="68">
        <v>36.470724999999902</v>
      </c>
      <c r="E32" s="41">
        <f t="shared" si="0"/>
        <v>1626.7517440000001</v>
      </c>
      <c r="F32" s="41">
        <f t="shared" si="1"/>
        <v>1629.6907249999999</v>
      </c>
      <c r="G32" s="68">
        <v>22.551032153000001</v>
      </c>
      <c r="H32" s="69">
        <v>9.8730022752791136E-2</v>
      </c>
      <c r="I32" s="69">
        <v>0</v>
      </c>
      <c r="J32" s="49">
        <f t="shared" si="2"/>
        <v>2.9389809999997851</v>
      </c>
    </row>
    <row r="33" spans="2:10" x14ac:dyDescent="0.45">
      <c r="B33" s="11">
        <v>18</v>
      </c>
      <c r="C33" s="68">
        <v>36.470724999999902</v>
      </c>
      <c r="D33" s="68">
        <v>37.418310000000019</v>
      </c>
      <c r="E33" s="41">
        <f t="shared" si="0"/>
        <v>1629.6907249999999</v>
      </c>
      <c r="F33" s="41">
        <f t="shared" si="1"/>
        <v>1630.63831</v>
      </c>
      <c r="G33" s="68">
        <v>22.841197814000001</v>
      </c>
      <c r="H33" s="69">
        <v>7.6396700032176648E-2</v>
      </c>
      <c r="I33" s="69">
        <v>0</v>
      </c>
      <c r="J33" s="49">
        <f t="shared" si="2"/>
        <v>0.94758500000011736</v>
      </c>
    </row>
    <row r="34" spans="2:10" x14ac:dyDescent="0.45">
      <c r="B34" s="11">
        <v>19</v>
      </c>
      <c r="C34" s="68">
        <v>37.418310000000019</v>
      </c>
      <c r="D34" s="68">
        <v>40.280353000000098</v>
      </c>
      <c r="E34" s="41">
        <f t="shared" si="0"/>
        <v>1630.63831</v>
      </c>
      <c r="F34" s="41">
        <f t="shared" si="1"/>
        <v>1633.5003530000001</v>
      </c>
      <c r="G34" s="68">
        <v>22.913590181</v>
      </c>
      <c r="H34" s="69">
        <v>0.101845366054945</v>
      </c>
      <c r="I34" s="69">
        <v>0</v>
      </c>
      <c r="J34" s="49">
        <f t="shared" si="2"/>
        <v>2.8620430000000852</v>
      </c>
    </row>
    <row r="35" spans="2:10" x14ac:dyDescent="0.45">
      <c r="B35" s="11">
        <v>20</v>
      </c>
      <c r="C35" s="68">
        <v>40.280353000000098</v>
      </c>
      <c r="D35" s="68">
        <v>41.216775000000098</v>
      </c>
      <c r="E35" s="41">
        <f t="shared" si="0"/>
        <v>1633.5003530000001</v>
      </c>
      <c r="F35" s="41">
        <f t="shared" si="1"/>
        <v>1634.4367750000001</v>
      </c>
      <c r="G35" s="68">
        <v>23.205075998000002</v>
      </c>
      <c r="H35" s="69">
        <v>0.108325789013927</v>
      </c>
      <c r="I35" s="69">
        <v>0</v>
      </c>
      <c r="J35" s="49">
        <f t="shared" si="2"/>
        <v>0.9364219999999932</v>
      </c>
    </row>
    <row r="36" spans="2:10" x14ac:dyDescent="0.45">
      <c r="B36" s="11">
        <v>21</v>
      </c>
      <c r="C36" s="68">
        <v>41.216775000000098</v>
      </c>
      <c r="D36" s="68">
        <v>41.794176999999991</v>
      </c>
      <c r="E36" s="41">
        <f t="shared" si="0"/>
        <v>1634.4367750000001</v>
      </c>
      <c r="F36" s="41">
        <f t="shared" si="1"/>
        <v>1635.014177</v>
      </c>
      <c r="G36" s="68">
        <v>23.30651465</v>
      </c>
      <c r="H36" s="69">
        <v>0.1811962757316741</v>
      </c>
      <c r="I36" s="69">
        <v>0</v>
      </c>
      <c r="J36" s="49">
        <f t="shared" si="2"/>
        <v>0.57740199999989272</v>
      </c>
    </row>
    <row r="37" spans="2:10" x14ac:dyDescent="0.45">
      <c r="B37" s="11">
        <v>22</v>
      </c>
      <c r="C37" s="68">
        <v>41.794176999999991</v>
      </c>
      <c r="D37" s="68">
        <v>45.609353999999939</v>
      </c>
      <c r="E37" s="41">
        <f t="shared" si="0"/>
        <v>1635.014177</v>
      </c>
      <c r="F37" s="41">
        <f t="shared" si="1"/>
        <v>1638.829354</v>
      </c>
      <c r="G37" s="68">
        <v>23.411137742000001</v>
      </c>
      <c r="H37" s="69">
        <v>0.1834483836529755</v>
      </c>
      <c r="I37" s="69">
        <v>0</v>
      </c>
      <c r="J37" s="49">
        <f t="shared" si="2"/>
        <v>3.8151769999999487</v>
      </c>
    </row>
    <row r="38" spans="2:10" x14ac:dyDescent="0.45">
      <c r="B38" s="11">
        <v>23</v>
      </c>
      <c r="C38" s="68">
        <v>45.609353999999939</v>
      </c>
      <c r="D38" s="68">
        <v>48.933579000000009</v>
      </c>
      <c r="E38" s="41">
        <f t="shared" si="0"/>
        <v>1638.829354</v>
      </c>
      <c r="F38" s="41">
        <f t="shared" si="1"/>
        <v>1642.153579</v>
      </c>
      <c r="G38" s="68">
        <v>24.111025796</v>
      </c>
      <c r="H38" s="69">
        <v>0.142833907752932</v>
      </c>
      <c r="I38" s="69">
        <v>0</v>
      </c>
      <c r="J38" s="49">
        <f t="shared" si="2"/>
        <v>3.3242250000000695</v>
      </c>
    </row>
    <row r="39" spans="2:10" x14ac:dyDescent="0.45">
      <c r="B39" s="11">
        <v>24</v>
      </c>
      <c r="C39" s="68">
        <v>48.933579000000009</v>
      </c>
      <c r="D39" s="68">
        <v>50.754384999999957</v>
      </c>
      <c r="E39" s="41">
        <f t="shared" si="0"/>
        <v>1642.153579</v>
      </c>
      <c r="F39" s="41">
        <f t="shared" si="1"/>
        <v>1643.974385</v>
      </c>
      <c r="G39" s="68">
        <v>24.585837843</v>
      </c>
      <c r="H39" s="69">
        <v>0.13535415689535699</v>
      </c>
      <c r="I39" s="69">
        <v>0</v>
      </c>
      <c r="J39" s="49">
        <f t="shared" si="2"/>
        <v>1.8208059999999477</v>
      </c>
    </row>
    <row r="40" spans="2:10" x14ac:dyDescent="0.45">
      <c r="B40" s="11">
        <v>25</v>
      </c>
      <c r="C40" s="68">
        <v>50.754384999999957</v>
      </c>
      <c r="D40" s="68">
        <v>51.302572999999938</v>
      </c>
      <c r="E40" s="41">
        <f t="shared" si="0"/>
        <v>1643.974385</v>
      </c>
      <c r="F40" s="41">
        <f t="shared" si="1"/>
        <v>1644.522573</v>
      </c>
      <c r="G40" s="68">
        <v>24.832291504000001</v>
      </c>
      <c r="H40" s="69">
        <v>3.4381686574679188E-2</v>
      </c>
      <c r="I40" s="69">
        <v>0</v>
      </c>
      <c r="J40" s="49">
        <f t="shared" si="2"/>
        <v>0.54818799999998191</v>
      </c>
    </row>
    <row r="41" spans="2:10" x14ac:dyDescent="0.45">
      <c r="B41" s="11">
        <v>26</v>
      </c>
      <c r="C41" s="68">
        <v>51.302572999999938</v>
      </c>
      <c r="D41" s="68">
        <v>52.189026999999903</v>
      </c>
      <c r="E41" s="41">
        <f t="shared" si="0"/>
        <v>1644.522573</v>
      </c>
      <c r="F41" s="41">
        <f t="shared" si="1"/>
        <v>1645.4090269999999</v>
      </c>
      <c r="G41" s="68">
        <v>24.851139132</v>
      </c>
      <c r="H41" s="69">
        <v>7.7078686542115152E-2</v>
      </c>
      <c r="I41" s="69">
        <v>0</v>
      </c>
      <c r="J41" s="49">
        <f t="shared" si="2"/>
        <v>0.88645399999995789</v>
      </c>
    </row>
    <row r="42" spans="2:10" x14ac:dyDescent="0.45">
      <c r="B42" s="11">
        <v>27</v>
      </c>
      <c r="C42" s="68">
        <v>52.189026999999903</v>
      </c>
      <c r="D42" s="68">
        <v>52.432835000000068</v>
      </c>
      <c r="E42" s="41">
        <f t="shared" si="0"/>
        <v>1645.4090269999999</v>
      </c>
      <c r="F42" s="41">
        <f t="shared" si="1"/>
        <v>1645.6528350000001</v>
      </c>
      <c r="G42" s="68">
        <v>24.919465842000001</v>
      </c>
      <c r="H42" s="69">
        <v>-0.21535840497426401</v>
      </c>
      <c r="I42" s="69">
        <v>0</v>
      </c>
      <c r="J42" s="49">
        <f t="shared" si="2"/>
        <v>0.24380800000017189</v>
      </c>
    </row>
    <row r="43" spans="2:10" x14ac:dyDescent="0.45">
      <c r="B43" s="11">
        <v>28</v>
      </c>
      <c r="C43" s="68">
        <v>52.432835000000068</v>
      </c>
      <c r="D43" s="68">
        <v>52.682430000000068</v>
      </c>
      <c r="E43" s="41">
        <f t="shared" si="0"/>
        <v>1645.6528350000001</v>
      </c>
      <c r="F43" s="41">
        <f t="shared" si="1"/>
        <v>1645.9024300000001</v>
      </c>
      <c r="G43" s="68">
        <v>24.866959739999999</v>
      </c>
      <c r="H43" s="69">
        <v>-0.30096499529236831</v>
      </c>
      <c r="I43" s="69">
        <v>0</v>
      </c>
      <c r="J43" s="49">
        <f t="shared" si="2"/>
        <v>0.24959499999999935</v>
      </c>
    </row>
    <row r="44" spans="2:10" x14ac:dyDescent="0.45">
      <c r="B44" s="11">
        <v>29</v>
      </c>
      <c r="C44" s="68">
        <v>52.682430000000068</v>
      </c>
      <c r="D44" s="68">
        <v>52.96255599999995</v>
      </c>
      <c r="E44" s="41">
        <f t="shared" si="0"/>
        <v>1645.9024300000001</v>
      </c>
      <c r="F44" s="41">
        <f t="shared" si="1"/>
        <v>1646.182556</v>
      </c>
      <c r="G44" s="68">
        <v>24.791840382</v>
      </c>
      <c r="H44" s="69">
        <v>-0.33986554264880942</v>
      </c>
      <c r="I44" s="69">
        <v>0</v>
      </c>
      <c r="J44" s="49">
        <f t="shared" si="2"/>
        <v>0.28012599999988197</v>
      </c>
    </row>
    <row r="45" spans="2:10" x14ac:dyDescent="0.45">
      <c r="B45" s="11">
        <v>30</v>
      </c>
      <c r="C45" s="68">
        <v>52.96255599999995</v>
      </c>
      <c r="D45" s="68">
        <v>53.967198000000053</v>
      </c>
      <c r="E45" s="41">
        <f t="shared" si="0"/>
        <v>1646.182556</v>
      </c>
      <c r="F45" s="41">
        <f t="shared" si="1"/>
        <v>1647.1871980000001</v>
      </c>
      <c r="G45" s="68">
        <v>24.696635207</v>
      </c>
      <c r="H45" s="69">
        <v>6.4491007742055878E-2</v>
      </c>
      <c r="I45" s="69">
        <v>0</v>
      </c>
      <c r="J45" s="49">
        <f t="shared" si="2"/>
        <v>1.0046420000001035</v>
      </c>
    </row>
    <row r="46" spans="2:10" x14ac:dyDescent="0.45">
      <c r="B46" s="11">
        <v>31</v>
      </c>
      <c r="C46" s="68">
        <v>53.967198000000053</v>
      </c>
      <c r="D46" s="68">
        <v>55.472052000000083</v>
      </c>
      <c r="E46" s="41">
        <f t="shared" si="0"/>
        <v>1647.1871980000001</v>
      </c>
      <c r="F46" s="41">
        <f t="shared" si="1"/>
        <v>1648.6920520000001</v>
      </c>
      <c r="G46" s="68">
        <v>24.761425582000001</v>
      </c>
      <c r="H46" s="69">
        <v>7.6687324484631919E-2</v>
      </c>
      <c r="I46" s="69">
        <v>0</v>
      </c>
      <c r="J46" s="49">
        <f t="shared" si="2"/>
        <v>1.504854000000023</v>
      </c>
    </row>
    <row r="47" spans="2:10" x14ac:dyDescent="0.45">
      <c r="B47" s="11">
        <v>32</v>
      </c>
      <c r="C47" s="68">
        <v>55.472052000000083</v>
      </c>
      <c r="D47" s="68">
        <v>58.778671999999908</v>
      </c>
      <c r="E47" s="41">
        <f t="shared" si="0"/>
        <v>1648.6920520000001</v>
      </c>
      <c r="F47" s="41">
        <f t="shared" si="1"/>
        <v>1651.9986719999999</v>
      </c>
      <c r="G47" s="68">
        <v>24.876828808999999</v>
      </c>
      <c r="H47" s="69">
        <v>6.6165146282310114E-2</v>
      </c>
      <c r="I47" s="69">
        <v>0</v>
      </c>
      <c r="J47" s="49">
        <f t="shared" si="2"/>
        <v>3.3066199999998389</v>
      </c>
    </row>
    <row r="48" spans="2:10" x14ac:dyDescent="0.45">
      <c r="B48" s="11">
        <v>33</v>
      </c>
      <c r="C48" s="68">
        <v>58.778671999999908</v>
      </c>
      <c r="D48" s="68">
        <v>61.01622999999995</v>
      </c>
      <c r="E48" s="41">
        <f t="shared" ref="E48:E79" si="3">C48+Rd_Shift</f>
        <v>1651.9986719999999</v>
      </c>
      <c r="F48" s="41">
        <f t="shared" ref="F48:F79" si="4">D48+Rd_Shift</f>
        <v>1654.23623</v>
      </c>
      <c r="G48" s="68">
        <v>25.095611805000001</v>
      </c>
      <c r="H48" s="69">
        <v>7.0401725452477942E-2</v>
      </c>
      <c r="I48" s="69">
        <v>0</v>
      </c>
      <c r="J48" s="49">
        <f t="shared" ref="J48:J79" si="5">MAX(0,MIN(F48,Prof_Sta1)-MAX(E48,Prof_Sta0))</f>
        <v>2.2375580000000355</v>
      </c>
    </row>
    <row r="49" spans="2:10" x14ac:dyDescent="0.45">
      <c r="B49" s="11">
        <v>34</v>
      </c>
      <c r="C49" s="68">
        <v>61.01622999999995</v>
      </c>
      <c r="D49" s="68">
        <v>61.856831000000057</v>
      </c>
      <c r="E49" s="41">
        <f t="shared" si="3"/>
        <v>1654.23623</v>
      </c>
      <c r="F49" s="41">
        <f t="shared" si="4"/>
        <v>1655.0768310000001</v>
      </c>
      <c r="G49" s="68">
        <v>25.253139748999999</v>
      </c>
      <c r="H49" s="69">
        <v>3.5916086228776463E-2</v>
      </c>
      <c r="I49" s="69">
        <v>0</v>
      </c>
      <c r="J49" s="49">
        <f t="shared" si="5"/>
        <v>0.84060100000010607</v>
      </c>
    </row>
    <row r="50" spans="2:10" x14ac:dyDescent="0.45">
      <c r="B50" s="11">
        <v>35</v>
      </c>
      <c r="C50" s="68">
        <v>61.856831000000057</v>
      </c>
      <c r="D50" s="68">
        <v>63.03118500000005</v>
      </c>
      <c r="E50" s="41">
        <f t="shared" si="3"/>
        <v>1655.0768310000001</v>
      </c>
      <c r="F50" s="41">
        <f t="shared" si="4"/>
        <v>1656.2511850000001</v>
      </c>
      <c r="G50" s="68">
        <v>25.283330846999998</v>
      </c>
      <c r="H50" s="69">
        <v>4.7082882163302447E-2</v>
      </c>
      <c r="I50" s="69">
        <v>0</v>
      </c>
      <c r="J50" s="49">
        <f t="shared" si="5"/>
        <v>1.1743539999999939</v>
      </c>
    </row>
    <row r="51" spans="2:10" x14ac:dyDescent="0.45">
      <c r="B51" s="11">
        <v>36</v>
      </c>
      <c r="C51" s="68">
        <v>63.03118500000005</v>
      </c>
      <c r="D51" s="68">
        <v>63.201452000000018</v>
      </c>
      <c r="E51" s="41">
        <f t="shared" si="3"/>
        <v>1656.2511850000001</v>
      </c>
      <c r="F51" s="41">
        <f t="shared" si="4"/>
        <v>1656.421452</v>
      </c>
      <c r="G51" s="68">
        <v>25.338622818000001</v>
      </c>
      <c r="H51" s="69">
        <v>-2.652562739697371E-2</v>
      </c>
      <c r="I51" s="69">
        <v>0</v>
      </c>
      <c r="J51" s="49">
        <f t="shared" si="5"/>
        <v>0.17026699999996708</v>
      </c>
    </row>
    <row r="52" spans="2:10" x14ac:dyDescent="0.45">
      <c r="B52" s="11">
        <v>37</v>
      </c>
      <c r="C52" s="68">
        <v>63.201452000000018</v>
      </c>
      <c r="D52" s="68">
        <v>63.345145000000002</v>
      </c>
      <c r="E52" s="41">
        <f t="shared" si="3"/>
        <v>1656.421452</v>
      </c>
      <c r="F52" s="41">
        <f t="shared" si="4"/>
        <v>1656.565145</v>
      </c>
      <c r="G52" s="68">
        <v>25.334106379000001</v>
      </c>
      <c r="H52" s="69">
        <v>8.4767546087847173E-2</v>
      </c>
      <c r="I52" s="69">
        <v>0</v>
      </c>
      <c r="J52" s="49">
        <f t="shared" si="5"/>
        <v>0.14369299999998475</v>
      </c>
    </row>
    <row r="53" spans="2:10" x14ac:dyDescent="0.45">
      <c r="B53" s="11">
        <v>38</v>
      </c>
      <c r="C53" s="68">
        <v>63.345145000000002</v>
      </c>
      <c r="D53" s="68">
        <v>68.995652999999947</v>
      </c>
      <c r="E53" s="41">
        <f t="shared" si="3"/>
        <v>1656.565145</v>
      </c>
      <c r="F53" s="41">
        <f t="shared" si="4"/>
        <v>1662.215653</v>
      </c>
      <c r="G53" s="68">
        <v>25.346286882000001</v>
      </c>
      <c r="H53" s="69">
        <v>1.9952900340995661E-2</v>
      </c>
      <c r="I53" s="69">
        <v>0</v>
      </c>
      <c r="J53" s="49">
        <f t="shared" si="5"/>
        <v>5.6505079999999452</v>
      </c>
    </row>
    <row r="54" spans="2:10" x14ac:dyDescent="0.45">
      <c r="B54" s="11">
        <v>39</v>
      </c>
      <c r="C54" s="68">
        <v>68.995652999999947</v>
      </c>
      <c r="D54" s="68">
        <v>70.829439999999977</v>
      </c>
      <c r="E54" s="41">
        <f t="shared" si="3"/>
        <v>1662.215653</v>
      </c>
      <c r="F54" s="41">
        <f t="shared" si="4"/>
        <v>1664.04944</v>
      </c>
      <c r="G54" s="68">
        <v>25.459030904999999</v>
      </c>
      <c r="H54" s="69">
        <v>2.2070669603395029E-2</v>
      </c>
      <c r="I54" s="69">
        <v>0</v>
      </c>
      <c r="J54" s="49">
        <f t="shared" si="5"/>
        <v>1.8337870000000294</v>
      </c>
    </row>
    <row r="55" spans="2:10" x14ac:dyDescent="0.45">
      <c r="B55" s="11">
        <v>40</v>
      </c>
      <c r="C55" s="68">
        <v>70.829439999999977</v>
      </c>
      <c r="D55" s="68">
        <v>74.548448000000008</v>
      </c>
      <c r="E55" s="41">
        <f t="shared" si="3"/>
        <v>1664.04944</v>
      </c>
      <c r="F55" s="41">
        <f t="shared" si="4"/>
        <v>1667.768448</v>
      </c>
      <c r="G55" s="68">
        <v>25.499503812</v>
      </c>
      <c r="H55" s="69">
        <v>1.9351041191629149E-2</v>
      </c>
      <c r="I55" s="69">
        <v>0</v>
      </c>
      <c r="J55" s="49">
        <f t="shared" si="5"/>
        <v>3.7190080000000307</v>
      </c>
    </row>
    <row r="56" spans="2:10" x14ac:dyDescent="0.45">
      <c r="B56" s="11">
        <v>41</v>
      </c>
      <c r="C56" s="68">
        <v>74.548448000000008</v>
      </c>
      <c r="D56" s="68">
        <v>79.207202999999936</v>
      </c>
      <c r="E56" s="41">
        <f t="shared" si="3"/>
        <v>1667.768448</v>
      </c>
      <c r="F56" s="41">
        <f t="shared" si="4"/>
        <v>1672.427203</v>
      </c>
      <c r="G56" s="68">
        <v>25.571470488999999</v>
      </c>
      <c r="H56" s="69">
        <v>4.9726126400725448E-3</v>
      </c>
      <c r="I56" s="69">
        <v>0</v>
      </c>
      <c r="J56" s="49">
        <f t="shared" si="5"/>
        <v>4.6587549999999283</v>
      </c>
    </row>
    <row r="57" spans="2:10" x14ac:dyDescent="0.45">
      <c r="B57" s="11">
        <v>42</v>
      </c>
      <c r="C57" s="68">
        <v>79.207202999999936</v>
      </c>
      <c r="D57" s="68">
        <v>86.543852999999899</v>
      </c>
      <c r="E57" s="41">
        <f t="shared" si="3"/>
        <v>1672.427203</v>
      </c>
      <c r="F57" s="41">
        <f t="shared" si="4"/>
        <v>1679.7638529999999</v>
      </c>
      <c r="G57" s="68">
        <v>25.594636673</v>
      </c>
      <c r="H57" s="69">
        <v>1.0273172088078601E-2</v>
      </c>
      <c r="I57" s="69">
        <v>0</v>
      </c>
      <c r="J57" s="49">
        <f t="shared" si="5"/>
        <v>7.3366499999999633</v>
      </c>
    </row>
    <row r="58" spans="2:10" x14ac:dyDescent="0.45">
      <c r="B58" s="11">
        <v>43</v>
      </c>
      <c r="C58" s="68">
        <v>86.543852999999899</v>
      </c>
      <c r="D58" s="68">
        <v>93.968568000000005</v>
      </c>
      <c r="E58" s="41">
        <f t="shared" si="3"/>
        <v>1679.7638529999999</v>
      </c>
      <c r="F58" s="41">
        <f t="shared" si="4"/>
        <v>1687.188568</v>
      </c>
      <c r="G58" s="68">
        <v>25.670007341000002</v>
      </c>
      <c r="H58" s="69">
        <v>2.635271818514168E-2</v>
      </c>
      <c r="I58" s="69">
        <v>0</v>
      </c>
      <c r="J58" s="49">
        <f t="shared" si="5"/>
        <v>7.4247150000001056</v>
      </c>
    </row>
    <row r="59" spans="2:10" x14ac:dyDescent="0.45">
      <c r="B59" s="11">
        <v>44</v>
      </c>
      <c r="C59" s="68">
        <v>93.968568000000005</v>
      </c>
      <c r="D59" s="68">
        <v>98.540158000000019</v>
      </c>
      <c r="E59" s="41">
        <f t="shared" si="3"/>
        <v>1687.188568</v>
      </c>
      <c r="F59" s="41">
        <f t="shared" si="4"/>
        <v>1691.760158</v>
      </c>
      <c r="G59" s="68">
        <v>25.865668762999999</v>
      </c>
      <c r="H59" s="69">
        <v>8.5219223508672531E-3</v>
      </c>
      <c r="I59" s="69">
        <v>0</v>
      </c>
      <c r="J59" s="49">
        <f t="shared" si="5"/>
        <v>4.5715900000000147</v>
      </c>
    </row>
    <row r="60" spans="2:10" x14ac:dyDescent="0.45">
      <c r="B60" s="11">
        <v>45</v>
      </c>
      <c r="C60" s="68">
        <v>98.540158000000019</v>
      </c>
      <c r="D60" s="68">
        <v>98.726771000000099</v>
      </c>
      <c r="E60" s="41">
        <f t="shared" si="3"/>
        <v>1691.760158</v>
      </c>
      <c r="F60" s="41">
        <f t="shared" si="4"/>
        <v>1691.9467710000001</v>
      </c>
      <c r="G60" s="68">
        <v>25.904627498</v>
      </c>
      <c r="H60" s="69">
        <v>2.657434905390605E-2</v>
      </c>
      <c r="I60" s="69">
        <v>0</v>
      </c>
      <c r="J60" s="49">
        <f t="shared" si="5"/>
        <v>0.18661300000007941</v>
      </c>
    </row>
    <row r="61" spans="2:10" x14ac:dyDescent="0.45">
      <c r="B61" s="11">
        <v>46</v>
      </c>
      <c r="C61" s="68">
        <v>98.726771000000099</v>
      </c>
      <c r="D61" s="68">
        <v>99.019363999999996</v>
      </c>
      <c r="E61" s="41">
        <f t="shared" si="3"/>
        <v>1691.9467710000001</v>
      </c>
      <c r="F61" s="41">
        <f t="shared" si="4"/>
        <v>1692.239364</v>
      </c>
      <c r="G61" s="68">
        <v>25.909586616999999</v>
      </c>
      <c r="H61" s="69">
        <v>0.120557091249663</v>
      </c>
      <c r="I61" s="69">
        <v>0</v>
      </c>
      <c r="J61" s="49">
        <f t="shared" si="5"/>
        <v>0.29259299999989707</v>
      </c>
    </row>
    <row r="62" spans="2:10" x14ac:dyDescent="0.45">
      <c r="B62" s="11">
        <v>47</v>
      </c>
      <c r="C62" s="68">
        <v>99.019363999999996</v>
      </c>
      <c r="D62" s="68">
        <v>99.418079000000034</v>
      </c>
      <c r="E62" s="41">
        <f t="shared" si="3"/>
        <v>1692.239364</v>
      </c>
      <c r="F62" s="41">
        <f t="shared" si="4"/>
        <v>1692.6380790000001</v>
      </c>
      <c r="G62" s="68">
        <v>25.944860777999999</v>
      </c>
      <c r="H62" s="69">
        <v>5.3226633058699922E-2</v>
      </c>
      <c r="I62" s="69">
        <v>0</v>
      </c>
      <c r="J62" s="49">
        <f t="shared" si="5"/>
        <v>0.39871500000003834</v>
      </c>
    </row>
    <row r="63" spans="2:10" x14ac:dyDescent="0.45">
      <c r="B63" s="11">
        <v>48</v>
      </c>
      <c r="C63" s="68">
        <v>99.418079000000034</v>
      </c>
      <c r="D63" s="68">
        <v>100.94587799999999</v>
      </c>
      <c r="E63" s="41">
        <f t="shared" si="3"/>
        <v>1692.6380790000001</v>
      </c>
      <c r="F63" s="41">
        <f t="shared" si="4"/>
        <v>1694.165878</v>
      </c>
      <c r="G63" s="68">
        <v>25.966083035</v>
      </c>
      <c r="H63" s="69">
        <v>3.1940981110735948E-2</v>
      </c>
      <c r="I63" s="69">
        <v>0</v>
      </c>
      <c r="J63" s="49">
        <f t="shared" si="5"/>
        <v>1.5277989999999591</v>
      </c>
    </row>
    <row r="64" spans="2:10" x14ac:dyDescent="0.45">
      <c r="B64" s="11">
        <v>49</v>
      </c>
      <c r="C64" s="68">
        <v>100.94587799999999</v>
      </c>
      <c r="D64" s="68">
        <v>101.89129800000001</v>
      </c>
      <c r="E64" s="41">
        <f t="shared" si="3"/>
        <v>1694.165878</v>
      </c>
      <c r="F64" s="41">
        <f t="shared" si="4"/>
        <v>1695.111298</v>
      </c>
      <c r="G64" s="68">
        <v>26.014882434</v>
      </c>
      <c r="H64" s="69">
        <v>-2.9353476761650749E-2</v>
      </c>
      <c r="I64" s="69">
        <v>0</v>
      </c>
      <c r="J64" s="49">
        <f t="shared" si="5"/>
        <v>0.94542000000001281</v>
      </c>
    </row>
    <row r="65" spans="2:10" x14ac:dyDescent="0.45">
      <c r="B65" s="11">
        <v>50</v>
      </c>
      <c r="C65" s="68">
        <v>101.89129800000001</v>
      </c>
      <c r="D65" s="68">
        <v>103.2733470000001</v>
      </c>
      <c r="E65" s="41">
        <f t="shared" si="3"/>
        <v>1695.111298</v>
      </c>
      <c r="F65" s="41">
        <f t="shared" si="4"/>
        <v>1696.4933470000001</v>
      </c>
      <c r="G65" s="68">
        <v>25.98713107</v>
      </c>
      <c r="H65" s="69">
        <v>1.6183392195211199E-2</v>
      </c>
      <c r="I65" s="69">
        <v>0</v>
      </c>
      <c r="J65" s="49">
        <f t="shared" si="5"/>
        <v>1.3820490000000518</v>
      </c>
    </row>
    <row r="66" spans="2:10" x14ac:dyDescent="0.45">
      <c r="B66" s="11">
        <v>51</v>
      </c>
      <c r="C66" s="68">
        <v>103.2733470000001</v>
      </c>
      <c r="D66" s="68">
        <v>104.27773000000001</v>
      </c>
      <c r="E66" s="41">
        <f t="shared" si="3"/>
        <v>1696.4933470000001</v>
      </c>
      <c r="F66" s="41">
        <f t="shared" si="4"/>
        <v>1697.49773</v>
      </c>
      <c r="G66" s="68">
        <v>26.009497311000001</v>
      </c>
      <c r="H66" s="69">
        <v>1.020600109719094E-2</v>
      </c>
      <c r="I66" s="69">
        <v>0</v>
      </c>
      <c r="J66" s="49">
        <f t="shared" si="5"/>
        <v>1.0043829999999616</v>
      </c>
    </row>
    <row r="67" spans="2:10" x14ac:dyDescent="0.45">
      <c r="B67" s="11">
        <v>52</v>
      </c>
      <c r="C67" s="68">
        <v>104.27773000000001</v>
      </c>
      <c r="D67" s="68">
        <v>106.2423289999999</v>
      </c>
      <c r="E67" s="41">
        <f t="shared" si="3"/>
        <v>1697.49773</v>
      </c>
      <c r="F67" s="41">
        <f t="shared" si="4"/>
        <v>1699.462329</v>
      </c>
      <c r="G67" s="68">
        <v>26.019748045</v>
      </c>
      <c r="H67" s="69">
        <v>4.8914775992455868E-2</v>
      </c>
      <c r="I67" s="69">
        <v>0</v>
      </c>
      <c r="J67" s="49">
        <f t="shared" si="5"/>
        <v>1.9645989999999074</v>
      </c>
    </row>
    <row r="68" spans="2:10" x14ac:dyDescent="0.45">
      <c r="B68" s="11">
        <v>53</v>
      </c>
      <c r="C68" s="68">
        <v>106.2423289999999</v>
      </c>
      <c r="D68" s="68">
        <v>107.57458</v>
      </c>
      <c r="E68" s="41">
        <f t="shared" si="3"/>
        <v>1699.462329</v>
      </c>
      <c r="F68" s="41">
        <f t="shared" si="4"/>
        <v>1700.79458</v>
      </c>
      <c r="G68" s="68">
        <v>26.115845964999998</v>
      </c>
      <c r="H68" s="69">
        <v>-5.7343021697859757E-2</v>
      </c>
      <c r="I68" s="69">
        <v>0</v>
      </c>
      <c r="J68" s="49">
        <f t="shared" si="5"/>
        <v>1.332251000000042</v>
      </c>
    </row>
    <row r="69" spans="2:10" x14ac:dyDescent="0.45">
      <c r="B69" s="11">
        <v>54</v>
      </c>
      <c r="C69" s="68">
        <v>107.57458</v>
      </c>
      <c r="D69" s="68">
        <v>108.4693540000001</v>
      </c>
      <c r="E69" s="41">
        <f t="shared" si="3"/>
        <v>1700.79458</v>
      </c>
      <c r="F69" s="41">
        <f t="shared" si="4"/>
        <v>1701.6893540000001</v>
      </c>
      <c r="G69" s="68">
        <v>26.039450667000001</v>
      </c>
      <c r="H69" s="69">
        <v>-6.5937797700864567E-2</v>
      </c>
      <c r="I69" s="69">
        <v>0</v>
      </c>
      <c r="J69" s="49">
        <f t="shared" si="5"/>
        <v>0.89477400000009766</v>
      </c>
    </row>
    <row r="70" spans="2:10" x14ac:dyDescent="0.45">
      <c r="B70" s="11">
        <v>55</v>
      </c>
      <c r="C70" s="68">
        <v>108.4693540000001</v>
      </c>
      <c r="D70" s="68">
        <v>109.3210779999999</v>
      </c>
      <c r="E70" s="41">
        <f t="shared" si="3"/>
        <v>1701.6893540000001</v>
      </c>
      <c r="F70" s="41">
        <f t="shared" si="4"/>
        <v>1702.541078</v>
      </c>
      <c r="G70" s="68">
        <v>25.980451240000001</v>
      </c>
      <c r="H70" s="69">
        <v>-1.163134301722491E-2</v>
      </c>
      <c r="I70" s="69">
        <v>0</v>
      </c>
      <c r="J70" s="49">
        <f t="shared" si="5"/>
        <v>0.85172399999987647</v>
      </c>
    </row>
    <row r="71" spans="2:10" x14ac:dyDescent="0.45">
      <c r="B71" s="11">
        <v>56</v>
      </c>
      <c r="C71" s="68">
        <v>109.3210779999999</v>
      </c>
      <c r="D71" s="68">
        <v>111.645</v>
      </c>
      <c r="E71" s="41">
        <f t="shared" si="3"/>
        <v>1702.541078</v>
      </c>
      <c r="F71" s="41">
        <f t="shared" si="4"/>
        <v>1704.865</v>
      </c>
      <c r="G71" s="68">
        <v>25.970544545999999</v>
      </c>
      <c r="H71" s="69">
        <v>-2.782478930015749E-3</v>
      </c>
      <c r="I71" s="69">
        <v>0</v>
      </c>
      <c r="J71" s="49">
        <f t="shared" si="5"/>
        <v>2.3239220000000387</v>
      </c>
    </row>
    <row r="72" spans="2:10" x14ac:dyDescent="0.45">
      <c r="B72" s="11">
        <v>57</v>
      </c>
      <c r="C72" s="68">
        <v>111.645</v>
      </c>
      <c r="D72" s="68">
        <v>112.4639050000001</v>
      </c>
      <c r="E72" s="41">
        <f t="shared" si="3"/>
        <v>1704.865</v>
      </c>
      <c r="F72" s="41">
        <f t="shared" si="4"/>
        <v>1705.6839050000001</v>
      </c>
      <c r="G72" s="68">
        <v>25.964078281999999</v>
      </c>
      <c r="H72" s="69">
        <v>-1.9775011753494911E-2</v>
      </c>
      <c r="I72" s="69">
        <v>0</v>
      </c>
      <c r="J72" s="49">
        <f t="shared" si="5"/>
        <v>0.81890500000008615</v>
      </c>
    </row>
    <row r="73" spans="2:10" x14ac:dyDescent="0.45">
      <c r="B73" s="11">
        <v>58</v>
      </c>
      <c r="C73" s="68">
        <v>112.4639050000001</v>
      </c>
      <c r="D73" s="68">
        <v>113.52903599999991</v>
      </c>
      <c r="E73" s="41">
        <f t="shared" si="3"/>
        <v>1705.6839050000001</v>
      </c>
      <c r="F73" s="41">
        <f t="shared" si="4"/>
        <v>1706.7490359999999</v>
      </c>
      <c r="G73" s="68">
        <v>25.947884426000002</v>
      </c>
      <c r="H73" s="69">
        <v>1.332922241489543E-2</v>
      </c>
      <c r="I73" s="69">
        <v>0</v>
      </c>
      <c r="J73" s="49">
        <f t="shared" si="5"/>
        <v>1.0651309999998375</v>
      </c>
    </row>
    <row r="74" spans="2:10" x14ac:dyDescent="0.45">
      <c r="B74" s="11">
        <v>59</v>
      </c>
      <c r="C74" s="68">
        <v>113.52903599999991</v>
      </c>
      <c r="D74" s="68">
        <v>115.1687830000001</v>
      </c>
      <c r="E74" s="41">
        <f t="shared" si="3"/>
        <v>1706.7490359999999</v>
      </c>
      <c r="F74" s="41">
        <f t="shared" si="4"/>
        <v>1708.3887830000001</v>
      </c>
      <c r="G74" s="68">
        <v>25.962081793999999</v>
      </c>
      <c r="H74" s="69">
        <v>-4.371026322962817E-2</v>
      </c>
      <c r="I74" s="69">
        <v>0</v>
      </c>
      <c r="J74" s="49">
        <f t="shared" si="5"/>
        <v>1.6397470000001704</v>
      </c>
    </row>
    <row r="75" spans="2:10" x14ac:dyDescent="0.45">
      <c r="B75" s="11">
        <v>60</v>
      </c>
      <c r="C75" s="68">
        <v>115.1687830000001</v>
      </c>
      <c r="D75" s="68">
        <v>115.61924500000011</v>
      </c>
      <c r="E75" s="41">
        <f t="shared" si="3"/>
        <v>1708.3887830000001</v>
      </c>
      <c r="F75" s="41">
        <f t="shared" si="4"/>
        <v>1708.8392450000001</v>
      </c>
      <c r="G75" s="68">
        <v>25.890408020999999</v>
      </c>
      <c r="H75" s="69">
        <v>-3.7920781331161939E-2</v>
      </c>
      <c r="I75" s="69">
        <v>0</v>
      </c>
      <c r="J75" s="49">
        <f t="shared" si="5"/>
        <v>0.45046200000001591</v>
      </c>
    </row>
    <row r="76" spans="2:10" x14ac:dyDescent="0.45">
      <c r="B76" s="11">
        <v>61</v>
      </c>
      <c r="C76" s="68">
        <v>115.61924500000011</v>
      </c>
      <c r="D76" s="68">
        <v>115.75846299999991</v>
      </c>
      <c r="E76" s="41">
        <f t="shared" si="3"/>
        <v>1708.8392450000001</v>
      </c>
      <c r="F76" s="41">
        <f t="shared" si="4"/>
        <v>1708.9784629999999</v>
      </c>
      <c r="G76" s="68">
        <v>25.87332615</v>
      </c>
      <c r="H76" s="69">
        <v>-1.380494619949833E-2</v>
      </c>
      <c r="I76" s="69">
        <v>0</v>
      </c>
      <c r="J76" s="49">
        <f t="shared" si="5"/>
        <v>0.13921799999980067</v>
      </c>
    </row>
    <row r="77" spans="2:10" x14ac:dyDescent="0.45">
      <c r="B77" s="11">
        <v>62</v>
      </c>
      <c r="C77" s="68">
        <v>115.75846299999991</v>
      </c>
      <c r="D77" s="68">
        <v>116.10053499999999</v>
      </c>
      <c r="E77" s="41">
        <f t="shared" si="3"/>
        <v>1708.9784629999999</v>
      </c>
      <c r="F77" s="41">
        <f t="shared" si="4"/>
        <v>1709.3205350000001</v>
      </c>
      <c r="G77" s="68">
        <v>25.871404253000001</v>
      </c>
      <c r="H77" s="69">
        <v>-3.8014742510337728E-2</v>
      </c>
      <c r="I77" s="69">
        <v>0</v>
      </c>
      <c r="J77" s="49">
        <f t="shared" si="5"/>
        <v>0.34207200000014382</v>
      </c>
    </row>
    <row r="78" spans="2:10" x14ac:dyDescent="0.45">
      <c r="B78" s="11">
        <v>63</v>
      </c>
      <c r="C78" s="68">
        <v>116.10053499999999</v>
      </c>
      <c r="D78" s="68">
        <v>126.9405790000001</v>
      </c>
      <c r="E78" s="41">
        <f t="shared" si="3"/>
        <v>1709.3205350000001</v>
      </c>
      <c r="F78" s="41">
        <f t="shared" si="4"/>
        <v>1720.1605790000001</v>
      </c>
      <c r="G78" s="68">
        <v>25.858400474</v>
      </c>
      <c r="H78" s="69">
        <v>-1.0860834144215681E-2</v>
      </c>
      <c r="I78" s="69">
        <v>0</v>
      </c>
      <c r="J78" s="49">
        <f t="shared" si="5"/>
        <v>10.840044000000034</v>
      </c>
    </row>
    <row r="79" spans="2:10" x14ac:dyDescent="0.45">
      <c r="B79" s="11">
        <v>64</v>
      </c>
      <c r="C79" s="68">
        <v>126.9405790000001</v>
      </c>
      <c r="D79" s="68">
        <v>128.1276169999999</v>
      </c>
      <c r="E79" s="41">
        <f t="shared" si="3"/>
        <v>1720.1605790000001</v>
      </c>
      <c r="F79" s="41">
        <f t="shared" si="4"/>
        <v>1721.3476169999999</v>
      </c>
      <c r="G79" s="68">
        <v>25.740668553999999</v>
      </c>
      <c r="H79" s="69">
        <v>-1.047392332848868E-2</v>
      </c>
      <c r="I79" s="69">
        <v>0</v>
      </c>
      <c r="J79" s="49">
        <f t="shared" si="5"/>
        <v>1.1870379999998022</v>
      </c>
    </row>
    <row r="80" spans="2:10" x14ac:dyDescent="0.45">
      <c r="B80" s="11">
        <v>65</v>
      </c>
      <c r="C80" s="68">
        <v>128.1276169999999</v>
      </c>
      <c r="D80" s="68">
        <v>130.12283099999991</v>
      </c>
      <c r="E80" s="41">
        <f t="shared" ref="E80:E114" si="6">C80+Rd_Shift</f>
        <v>1721.3476169999999</v>
      </c>
      <c r="F80" s="41">
        <f t="shared" ref="F80:F114" si="7">D80+Rd_Shift</f>
        <v>1723.3428309999999</v>
      </c>
      <c r="G80" s="68">
        <v>25.728235608999999</v>
      </c>
      <c r="H80" s="69">
        <v>-1.932031601622558E-2</v>
      </c>
      <c r="I80" s="69">
        <v>0</v>
      </c>
      <c r="J80" s="49">
        <f t="shared" ref="J80:J114" si="8">MAX(0,MIN(F80,Prof_Sta1)-MAX(E80,Prof_Sta0))</f>
        <v>1.9952140000000327</v>
      </c>
    </row>
    <row r="81" spans="2:10" x14ac:dyDescent="0.45">
      <c r="B81" s="11">
        <v>66</v>
      </c>
      <c r="C81" s="68">
        <v>130.12283099999991</v>
      </c>
      <c r="D81" s="68">
        <v>140.19070600000009</v>
      </c>
      <c r="E81" s="41">
        <f t="shared" si="6"/>
        <v>1723.3428309999999</v>
      </c>
      <c r="F81" s="41">
        <f t="shared" si="7"/>
        <v>1733.4107060000001</v>
      </c>
      <c r="G81" s="68">
        <v>25.689687444</v>
      </c>
      <c r="H81" s="69">
        <v>-1.8318222167041071E-2</v>
      </c>
      <c r="I81" s="69">
        <v>0</v>
      </c>
      <c r="J81" s="49">
        <f t="shared" si="8"/>
        <v>10.067875000000186</v>
      </c>
    </row>
    <row r="82" spans="2:10" x14ac:dyDescent="0.45">
      <c r="B82" s="11">
        <v>67</v>
      </c>
      <c r="C82" s="68">
        <v>140.19070600000009</v>
      </c>
      <c r="D82" s="68">
        <v>144.15370699999991</v>
      </c>
      <c r="E82" s="41">
        <f t="shared" si="6"/>
        <v>1733.4107060000001</v>
      </c>
      <c r="F82" s="41">
        <f t="shared" si="7"/>
        <v>1737.373707</v>
      </c>
      <c r="G82" s="68">
        <v>25.505261872999998</v>
      </c>
      <c r="H82" s="69">
        <v>-1.529878846863773E-2</v>
      </c>
      <c r="I82" s="69">
        <v>0</v>
      </c>
      <c r="J82" s="49">
        <f t="shared" si="8"/>
        <v>3.9630009999998492</v>
      </c>
    </row>
    <row r="83" spans="2:10" x14ac:dyDescent="0.45">
      <c r="B83" s="11">
        <v>68</v>
      </c>
      <c r="C83" s="68">
        <v>144.15370699999991</v>
      </c>
      <c r="D83" s="68">
        <v>151.14136000000011</v>
      </c>
      <c r="E83" s="41">
        <f t="shared" si="6"/>
        <v>1737.373707</v>
      </c>
      <c r="F83" s="41">
        <f t="shared" si="7"/>
        <v>1744.3613600000001</v>
      </c>
      <c r="G83" s="68">
        <v>25.444632759000001</v>
      </c>
      <c r="H83" s="69">
        <v>-1.8579452786221421E-2</v>
      </c>
      <c r="I83" s="69">
        <v>0</v>
      </c>
      <c r="J83" s="49">
        <f t="shared" si="8"/>
        <v>6.9876530000001367</v>
      </c>
    </row>
    <row r="84" spans="2:10" x14ac:dyDescent="0.45">
      <c r="B84" s="11">
        <v>69</v>
      </c>
      <c r="C84" s="68">
        <v>151.14136000000011</v>
      </c>
      <c r="D84" s="68">
        <v>151.62579899999989</v>
      </c>
      <c r="E84" s="41">
        <f t="shared" si="6"/>
        <v>1744.3613600000001</v>
      </c>
      <c r="F84" s="41">
        <f t="shared" si="7"/>
        <v>1744.8457989999999</v>
      </c>
      <c r="G84" s="68">
        <v>25.31480599</v>
      </c>
      <c r="H84" s="69">
        <v>-0.1061959689455596</v>
      </c>
      <c r="I84" s="69">
        <v>0</v>
      </c>
      <c r="J84" s="49">
        <f t="shared" si="8"/>
        <v>0.48443899999983842</v>
      </c>
    </row>
    <row r="85" spans="2:10" x14ac:dyDescent="0.45">
      <c r="B85" s="11">
        <v>70</v>
      </c>
      <c r="C85" s="68">
        <v>151.62579899999989</v>
      </c>
      <c r="D85" s="68">
        <v>151.6413850000001</v>
      </c>
      <c r="E85" s="41">
        <f t="shared" si="6"/>
        <v>1744.8457989999999</v>
      </c>
      <c r="F85" s="41">
        <f t="shared" si="7"/>
        <v>1744.8613850000002</v>
      </c>
      <c r="G85" s="68">
        <v>25.263360520999999</v>
      </c>
      <c r="H85" s="69">
        <v>-4.4399781854810208E-2</v>
      </c>
      <c r="I85" s="69">
        <v>0</v>
      </c>
      <c r="J85" s="49">
        <f t="shared" si="8"/>
        <v>1.5586000000212152E-2</v>
      </c>
    </row>
    <row r="86" spans="2:10" x14ac:dyDescent="0.45">
      <c r="B86" s="11">
        <v>71</v>
      </c>
      <c r="C86" s="68">
        <v>151.6413850000001</v>
      </c>
      <c r="D86" s="68">
        <v>151.70094100000011</v>
      </c>
      <c r="E86" s="41">
        <f t="shared" si="6"/>
        <v>1744.8613850000002</v>
      </c>
      <c r="F86" s="41">
        <f t="shared" si="7"/>
        <v>1744.9209410000001</v>
      </c>
      <c r="G86" s="68">
        <v>25.262668506000001</v>
      </c>
      <c r="H86" s="69">
        <v>-2.8908774934552829E-2</v>
      </c>
      <c r="I86" s="69">
        <v>0</v>
      </c>
      <c r="J86" s="49">
        <f t="shared" si="8"/>
        <v>5.9555999999929554E-2</v>
      </c>
    </row>
    <row r="87" spans="2:10" x14ac:dyDescent="0.45">
      <c r="B87" s="11">
        <v>72</v>
      </c>
      <c r="C87" s="68">
        <v>151.70094100000011</v>
      </c>
      <c r="D87" s="68">
        <v>153.39003600000001</v>
      </c>
      <c r="E87" s="41">
        <f t="shared" si="6"/>
        <v>1744.9209410000001</v>
      </c>
      <c r="F87" s="41">
        <f t="shared" si="7"/>
        <v>1746.610036</v>
      </c>
      <c r="G87" s="68">
        <v>25.260946815</v>
      </c>
      <c r="H87" s="69">
        <v>-2.165469674589245E-2</v>
      </c>
      <c r="I87" s="69">
        <v>0</v>
      </c>
      <c r="J87" s="49">
        <f t="shared" si="8"/>
        <v>1.6890949999999521</v>
      </c>
    </row>
    <row r="88" spans="2:10" x14ac:dyDescent="0.45">
      <c r="B88" s="11">
        <v>73</v>
      </c>
      <c r="C88" s="68">
        <v>153.39003600000001</v>
      </c>
      <c r="D88" s="68">
        <v>155.64725799999999</v>
      </c>
      <c r="E88" s="41">
        <f t="shared" si="6"/>
        <v>1746.610036</v>
      </c>
      <c r="F88" s="41">
        <f t="shared" si="7"/>
        <v>1748.867258</v>
      </c>
      <c r="G88" s="68">
        <v>25.224369974999998</v>
      </c>
      <c r="H88" s="69">
        <v>-5.3156300532246993E-2</v>
      </c>
      <c r="I88" s="69">
        <v>0</v>
      </c>
      <c r="J88" s="49">
        <f t="shared" si="8"/>
        <v>2.2572219999999561</v>
      </c>
    </row>
    <row r="89" spans="2:10" x14ac:dyDescent="0.45">
      <c r="B89" s="11">
        <v>74</v>
      </c>
      <c r="C89" s="68">
        <v>155.64725799999999</v>
      </c>
      <c r="D89" s="68">
        <v>159.89344000000011</v>
      </c>
      <c r="E89" s="41">
        <f t="shared" si="6"/>
        <v>1748.867258</v>
      </c>
      <c r="F89" s="41">
        <f t="shared" si="7"/>
        <v>1753.1134400000001</v>
      </c>
      <c r="G89" s="68">
        <v>25.104384404000001</v>
      </c>
      <c r="H89" s="69">
        <v>-6.2848839734141529E-2</v>
      </c>
      <c r="I89" s="69">
        <v>0</v>
      </c>
      <c r="J89" s="49">
        <f t="shared" si="8"/>
        <v>4.2461820000000898</v>
      </c>
    </row>
    <row r="90" spans="2:10" x14ac:dyDescent="0.45">
      <c r="B90" s="11">
        <v>75</v>
      </c>
      <c r="C90" s="68">
        <v>159.89344000000011</v>
      </c>
      <c r="D90" s="68">
        <v>160.762956</v>
      </c>
      <c r="E90" s="41">
        <f t="shared" si="6"/>
        <v>1753.1134400000001</v>
      </c>
      <c r="F90" s="41">
        <f t="shared" si="7"/>
        <v>1753.9829560000001</v>
      </c>
      <c r="G90" s="68">
        <v>24.837516791999999</v>
      </c>
      <c r="H90" s="69">
        <v>-5.8978307472203298E-2</v>
      </c>
      <c r="I90" s="69">
        <v>0</v>
      </c>
      <c r="J90" s="49">
        <f t="shared" si="8"/>
        <v>0.86951599999997597</v>
      </c>
    </row>
    <row r="91" spans="2:10" x14ac:dyDescent="0.45">
      <c r="B91" s="11">
        <v>76</v>
      </c>
      <c r="C91" s="68">
        <v>160.762956</v>
      </c>
      <c r="D91" s="68">
        <v>161.603801</v>
      </c>
      <c r="E91" s="41">
        <f t="shared" si="6"/>
        <v>1753.9829560000001</v>
      </c>
      <c r="F91" s="41">
        <f t="shared" si="7"/>
        <v>1754.823801</v>
      </c>
      <c r="G91" s="68">
        <v>24.78623421</v>
      </c>
      <c r="H91" s="69">
        <v>-4.8469518163281163E-2</v>
      </c>
      <c r="I91" s="69">
        <v>0</v>
      </c>
      <c r="J91" s="49">
        <f t="shared" si="8"/>
        <v>0.84084499999994478</v>
      </c>
    </row>
    <row r="92" spans="2:10" x14ac:dyDescent="0.45">
      <c r="B92" s="11">
        <v>77</v>
      </c>
      <c r="C92" s="68">
        <v>161.603801</v>
      </c>
      <c r="D92" s="68">
        <v>164.0454950000001</v>
      </c>
      <c r="E92" s="41">
        <f t="shared" si="6"/>
        <v>1754.823801</v>
      </c>
      <c r="F92" s="41">
        <f t="shared" si="7"/>
        <v>1757.2654950000001</v>
      </c>
      <c r="G92" s="68">
        <v>24.745478857999998</v>
      </c>
      <c r="H92" s="69">
        <v>5.2201886477174407E-2</v>
      </c>
      <c r="I92" s="69">
        <v>0</v>
      </c>
      <c r="J92" s="49">
        <f t="shared" si="8"/>
        <v>2.4416940000000977</v>
      </c>
    </row>
    <row r="93" spans="2:10" x14ac:dyDescent="0.45">
      <c r="B93" s="11">
        <v>78</v>
      </c>
      <c r="C93" s="68">
        <v>164.0454950000001</v>
      </c>
      <c r="D93" s="68">
        <v>164.52501699999991</v>
      </c>
      <c r="E93" s="41">
        <f t="shared" si="6"/>
        <v>1757.2654950000001</v>
      </c>
      <c r="F93" s="41">
        <f t="shared" si="7"/>
        <v>1757.745017</v>
      </c>
      <c r="G93" s="68">
        <v>24.872939891000001</v>
      </c>
      <c r="H93" s="69">
        <v>3.077684444092536E-2</v>
      </c>
      <c r="I93" s="69">
        <v>0</v>
      </c>
      <c r="J93" s="49">
        <f t="shared" si="8"/>
        <v>0.47952199999986078</v>
      </c>
    </row>
    <row r="94" spans="2:10" x14ac:dyDescent="0.45">
      <c r="B94" s="11">
        <v>79</v>
      </c>
      <c r="C94" s="68">
        <v>164.52501699999991</v>
      </c>
      <c r="D94" s="68">
        <v>165.112482</v>
      </c>
      <c r="E94" s="41">
        <f t="shared" si="6"/>
        <v>1757.745017</v>
      </c>
      <c r="F94" s="41">
        <f t="shared" si="7"/>
        <v>1758.332482</v>
      </c>
      <c r="G94" s="68">
        <v>24.887698064999999</v>
      </c>
      <c r="H94" s="69">
        <v>-0.19285522201320099</v>
      </c>
      <c r="I94" s="69">
        <v>0</v>
      </c>
      <c r="J94" s="49">
        <f t="shared" si="8"/>
        <v>0.58746500000006563</v>
      </c>
    </row>
    <row r="95" spans="2:10" x14ac:dyDescent="0.45">
      <c r="B95" s="11">
        <v>80</v>
      </c>
      <c r="C95" s="68">
        <v>165.112482</v>
      </c>
      <c r="D95" s="68">
        <v>165.919995</v>
      </c>
      <c r="E95" s="41">
        <f t="shared" si="6"/>
        <v>1758.332482</v>
      </c>
      <c r="F95" s="41">
        <f t="shared" si="7"/>
        <v>1759.139995</v>
      </c>
      <c r="G95" s="68">
        <v>24.774402372000001</v>
      </c>
      <c r="H95" s="69">
        <v>-0.21481233119467541</v>
      </c>
      <c r="I95" s="69">
        <v>0</v>
      </c>
      <c r="J95" s="49">
        <f t="shared" si="8"/>
        <v>0.80751299999997173</v>
      </c>
    </row>
    <row r="96" spans="2:10" x14ac:dyDescent="0.45">
      <c r="B96" s="11">
        <v>81</v>
      </c>
      <c r="C96" s="68">
        <v>165.919995</v>
      </c>
      <c r="D96" s="68">
        <v>168.27760199999989</v>
      </c>
      <c r="E96" s="41">
        <f t="shared" si="6"/>
        <v>1759.139995</v>
      </c>
      <c r="F96" s="41">
        <f t="shared" si="7"/>
        <v>1761.4976019999999</v>
      </c>
      <c r="G96" s="68">
        <v>24.600938622000001</v>
      </c>
      <c r="H96" s="69">
        <v>-0.18186335042270191</v>
      </c>
      <c r="I96" s="69">
        <v>0</v>
      </c>
      <c r="J96" s="49">
        <f t="shared" si="8"/>
        <v>2.3576069999999163</v>
      </c>
    </row>
    <row r="97" spans="2:10" x14ac:dyDescent="0.45">
      <c r="B97" s="11">
        <v>82</v>
      </c>
      <c r="C97" s="68">
        <v>168.27760199999989</v>
      </c>
      <c r="D97" s="68">
        <v>168.4258649999999</v>
      </c>
      <c r="E97" s="41">
        <f t="shared" si="6"/>
        <v>1761.4976019999999</v>
      </c>
      <c r="F97" s="41">
        <f t="shared" si="7"/>
        <v>1761.645865</v>
      </c>
      <c r="G97" s="68">
        <v>24.172176314000001</v>
      </c>
      <c r="H97" s="69">
        <v>-0.19055251816023991</v>
      </c>
      <c r="I97" s="69">
        <v>0</v>
      </c>
      <c r="J97" s="49">
        <f t="shared" si="8"/>
        <v>0.14826300000004267</v>
      </c>
    </row>
    <row r="98" spans="2:10" x14ac:dyDescent="0.45">
      <c r="B98" s="11">
        <v>83</v>
      </c>
      <c r="C98" s="68">
        <v>168.4258649999999</v>
      </c>
      <c r="D98" s="68">
        <v>168.653043</v>
      </c>
      <c r="E98" s="41">
        <f t="shared" si="6"/>
        <v>1761.645865</v>
      </c>
      <c r="F98" s="41">
        <f t="shared" si="7"/>
        <v>1761.8730430000001</v>
      </c>
      <c r="G98" s="68">
        <v>24.143924426000002</v>
      </c>
      <c r="H98" s="69">
        <v>-0.1560731100722251</v>
      </c>
      <c r="I98" s="69">
        <v>0</v>
      </c>
      <c r="J98" s="49">
        <f t="shared" si="8"/>
        <v>0.22717800000009447</v>
      </c>
    </row>
    <row r="99" spans="2:10" x14ac:dyDescent="0.45">
      <c r="B99" s="11">
        <v>84</v>
      </c>
      <c r="C99" s="68">
        <v>168.653043</v>
      </c>
      <c r="D99" s="68">
        <v>172.48799200000011</v>
      </c>
      <c r="E99" s="41">
        <f t="shared" si="6"/>
        <v>1761.8730430000001</v>
      </c>
      <c r="F99" s="41">
        <f t="shared" si="7"/>
        <v>1765.7079920000001</v>
      </c>
      <c r="G99" s="68">
        <v>24.108468048999999</v>
      </c>
      <c r="H99" s="69">
        <v>-0.15970384012929231</v>
      </c>
      <c r="I99" s="69">
        <v>0</v>
      </c>
      <c r="J99" s="49">
        <f t="shared" si="8"/>
        <v>3.8349490000000515</v>
      </c>
    </row>
    <row r="100" spans="2:10" x14ac:dyDescent="0.45">
      <c r="B100" s="11">
        <v>85</v>
      </c>
      <c r="C100" s="68">
        <v>172.48799200000011</v>
      </c>
      <c r="D100" s="68">
        <v>174.85185299999989</v>
      </c>
      <c r="E100" s="41">
        <f t="shared" si="6"/>
        <v>1765.7079920000001</v>
      </c>
      <c r="F100" s="41">
        <f t="shared" si="7"/>
        <v>1768.0718529999999</v>
      </c>
      <c r="G100" s="68">
        <v>23.496011967000001</v>
      </c>
      <c r="H100" s="69">
        <v>-0.1899615375015857</v>
      </c>
      <c r="I100" s="69">
        <v>0</v>
      </c>
      <c r="J100" s="49">
        <f t="shared" si="8"/>
        <v>2.3638609999998152</v>
      </c>
    </row>
    <row r="101" spans="2:10" x14ac:dyDescent="0.45">
      <c r="B101" s="11">
        <v>86</v>
      </c>
      <c r="C101" s="68">
        <v>174.85185299999989</v>
      </c>
      <c r="D101" s="68">
        <v>177.853014</v>
      </c>
      <c r="E101" s="41">
        <f t="shared" si="6"/>
        <v>1768.0718529999999</v>
      </c>
      <c r="F101" s="41">
        <f t="shared" si="7"/>
        <v>1771.0730140000001</v>
      </c>
      <c r="G101" s="68">
        <v>23.046969297</v>
      </c>
      <c r="H101" s="69">
        <v>-0.20372907518122901</v>
      </c>
      <c r="I101" s="69">
        <v>0</v>
      </c>
      <c r="J101" s="49">
        <f t="shared" si="8"/>
        <v>3.0011610000001383</v>
      </c>
    </row>
    <row r="102" spans="2:10" x14ac:dyDescent="0.45">
      <c r="B102" s="11">
        <v>87</v>
      </c>
      <c r="C102" s="68">
        <v>177.853014</v>
      </c>
      <c r="D102" s="68">
        <v>182.40547199999989</v>
      </c>
      <c r="E102" s="41">
        <f t="shared" si="6"/>
        <v>1771.0730140000001</v>
      </c>
      <c r="F102" s="41">
        <f t="shared" si="7"/>
        <v>1775.6254719999999</v>
      </c>
      <c r="G102" s="68">
        <v>22.435545542</v>
      </c>
      <c r="H102" s="69">
        <v>-0.18057410590059689</v>
      </c>
      <c r="I102" s="69">
        <v>0</v>
      </c>
      <c r="J102" s="49">
        <f t="shared" si="8"/>
        <v>4.5524579999998878</v>
      </c>
    </row>
    <row r="103" spans="2:10" x14ac:dyDescent="0.45">
      <c r="B103" s="11">
        <v>88</v>
      </c>
      <c r="C103" s="68">
        <v>182.40547199999989</v>
      </c>
      <c r="D103" s="68">
        <v>183.0659720000001</v>
      </c>
      <c r="E103" s="41">
        <f t="shared" si="6"/>
        <v>1775.6254719999999</v>
      </c>
      <c r="F103" s="41">
        <f t="shared" si="7"/>
        <v>1776.2859720000001</v>
      </c>
      <c r="G103" s="68">
        <v>21.613489509000001</v>
      </c>
      <c r="H103" s="69">
        <v>-0.1580929023466616</v>
      </c>
      <c r="I103" s="69">
        <v>0</v>
      </c>
      <c r="J103" s="49">
        <f t="shared" si="8"/>
        <v>0.66050000000018372</v>
      </c>
    </row>
    <row r="104" spans="2:10" x14ac:dyDescent="0.45">
      <c r="B104" s="11">
        <v>89</v>
      </c>
      <c r="C104" s="68">
        <v>183.0659720000001</v>
      </c>
      <c r="D104" s="68">
        <v>183.86930200000009</v>
      </c>
      <c r="E104" s="41">
        <f t="shared" si="6"/>
        <v>1776.2859720000001</v>
      </c>
      <c r="F104" s="41">
        <f t="shared" si="7"/>
        <v>1777.0893020000001</v>
      </c>
      <c r="G104" s="68">
        <v>21.509069147000002</v>
      </c>
      <c r="H104" s="69">
        <v>-4.2491420711292312E-2</v>
      </c>
      <c r="I104" s="69">
        <v>0</v>
      </c>
      <c r="J104" s="49">
        <f t="shared" si="8"/>
        <v>0.80332999999995991</v>
      </c>
    </row>
    <row r="105" spans="2:10" x14ac:dyDescent="0.45">
      <c r="B105" s="11">
        <v>90</v>
      </c>
      <c r="C105" s="68">
        <v>183.86930200000009</v>
      </c>
      <c r="D105" s="68">
        <v>186.51730599999999</v>
      </c>
      <c r="E105" s="41">
        <f t="shared" si="6"/>
        <v>1777.0893020000001</v>
      </c>
      <c r="F105" s="41">
        <f t="shared" si="7"/>
        <v>1779.737306</v>
      </c>
      <c r="G105" s="68">
        <v>21.474934514000001</v>
      </c>
      <c r="H105" s="69">
        <v>-1.7688409836239739E-2</v>
      </c>
      <c r="I105" s="69">
        <v>0</v>
      </c>
      <c r="J105" s="49">
        <f t="shared" si="8"/>
        <v>2.6480039999999008</v>
      </c>
    </row>
    <row r="106" spans="2:10" x14ac:dyDescent="0.45">
      <c r="B106" s="11">
        <v>91</v>
      </c>
      <c r="C106" s="68">
        <v>186.51730599999999</v>
      </c>
      <c r="D106" s="68">
        <v>187.58021800000009</v>
      </c>
      <c r="E106" s="41">
        <f t="shared" si="6"/>
        <v>1779.737306</v>
      </c>
      <c r="F106" s="41">
        <f t="shared" si="7"/>
        <v>1780.8002180000001</v>
      </c>
      <c r="G106" s="68">
        <v>21.428095534000001</v>
      </c>
      <c r="H106" s="69">
        <v>-0.10949006220645779</v>
      </c>
      <c r="I106" s="69">
        <v>0</v>
      </c>
      <c r="J106" s="49">
        <f t="shared" si="8"/>
        <v>1.0629120000000967</v>
      </c>
    </row>
    <row r="107" spans="2:10" x14ac:dyDescent="0.45">
      <c r="B107" s="11">
        <v>92</v>
      </c>
      <c r="C107" s="68">
        <v>187.58021800000009</v>
      </c>
      <c r="D107" s="68">
        <v>188.83510700000011</v>
      </c>
      <c r="E107" s="41">
        <f t="shared" si="6"/>
        <v>1780.8002180000001</v>
      </c>
      <c r="F107" s="41">
        <f t="shared" si="7"/>
        <v>1782.0551070000001</v>
      </c>
      <c r="G107" s="68">
        <v>21.311717233</v>
      </c>
      <c r="H107" s="69">
        <v>-0.12907738931490539</v>
      </c>
      <c r="I107" s="69">
        <v>0</v>
      </c>
      <c r="J107" s="49">
        <f t="shared" si="8"/>
        <v>1.2548890000000483</v>
      </c>
    </row>
    <row r="108" spans="2:10" x14ac:dyDescent="0.45">
      <c r="B108" s="11">
        <v>93</v>
      </c>
      <c r="C108" s="68">
        <v>188.83510700000011</v>
      </c>
      <c r="D108" s="68">
        <v>191.33210800000009</v>
      </c>
      <c r="E108" s="41">
        <f t="shared" si="6"/>
        <v>1782.0551070000001</v>
      </c>
      <c r="F108" s="41">
        <f t="shared" si="7"/>
        <v>1784.5521080000001</v>
      </c>
      <c r="G108" s="68">
        <v>21.149739437000001</v>
      </c>
      <c r="H108" s="69">
        <v>8.9760495089910519E-2</v>
      </c>
      <c r="I108" s="69">
        <v>0</v>
      </c>
      <c r="J108" s="49">
        <f t="shared" si="8"/>
        <v>2.4970009999999547</v>
      </c>
    </row>
    <row r="109" spans="2:10" x14ac:dyDescent="0.45">
      <c r="B109" s="11">
        <v>94</v>
      </c>
      <c r="C109" s="68">
        <v>191.33210800000009</v>
      </c>
      <c r="D109" s="68">
        <v>191.897739</v>
      </c>
      <c r="E109" s="41">
        <f t="shared" si="6"/>
        <v>1784.5521080000001</v>
      </c>
      <c r="F109" s="41">
        <f t="shared" si="7"/>
        <v>1785.117739</v>
      </c>
      <c r="G109" s="68">
        <v>21.373871482999999</v>
      </c>
      <c r="H109" s="69">
        <v>6.5720885170732393E-2</v>
      </c>
      <c r="I109" s="69">
        <v>0</v>
      </c>
      <c r="J109" s="49">
        <f t="shared" si="8"/>
        <v>0.56563099999993938</v>
      </c>
    </row>
    <row r="110" spans="2:10" x14ac:dyDescent="0.45">
      <c r="B110" s="11">
        <v>95</v>
      </c>
      <c r="C110" s="68">
        <v>191.897739</v>
      </c>
      <c r="D110" s="68">
        <v>192.84823899999989</v>
      </c>
      <c r="E110" s="41">
        <f t="shared" si="6"/>
        <v>1785.117739</v>
      </c>
      <c r="F110" s="41">
        <f t="shared" si="7"/>
        <v>1786.0682389999999</v>
      </c>
      <c r="G110" s="68">
        <v>21.411045253000001</v>
      </c>
      <c r="H110" s="69">
        <v>0.22209399579170541</v>
      </c>
      <c r="I110" s="69">
        <v>0</v>
      </c>
      <c r="J110" s="49">
        <f t="shared" si="8"/>
        <v>0.95049999999991996</v>
      </c>
    </row>
    <row r="111" spans="2:10" x14ac:dyDescent="0.45">
      <c r="B111" s="11">
        <v>96</v>
      </c>
      <c r="C111" s="68">
        <v>192.84823899999989</v>
      </c>
      <c r="D111" s="68">
        <v>198.0481179999999</v>
      </c>
      <c r="E111" s="41">
        <f t="shared" si="6"/>
        <v>1786.0682389999999</v>
      </c>
      <c r="F111" s="41">
        <f t="shared" si="7"/>
        <v>1791.268118</v>
      </c>
      <c r="G111" s="68">
        <v>21.622145595999999</v>
      </c>
      <c r="H111" s="69">
        <v>0.18895188138031671</v>
      </c>
      <c r="I111" s="69">
        <v>0</v>
      </c>
      <c r="J111" s="49">
        <f t="shared" si="8"/>
        <v>5.1998790000000099</v>
      </c>
    </row>
    <row r="112" spans="2:10" x14ac:dyDescent="0.45">
      <c r="B112" s="11">
        <v>97</v>
      </c>
      <c r="C112" s="68">
        <v>198.0481179999999</v>
      </c>
      <c r="D112" s="68">
        <v>204.05500200000009</v>
      </c>
      <c r="E112" s="41">
        <f t="shared" si="6"/>
        <v>1791.268118</v>
      </c>
      <c r="F112" s="41">
        <f t="shared" si="7"/>
        <v>1797.2750020000001</v>
      </c>
      <c r="G112" s="68">
        <v>22.604672516000001</v>
      </c>
      <c r="H112" s="69">
        <v>0.1019966310319939</v>
      </c>
      <c r="I112" s="69">
        <v>0</v>
      </c>
      <c r="J112" s="49">
        <f t="shared" si="8"/>
        <v>6.0068840000001273</v>
      </c>
    </row>
    <row r="113" spans="1:22" x14ac:dyDescent="0.45">
      <c r="B113" s="11">
        <v>98</v>
      </c>
      <c r="C113" s="68">
        <v>204.05500200000009</v>
      </c>
      <c r="D113" s="68">
        <v>206.93518499999999</v>
      </c>
      <c r="E113" s="41">
        <f t="shared" si="6"/>
        <v>1797.2750020000001</v>
      </c>
      <c r="F113" s="41">
        <f t="shared" si="7"/>
        <v>1800.1551850000001</v>
      </c>
      <c r="G113" s="68">
        <v>23.217354447000002</v>
      </c>
      <c r="H113" s="69">
        <v>7.8432485019181042E-2</v>
      </c>
      <c r="I113" s="69">
        <v>0</v>
      </c>
      <c r="J113" s="49">
        <f t="shared" si="8"/>
        <v>2.8801829999999882</v>
      </c>
    </row>
    <row r="114" spans="1:22" x14ac:dyDescent="0.45">
      <c r="B114" s="11">
        <v>99</v>
      </c>
      <c r="C114" s="68">
        <v>206.93518499999999</v>
      </c>
      <c r="D114" s="68">
        <v>207.231886</v>
      </c>
      <c r="E114" s="41">
        <f t="shared" si="6"/>
        <v>1800.1551850000001</v>
      </c>
      <c r="F114" s="41">
        <f t="shared" si="7"/>
        <v>1800.4518860000001</v>
      </c>
      <c r="G114" s="68">
        <v>23.443254357000001</v>
      </c>
      <c r="H114" s="69">
        <v>7.4108378468560651E-2</v>
      </c>
      <c r="I114" s="69">
        <v>0</v>
      </c>
      <c r="J114" s="49">
        <f t="shared" si="8"/>
        <v>0.29670099999998456</v>
      </c>
    </row>
    <row r="116" spans="1:22" x14ac:dyDescent="0.45">
      <c r="A116" s="17" t="s">
        <v>1345</v>
      </c>
      <c r="B116" s="18"/>
      <c r="C116" s="18"/>
      <c r="D116" s="18"/>
      <c r="E116" s="18"/>
      <c r="F116" s="18"/>
      <c r="G116" s="18"/>
      <c r="H116" s="18"/>
      <c r="I116" s="18"/>
      <c r="J116" s="18"/>
      <c r="K116" s="18"/>
      <c r="L116" s="18"/>
      <c r="M116" s="18"/>
      <c r="N116" s="18"/>
      <c r="O116" s="18"/>
      <c r="P116" s="18"/>
      <c r="Q116" s="18"/>
      <c r="R116" s="18"/>
      <c r="S116" s="18"/>
      <c r="T116" s="18"/>
    </row>
    <row r="117" spans="1:22" ht="32" customHeight="1" x14ac:dyDescent="0.45">
      <c r="B117" s="19" t="s">
        <v>1346</v>
      </c>
      <c r="C117" s="19" t="s">
        <v>840</v>
      </c>
      <c r="D117" s="19" t="s">
        <v>1336</v>
      </c>
      <c r="E117" s="19" t="s">
        <v>1347</v>
      </c>
      <c r="F117" s="19" t="s">
        <v>1348</v>
      </c>
      <c r="G117" s="19" t="s">
        <v>1349</v>
      </c>
      <c r="H117" s="19" t="s">
        <v>1350</v>
      </c>
      <c r="I117" s="19" t="s">
        <v>1351</v>
      </c>
      <c r="J117" s="19" t="s">
        <v>1352</v>
      </c>
      <c r="K117" s="19" t="s">
        <v>1353</v>
      </c>
      <c r="L117" s="19" t="s">
        <v>1354</v>
      </c>
      <c r="M117" s="19" t="s">
        <v>1355</v>
      </c>
      <c r="N117" s="19" t="s">
        <v>1356</v>
      </c>
      <c r="O117" s="19" t="s">
        <v>1357</v>
      </c>
      <c r="P117" s="19" t="s">
        <v>1358</v>
      </c>
      <c r="Q117" s="19" t="s">
        <v>1359</v>
      </c>
      <c r="R117" s="19" t="s">
        <v>1360</v>
      </c>
      <c r="S117" s="19" t="s">
        <v>1361</v>
      </c>
      <c r="T117" s="19" t="s">
        <v>1362</v>
      </c>
      <c r="U117" s="19" t="s">
        <v>1363</v>
      </c>
      <c r="V117" s="19" t="s">
        <v>1364</v>
      </c>
    </row>
    <row r="118" spans="1:22" x14ac:dyDescent="0.45">
      <c r="B118" s="11">
        <v>1</v>
      </c>
      <c r="C118" s="11">
        <v>1</v>
      </c>
      <c r="D118" s="11">
        <v>1</v>
      </c>
      <c r="E118" s="41">
        <f t="shared" ref="E118:E149" si="9">MAX(E16,Sp1_Bm0)</f>
        <v>1593.47</v>
      </c>
      <c r="F118" s="41">
        <f t="shared" ref="F118:F149" si="10">MIN(F16,Sp1_Bm1)</f>
        <v>1595.556793</v>
      </c>
      <c r="G118" s="41">
        <f t="shared" ref="G118:G149" si="11">(E118+F118)/2</f>
        <v>1594.5133965</v>
      </c>
      <c r="H118" s="49">
        <f t="shared" ref="H118:H149" si="12">$G16+$H16*(E118-$E16)+$I16*(E118-$E16)^2</f>
        <v>24.018171130462793</v>
      </c>
      <c r="I118" s="49">
        <f t="shared" ref="I118:I149" si="13">$G16+$H16*(G118-$E16)+$I16*(G118-$E16)^2</f>
        <v>23.951225773731398</v>
      </c>
      <c r="J118" s="49">
        <f t="shared" ref="J118:J149" si="14">$G16+$H16*(F118-$E16)+$I16*(F118-$E16)^2</f>
        <v>23.884280416999999</v>
      </c>
      <c r="K118" s="49">
        <f t="shared" ref="K118:K149" si="15">(Sp1_ZA+(Sp1_ZB-Sp1_ZA)*((E118-Sp1_BrgA)/Sp1_Lb)-Sup_Drop+Sp1_C/3*((E118-Sp1_BrgA)/Sp1_Lb)*(1-((E118-Sp1_BrgA)/Sp1_Lb))+(MIN(Bm1_Raise,Bm2_Raise))/12)</f>
        <v>43.947188006977207</v>
      </c>
      <c r="L118" s="49">
        <f t="shared" ref="L118:L149" si="16">(Sp1_ZA+(Sp1_ZB-Sp1_ZA)*((G118-Sp1_BrgA)/Sp1_Lb)-Sup_Drop+Sp1_C/3*((G118-Sp1_BrgA)/Sp1_Lb)*(1-((G118-Sp1_BrgA)/Sp1_Lb))+(MIN(Bm1_Raise,Bm2_Raise))/12)</f>
        <v>43.952816391751256</v>
      </c>
      <c r="M118" s="49">
        <f t="shared" ref="M118:M149" si="17">(Sp1_ZA+(Sp1_ZB-Sp1_ZA)*((F118-Sp1_BrgA)/Sp1_Lb)-Sup_Drop+Sp1_C/3*((F118-Sp1_BrgA)/Sp1_Lb)*(1-((F118-Sp1_BrgA)/Sp1_Lb))+(MIN(Bm1_Raise,Bm2_Raise))/12)</f>
        <v>43.958436648198159</v>
      </c>
      <c r="N118" s="49">
        <f t="shared" ref="N118:N149" si="18">K118-H118</f>
        <v>19.929016876514414</v>
      </c>
      <c r="O118" s="49">
        <f t="shared" ref="O118:O149" si="19">L118-I118</f>
        <v>20.001590618019858</v>
      </c>
      <c r="P118" s="49">
        <f t="shared" ref="P118:P149" si="20">M118-J118</f>
        <v>20.07415623119816</v>
      </c>
      <c r="Q118" s="56">
        <f t="shared" ref="Q118:Q149" si="21">2*(P118-2*O118+N118)</f>
        <v>-1.6256654284063643E-5</v>
      </c>
      <c r="R118" s="56">
        <f t="shared" ref="R118:R149" si="22">P118-N118-Q118</f>
        <v>0.1451556113380299</v>
      </c>
      <c r="S118" s="49">
        <f t="shared" ref="S118:S149" si="23">IF(Q118&gt;0.000000000001,-R118/(2*Q118),-1)</f>
        <v>-1</v>
      </c>
      <c r="T118" s="49">
        <f t="shared" ref="T118:T149" si="24">IF(AND(S118&gt;0,S118&lt;1),N118+R118*S118+Q118*S118^2,N118)</f>
        <v>19.929016876514414</v>
      </c>
      <c r="U118" s="49">
        <f t="shared" ref="U118:U149" si="25">IF(F118&gt;E118,MIN(N118,P118,T118),"")</f>
        <v>19.929016876514414</v>
      </c>
      <c r="V118" s="41">
        <f t="shared" ref="V118:V149" si="26">IF(U118="","",IF(U118=N118,E118,IF(U118=P118,F118,E118+(F118-E118)*S118)))</f>
        <v>1593.47</v>
      </c>
    </row>
    <row r="119" spans="1:22" x14ac:dyDescent="0.45">
      <c r="B119" s="11">
        <v>2</v>
      </c>
      <c r="C119" s="11">
        <v>1</v>
      </c>
      <c r="D119" s="11">
        <v>2</v>
      </c>
      <c r="E119" s="41">
        <f t="shared" si="9"/>
        <v>1595.556793</v>
      </c>
      <c r="F119" s="41">
        <f t="shared" si="10"/>
        <v>1598.38014</v>
      </c>
      <c r="G119" s="41">
        <f t="shared" si="11"/>
        <v>1596.9684665</v>
      </c>
      <c r="H119" s="49">
        <f t="shared" si="12"/>
        <v>23.884280416999999</v>
      </c>
      <c r="I119" s="49">
        <f t="shared" si="13"/>
        <v>23.880114573500002</v>
      </c>
      <c r="J119" s="49">
        <f t="shared" si="14"/>
        <v>23.875948730000001</v>
      </c>
      <c r="K119" s="49">
        <f t="shared" si="15"/>
        <v>43.958436648198159</v>
      </c>
      <c r="L119" s="49">
        <f t="shared" si="16"/>
        <v>43.966027691027016</v>
      </c>
      <c r="M119" s="49">
        <f t="shared" si="17"/>
        <v>43.973603854951662</v>
      </c>
      <c r="N119" s="49">
        <f t="shared" si="18"/>
        <v>20.07415623119816</v>
      </c>
      <c r="O119" s="49">
        <f t="shared" si="19"/>
        <v>20.085913117527014</v>
      </c>
      <c r="P119" s="49">
        <f t="shared" si="20"/>
        <v>20.097655124951661</v>
      </c>
      <c r="Q119" s="56">
        <f t="shared" si="21"/>
        <v>-2.9757808412966824E-5</v>
      </c>
      <c r="R119" s="56">
        <f t="shared" si="22"/>
        <v>2.3528651561914415E-2</v>
      </c>
      <c r="S119" s="49">
        <f t="shared" si="23"/>
        <v>-1</v>
      </c>
      <c r="T119" s="49">
        <f t="shared" si="24"/>
        <v>20.07415623119816</v>
      </c>
      <c r="U119" s="49">
        <f t="shared" si="25"/>
        <v>20.07415623119816</v>
      </c>
      <c r="V119" s="41">
        <f t="shared" si="26"/>
        <v>1595.556793</v>
      </c>
    </row>
    <row r="120" spans="1:22" x14ac:dyDescent="0.45">
      <c r="B120" s="11">
        <v>3</v>
      </c>
      <c r="C120" s="11">
        <v>1</v>
      </c>
      <c r="D120" s="11">
        <v>3</v>
      </c>
      <c r="E120" s="41">
        <f t="shared" si="9"/>
        <v>1598.38014</v>
      </c>
      <c r="F120" s="41">
        <f t="shared" si="10"/>
        <v>1600.2863770000001</v>
      </c>
      <c r="G120" s="41">
        <f t="shared" si="11"/>
        <v>1599.3332585000001</v>
      </c>
      <c r="H120" s="49">
        <f t="shared" si="12"/>
        <v>23.875948730000001</v>
      </c>
      <c r="I120" s="49">
        <f t="shared" si="13"/>
        <v>23.875001674</v>
      </c>
      <c r="J120" s="49">
        <f t="shared" si="14"/>
        <v>23.874054617999999</v>
      </c>
      <c r="K120" s="49">
        <f t="shared" si="15"/>
        <v>43.973603854951662</v>
      </c>
      <c r="L120" s="49">
        <f t="shared" si="16"/>
        <v>43.978710633472076</v>
      </c>
      <c r="M120" s="49">
        <f t="shared" si="17"/>
        <v>43.983810629392245</v>
      </c>
      <c r="N120" s="49">
        <f t="shared" si="18"/>
        <v>20.097655124951661</v>
      </c>
      <c r="O120" s="49">
        <f t="shared" si="19"/>
        <v>20.103708959472076</v>
      </c>
      <c r="P120" s="49">
        <f t="shared" si="20"/>
        <v>20.109756011392246</v>
      </c>
      <c r="Q120" s="56">
        <f t="shared" si="21"/>
        <v>-1.3565200490006646E-5</v>
      </c>
      <c r="R120" s="56">
        <f t="shared" si="22"/>
        <v>1.2114451641075163E-2</v>
      </c>
      <c r="S120" s="49">
        <f t="shared" si="23"/>
        <v>-1</v>
      </c>
      <c r="T120" s="49">
        <f t="shared" si="24"/>
        <v>20.097655124951661</v>
      </c>
      <c r="U120" s="49">
        <f t="shared" si="25"/>
        <v>20.097655124951661</v>
      </c>
      <c r="V120" s="41">
        <f t="shared" si="26"/>
        <v>1598.38014</v>
      </c>
    </row>
    <row r="121" spans="1:22" x14ac:dyDescent="0.45">
      <c r="B121" s="11">
        <v>4</v>
      </c>
      <c r="C121" s="11">
        <v>1</v>
      </c>
      <c r="D121" s="11">
        <v>4</v>
      </c>
      <c r="E121" s="41">
        <f t="shared" si="9"/>
        <v>1600.2863770000001</v>
      </c>
      <c r="F121" s="41">
        <f t="shared" si="10"/>
        <v>1603.207911</v>
      </c>
      <c r="G121" s="41">
        <f t="shared" si="11"/>
        <v>1601.7471439999999</v>
      </c>
      <c r="H121" s="49">
        <f t="shared" si="12"/>
        <v>23.874054617999999</v>
      </c>
      <c r="I121" s="49">
        <f t="shared" si="13"/>
        <v>24.201423456499974</v>
      </c>
      <c r="J121" s="49">
        <f t="shared" si="14"/>
        <v>24.528792294999999</v>
      </c>
      <c r="K121" s="49">
        <f t="shared" si="15"/>
        <v>43.983810629392245</v>
      </c>
      <c r="L121" s="49">
        <f t="shared" si="16"/>
        <v>43.991613813784845</v>
      </c>
      <c r="M121" s="49">
        <f t="shared" si="17"/>
        <v>43.999401066396658</v>
      </c>
      <c r="N121" s="49">
        <f t="shared" si="18"/>
        <v>20.109756011392246</v>
      </c>
      <c r="O121" s="49">
        <f t="shared" si="19"/>
        <v>19.790190357284871</v>
      </c>
      <c r="P121" s="49">
        <f t="shared" si="20"/>
        <v>19.470608771396659</v>
      </c>
      <c r="Q121" s="56">
        <f t="shared" si="21"/>
        <v>-3.1863561673617369E-5</v>
      </c>
      <c r="R121" s="56">
        <f t="shared" si="22"/>
        <v>-0.6391153764339137</v>
      </c>
      <c r="S121" s="49">
        <f t="shared" si="23"/>
        <v>-1</v>
      </c>
      <c r="T121" s="49">
        <f t="shared" si="24"/>
        <v>20.109756011392246</v>
      </c>
      <c r="U121" s="49">
        <f t="shared" si="25"/>
        <v>19.470608771396659</v>
      </c>
      <c r="V121" s="41">
        <f t="shared" si="26"/>
        <v>1603.207911</v>
      </c>
    </row>
    <row r="122" spans="1:22" x14ac:dyDescent="0.45">
      <c r="B122" s="11">
        <v>5</v>
      </c>
      <c r="C122" s="11">
        <v>1</v>
      </c>
      <c r="D122" s="11">
        <v>5</v>
      </c>
      <c r="E122" s="41">
        <f t="shared" si="9"/>
        <v>1603.207911</v>
      </c>
      <c r="F122" s="41">
        <f t="shared" si="10"/>
        <v>1603.471894</v>
      </c>
      <c r="G122" s="41">
        <f t="shared" si="11"/>
        <v>1603.3399024999999</v>
      </c>
      <c r="H122" s="49">
        <f t="shared" si="12"/>
        <v>24.528792294999999</v>
      </c>
      <c r="I122" s="49">
        <f t="shared" si="13"/>
        <v>24.53881179699999</v>
      </c>
      <c r="J122" s="49">
        <f t="shared" si="14"/>
        <v>24.548831299</v>
      </c>
      <c r="K122" s="49">
        <f t="shared" si="15"/>
        <v>43.999401066396658</v>
      </c>
      <c r="L122" s="49">
        <f t="shared" si="16"/>
        <v>44.000103919567998</v>
      </c>
      <c r="M122" s="49">
        <f t="shared" si="17"/>
        <v>44.000806642664188</v>
      </c>
      <c r="N122" s="49">
        <f t="shared" si="18"/>
        <v>19.470608771396659</v>
      </c>
      <c r="O122" s="49">
        <f t="shared" si="19"/>
        <v>19.461292122568008</v>
      </c>
      <c r="P122" s="49">
        <f t="shared" si="20"/>
        <v>19.451975343664188</v>
      </c>
      <c r="Q122" s="56">
        <f t="shared" si="21"/>
        <v>-2.6015033682824651E-7</v>
      </c>
      <c r="R122" s="56">
        <f t="shared" si="22"/>
        <v>-1.8633167582134291E-2</v>
      </c>
      <c r="S122" s="49">
        <f t="shared" si="23"/>
        <v>-1</v>
      </c>
      <c r="T122" s="49">
        <f t="shared" si="24"/>
        <v>19.470608771396659</v>
      </c>
      <c r="U122" s="49">
        <f t="shared" si="25"/>
        <v>19.451975343664188</v>
      </c>
      <c r="V122" s="41">
        <f t="shared" si="26"/>
        <v>1603.471894</v>
      </c>
    </row>
    <row r="123" spans="1:22" x14ac:dyDescent="0.45">
      <c r="B123" s="11">
        <v>6</v>
      </c>
      <c r="C123" s="11">
        <v>1</v>
      </c>
      <c r="D123" s="11">
        <v>6</v>
      </c>
      <c r="E123" s="41">
        <f t="shared" si="9"/>
        <v>1603.471894</v>
      </c>
      <c r="F123" s="41">
        <f t="shared" si="10"/>
        <v>1603.5319180000001</v>
      </c>
      <c r="G123" s="41">
        <f t="shared" si="11"/>
        <v>1603.501906</v>
      </c>
      <c r="H123" s="49">
        <f t="shared" si="12"/>
        <v>24.548831299</v>
      </c>
      <c r="I123" s="49">
        <f t="shared" si="13"/>
        <v>24.551109539499993</v>
      </c>
      <c r="J123" s="49">
        <f t="shared" si="14"/>
        <v>24.553387780000001</v>
      </c>
      <c r="K123" s="49">
        <f t="shared" si="15"/>
        <v>44.000806642664188</v>
      </c>
      <c r="L123" s="49">
        <f t="shared" si="16"/>
        <v>44.000966408481176</v>
      </c>
      <c r="M123" s="49">
        <f t="shared" si="17"/>
        <v>44.001126167573169</v>
      </c>
      <c r="N123" s="49">
        <f t="shared" si="18"/>
        <v>19.451975343664188</v>
      </c>
      <c r="O123" s="49">
        <f t="shared" si="19"/>
        <v>19.449856868981183</v>
      </c>
      <c r="P123" s="49">
        <f t="shared" si="20"/>
        <v>19.447738387573168</v>
      </c>
      <c r="Q123" s="56">
        <f t="shared" si="21"/>
        <v>-1.3450019764604804E-8</v>
      </c>
      <c r="R123" s="56">
        <f t="shared" si="22"/>
        <v>-4.2369426410004962E-3</v>
      </c>
      <c r="S123" s="49">
        <f t="shared" si="23"/>
        <v>-1</v>
      </c>
      <c r="T123" s="49">
        <f t="shared" si="24"/>
        <v>19.451975343664188</v>
      </c>
      <c r="U123" s="49">
        <f t="shared" si="25"/>
        <v>19.447738387573168</v>
      </c>
      <c r="V123" s="41">
        <f t="shared" si="26"/>
        <v>1603.5319180000001</v>
      </c>
    </row>
    <row r="124" spans="1:22" x14ac:dyDescent="0.45">
      <c r="B124" s="11">
        <v>7</v>
      </c>
      <c r="C124" s="11">
        <v>1</v>
      </c>
      <c r="D124" s="11">
        <v>7</v>
      </c>
      <c r="E124" s="41">
        <f t="shared" si="9"/>
        <v>1603.5319180000001</v>
      </c>
      <c r="F124" s="41">
        <f t="shared" si="10"/>
        <v>1603.6043340000001</v>
      </c>
      <c r="G124" s="41">
        <f t="shared" si="11"/>
        <v>1603.5681260000001</v>
      </c>
      <c r="H124" s="49">
        <f t="shared" si="12"/>
        <v>24.553387780000001</v>
      </c>
      <c r="I124" s="49">
        <f t="shared" si="13"/>
        <v>24.5561363405</v>
      </c>
      <c r="J124" s="49">
        <f t="shared" si="14"/>
        <v>24.558884900999999</v>
      </c>
      <c r="K124" s="49">
        <f t="shared" si="15"/>
        <v>44.001126167573169</v>
      </c>
      <c r="L124" s="49">
        <f t="shared" si="16"/>
        <v>44.001318900099122</v>
      </c>
      <c r="M124" s="49">
        <f t="shared" si="17"/>
        <v>44.001511622836681</v>
      </c>
      <c r="N124" s="49">
        <f t="shared" si="18"/>
        <v>19.447738387573168</v>
      </c>
      <c r="O124" s="49">
        <f t="shared" si="19"/>
        <v>19.445182559599122</v>
      </c>
      <c r="P124" s="49">
        <f t="shared" si="20"/>
        <v>19.442626721836682</v>
      </c>
      <c r="Q124" s="56">
        <f t="shared" si="21"/>
        <v>-1.9576788190533989E-8</v>
      </c>
      <c r="R124" s="56">
        <f t="shared" si="22"/>
        <v>-5.1116461596976137E-3</v>
      </c>
      <c r="S124" s="49">
        <f t="shared" si="23"/>
        <v>-1</v>
      </c>
      <c r="T124" s="49">
        <f t="shared" si="24"/>
        <v>19.447738387573168</v>
      </c>
      <c r="U124" s="49">
        <f t="shared" si="25"/>
        <v>19.442626721836682</v>
      </c>
      <c r="V124" s="41">
        <f t="shared" si="26"/>
        <v>1603.6043340000001</v>
      </c>
    </row>
    <row r="125" spans="1:22" x14ac:dyDescent="0.45">
      <c r="B125" s="11">
        <v>8</v>
      </c>
      <c r="C125" s="11">
        <v>1</v>
      </c>
      <c r="D125" s="11">
        <v>8</v>
      </c>
      <c r="E125" s="41">
        <f t="shared" si="9"/>
        <v>1603.6043340000001</v>
      </c>
      <c r="F125" s="41">
        <f t="shared" si="10"/>
        <v>1603.675045</v>
      </c>
      <c r="G125" s="41">
        <f t="shared" si="11"/>
        <v>1603.6396895</v>
      </c>
      <c r="H125" s="49">
        <f t="shared" si="12"/>
        <v>24.558884900999999</v>
      </c>
      <c r="I125" s="49">
        <f t="shared" si="13"/>
        <v>24.561568761</v>
      </c>
      <c r="J125" s="49">
        <f t="shared" si="14"/>
        <v>24.564252621000001</v>
      </c>
      <c r="K125" s="49">
        <f t="shared" si="15"/>
        <v>44.001511622836681</v>
      </c>
      <c r="L125" s="49">
        <f t="shared" si="16"/>
        <v>44.00169979856436</v>
      </c>
      <c r="M125" s="49">
        <f t="shared" si="17"/>
        <v>44.001887964959153</v>
      </c>
      <c r="N125" s="49">
        <f t="shared" si="18"/>
        <v>19.442626721836682</v>
      </c>
      <c r="O125" s="49">
        <f t="shared" si="19"/>
        <v>19.44013103756436</v>
      </c>
      <c r="P125" s="49">
        <f t="shared" si="20"/>
        <v>19.437635343959151</v>
      </c>
      <c r="Q125" s="56">
        <f t="shared" si="21"/>
        <v>-1.8665772927306534E-8</v>
      </c>
      <c r="R125" s="56">
        <f t="shared" si="22"/>
        <v>-4.99135921175764E-3</v>
      </c>
      <c r="S125" s="49">
        <f t="shared" si="23"/>
        <v>-1</v>
      </c>
      <c r="T125" s="49">
        <f t="shared" si="24"/>
        <v>19.442626721836682</v>
      </c>
      <c r="U125" s="49">
        <f t="shared" si="25"/>
        <v>19.437635343959151</v>
      </c>
      <c r="V125" s="41">
        <f t="shared" si="26"/>
        <v>1603.675045</v>
      </c>
    </row>
    <row r="126" spans="1:22" x14ac:dyDescent="0.45">
      <c r="B126" s="11">
        <v>9</v>
      </c>
      <c r="C126" s="11">
        <v>1</v>
      </c>
      <c r="D126" s="11">
        <v>9</v>
      </c>
      <c r="E126" s="41">
        <f t="shared" si="9"/>
        <v>1603.675045</v>
      </c>
      <c r="F126" s="41">
        <f t="shared" si="10"/>
        <v>1604.996173</v>
      </c>
      <c r="G126" s="41">
        <f t="shared" si="11"/>
        <v>1604.335609</v>
      </c>
      <c r="H126" s="49">
        <f t="shared" si="12"/>
        <v>24.564252621000001</v>
      </c>
      <c r="I126" s="49">
        <f t="shared" si="13"/>
        <v>24.6143963355</v>
      </c>
      <c r="J126" s="49">
        <f t="shared" si="14"/>
        <v>24.664540049999999</v>
      </c>
      <c r="K126" s="49">
        <f t="shared" si="15"/>
        <v>44.001887964959153</v>
      </c>
      <c r="L126" s="49">
        <f t="shared" si="16"/>
        <v>44.005401853104203</v>
      </c>
      <c r="M126" s="49">
        <f t="shared" si="17"/>
        <v>44.008912483390681</v>
      </c>
      <c r="N126" s="49">
        <f t="shared" si="18"/>
        <v>19.437635343959151</v>
      </c>
      <c r="O126" s="49">
        <f t="shared" si="19"/>
        <v>19.391005517604203</v>
      </c>
      <c r="P126" s="49">
        <f t="shared" si="20"/>
        <v>19.344372433390681</v>
      </c>
      <c r="Q126" s="56">
        <f t="shared" si="21"/>
        <v>-6.5157171462715269E-6</v>
      </c>
      <c r="R126" s="56">
        <f t="shared" si="22"/>
        <v>-9.3256394851323421E-2</v>
      </c>
      <c r="S126" s="49">
        <f t="shared" si="23"/>
        <v>-1</v>
      </c>
      <c r="T126" s="49">
        <f t="shared" si="24"/>
        <v>19.437635343959151</v>
      </c>
      <c r="U126" s="49">
        <f t="shared" si="25"/>
        <v>19.344372433390681</v>
      </c>
      <c r="V126" s="41">
        <f t="shared" si="26"/>
        <v>1604.996173</v>
      </c>
    </row>
    <row r="127" spans="1:22" x14ac:dyDescent="0.45">
      <c r="B127" s="11">
        <v>10</v>
      </c>
      <c r="C127" s="11">
        <v>1</v>
      </c>
      <c r="D127" s="11">
        <v>10</v>
      </c>
      <c r="E127" s="41">
        <f t="shared" si="9"/>
        <v>1604.996173</v>
      </c>
      <c r="F127" s="41">
        <f t="shared" si="10"/>
        <v>1605.7672030000001</v>
      </c>
      <c r="G127" s="41">
        <f t="shared" si="11"/>
        <v>1605.3816879999999</v>
      </c>
      <c r="H127" s="49">
        <f t="shared" si="12"/>
        <v>24.664540049999999</v>
      </c>
      <c r="I127" s="49">
        <f t="shared" si="13"/>
        <v>24.618023911500014</v>
      </c>
      <c r="J127" s="49">
        <f t="shared" si="14"/>
        <v>24.571507773</v>
      </c>
      <c r="K127" s="49">
        <f t="shared" si="15"/>
        <v>44.008912483390681</v>
      </c>
      <c r="L127" s="49">
        <f t="shared" si="16"/>
        <v>44.010959834081412</v>
      </c>
      <c r="M127" s="49">
        <f t="shared" si="17"/>
        <v>44.013006075124778</v>
      </c>
      <c r="N127" s="49">
        <f t="shared" si="18"/>
        <v>19.344372433390681</v>
      </c>
      <c r="O127" s="49">
        <f t="shared" si="19"/>
        <v>19.392935922581398</v>
      </c>
      <c r="P127" s="49">
        <f t="shared" si="20"/>
        <v>19.441498302124778</v>
      </c>
      <c r="Q127" s="56">
        <f t="shared" si="21"/>
        <v>-2.2192946715904327E-6</v>
      </c>
      <c r="R127" s="56">
        <f t="shared" si="22"/>
        <v>9.7128088028767934E-2</v>
      </c>
      <c r="S127" s="49">
        <f t="shared" si="23"/>
        <v>-1</v>
      </c>
      <c r="T127" s="49">
        <f t="shared" si="24"/>
        <v>19.344372433390681</v>
      </c>
      <c r="U127" s="49">
        <f t="shared" si="25"/>
        <v>19.344372433390681</v>
      </c>
      <c r="V127" s="41">
        <f t="shared" si="26"/>
        <v>1604.996173</v>
      </c>
    </row>
    <row r="128" spans="1:22" x14ac:dyDescent="0.45">
      <c r="B128" s="11">
        <v>11</v>
      </c>
      <c r="C128" s="11">
        <v>1</v>
      </c>
      <c r="D128" s="11">
        <v>11</v>
      </c>
      <c r="E128" s="41">
        <f t="shared" si="9"/>
        <v>1605.7672030000001</v>
      </c>
      <c r="F128" s="41">
        <f t="shared" si="10"/>
        <v>1607.8901270000001</v>
      </c>
      <c r="G128" s="41">
        <f t="shared" si="11"/>
        <v>1606.828665</v>
      </c>
      <c r="H128" s="49">
        <f t="shared" si="12"/>
        <v>24.571507773</v>
      </c>
      <c r="I128" s="49">
        <f t="shared" si="13"/>
        <v>24.519784446500008</v>
      </c>
      <c r="J128" s="49">
        <f t="shared" si="14"/>
        <v>24.468061120000002</v>
      </c>
      <c r="K128" s="49">
        <f t="shared" si="15"/>
        <v>44.013006075124778</v>
      </c>
      <c r="L128" s="49">
        <f t="shared" si="16"/>
        <v>44.018634381844343</v>
      </c>
      <c r="M128" s="49">
        <f t="shared" si="17"/>
        <v>44.024254276330282</v>
      </c>
      <c r="N128" s="49">
        <f t="shared" si="18"/>
        <v>19.441498302124778</v>
      </c>
      <c r="O128" s="49">
        <f t="shared" si="19"/>
        <v>19.498849935344335</v>
      </c>
      <c r="P128" s="49">
        <f t="shared" si="20"/>
        <v>19.556193156330281</v>
      </c>
      <c r="Q128" s="56">
        <f t="shared" si="21"/>
        <v>-1.6824467223841566E-5</v>
      </c>
      <c r="R128" s="56">
        <f t="shared" si="22"/>
        <v>0.11471167867272669</v>
      </c>
      <c r="S128" s="49">
        <f t="shared" si="23"/>
        <v>-1</v>
      </c>
      <c r="T128" s="49">
        <f t="shared" si="24"/>
        <v>19.441498302124778</v>
      </c>
      <c r="U128" s="49">
        <f t="shared" si="25"/>
        <v>19.441498302124778</v>
      </c>
      <c r="V128" s="41">
        <f t="shared" si="26"/>
        <v>1605.7672030000001</v>
      </c>
    </row>
    <row r="129" spans="2:22" x14ac:dyDescent="0.45">
      <c r="B129" s="11">
        <v>12</v>
      </c>
      <c r="C129" s="11">
        <v>1</v>
      </c>
      <c r="D129" s="11">
        <v>12</v>
      </c>
      <c r="E129" s="41">
        <f t="shared" si="9"/>
        <v>1607.8901270000001</v>
      </c>
      <c r="F129" s="41">
        <f t="shared" si="10"/>
        <v>1616.0943070000001</v>
      </c>
      <c r="G129" s="41">
        <f t="shared" si="11"/>
        <v>1611.992217</v>
      </c>
      <c r="H129" s="49">
        <f t="shared" si="12"/>
        <v>24.468061120000002</v>
      </c>
      <c r="I129" s="49">
        <f t="shared" si="13"/>
        <v>23.881893007000016</v>
      </c>
      <c r="J129" s="49">
        <f t="shared" si="14"/>
        <v>23.295724893999999</v>
      </c>
      <c r="K129" s="49">
        <f t="shared" si="15"/>
        <v>44.024254276330282</v>
      </c>
      <c r="L129" s="49">
        <f t="shared" si="16"/>
        <v>44.045893657092847</v>
      </c>
      <c r="M129" s="49">
        <f t="shared" si="17"/>
        <v>44.06740740223384</v>
      </c>
      <c r="N129" s="49">
        <f t="shared" si="18"/>
        <v>19.556193156330281</v>
      </c>
      <c r="O129" s="49">
        <f t="shared" si="19"/>
        <v>20.164000650092831</v>
      </c>
      <c r="P129" s="49">
        <f t="shared" si="20"/>
        <v>20.771682508233841</v>
      </c>
      <c r="Q129" s="56">
        <f t="shared" si="21"/>
        <v>-2.5127124307999793E-4</v>
      </c>
      <c r="R129" s="56">
        <f t="shared" si="22"/>
        <v>1.2157406231466403</v>
      </c>
      <c r="S129" s="49">
        <f t="shared" si="23"/>
        <v>-1</v>
      </c>
      <c r="T129" s="49">
        <f t="shared" si="24"/>
        <v>19.556193156330281</v>
      </c>
      <c r="U129" s="49">
        <f t="shared" si="25"/>
        <v>19.556193156330281</v>
      </c>
      <c r="V129" s="41">
        <f t="shared" si="26"/>
        <v>1607.8901270000001</v>
      </c>
    </row>
    <row r="130" spans="2:22" x14ac:dyDescent="0.45">
      <c r="B130" s="11">
        <v>13</v>
      </c>
      <c r="C130" s="11">
        <v>1</v>
      </c>
      <c r="D130" s="11">
        <v>13</v>
      </c>
      <c r="E130" s="41">
        <f t="shared" si="9"/>
        <v>1616.0943070000001</v>
      </c>
      <c r="F130" s="41">
        <f t="shared" si="10"/>
        <v>1619.9076700000001</v>
      </c>
      <c r="G130" s="41">
        <f t="shared" si="11"/>
        <v>1618.0009884999999</v>
      </c>
      <c r="H130" s="49">
        <f t="shared" si="12"/>
        <v>23.295724893999999</v>
      </c>
      <c r="I130" s="49">
        <f t="shared" si="13"/>
        <v>23.016498265000017</v>
      </c>
      <c r="J130" s="49">
        <f t="shared" si="14"/>
        <v>22.737271635999999</v>
      </c>
      <c r="K130" s="49">
        <f t="shared" si="15"/>
        <v>44.06740740223384</v>
      </c>
      <c r="L130" s="49">
        <f t="shared" si="16"/>
        <v>44.077364378962976</v>
      </c>
      <c r="M130" s="49">
        <f t="shared" si="17"/>
        <v>44.087294212636948</v>
      </c>
      <c r="N130" s="49">
        <f t="shared" si="18"/>
        <v>20.771682508233841</v>
      </c>
      <c r="O130" s="49">
        <f t="shared" si="19"/>
        <v>21.060866113962959</v>
      </c>
      <c r="P130" s="49">
        <f t="shared" si="20"/>
        <v>21.350022576636949</v>
      </c>
      <c r="Q130" s="56">
        <f t="shared" si="21"/>
        <v>-5.4286110255929998E-5</v>
      </c>
      <c r="R130" s="56">
        <f t="shared" si="22"/>
        <v>0.57839435451336385</v>
      </c>
      <c r="S130" s="49">
        <f t="shared" si="23"/>
        <v>-1</v>
      </c>
      <c r="T130" s="49">
        <f t="shared" si="24"/>
        <v>20.771682508233841</v>
      </c>
      <c r="U130" s="49">
        <f t="shared" si="25"/>
        <v>20.771682508233841</v>
      </c>
      <c r="V130" s="41">
        <f t="shared" si="26"/>
        <v>1616.0943070000001</v>
      </c>
    </row>
    <row r="131" spans="2:22" x14ac:dyDescent="0.45">
      <c r="B131" s="11">
        <v>14</v>
      </c>
      <c r="C131" s="11">
        <v>1</v>
      </c>
      <c r="D131" s="11">
        <v>14</v>
      </c>
      <c r="E131" s="41">
        <f t="shared" si="9"/>
        <v>1619.9076700000001</v>
      </c>
      <c r="F131" s="41">
        <f t="shared" si="10"/>
        <v>1622.0950170000001</v>
      </c>
      <c r="G131" s="41">
        <f t="shared" si="11"/>
        <v>1621.0013435000001</v>
      </c>
      <c r="H131" s="49">
        <f t="shared" si="12"/>
        <v>22.737271635999999</v>
      </c>
      <c r="I131" s="49">
        <f t="shared" si="13"/>
        <v>22.713766636500001</v>
      </c>
      <c r="J131" s="49">
        <f t="shared" si="14"/>
        <v>22.690261636999999</v>
      </c>
      <c r="K131" s="49">
        <f t="shared" si="15"/>
        <v>44.087294212636948</v>
      </c>
      <c r="L131" s="49">
        <f t="shared" si="16"/>
        <v>44.092977720490403</v>
      </c>
      <c r="M131" s="49">
        <f t="shared" si="17"/>
        <v>44.098652297802168</v>
      </c>
      <c r="N131" s="49">
        <f t="shared" si="18"/>
        <v>21.350022576636949</v>
      </c>
      <c r="O131" s="49">
        <f t="shared" si="19"/>
        <v>21.379211083990402</v>
      </c>
      <c r="P131" s="49">
        <f t="shared" si="20"/>
        <v>21.408390660802169</v>
      </c>
      <c r="Q131" s="56">
        <f t="shared" si="21"/>
        <v>-1.7861083371428776E-5</v>
      </c>
      <c r="R131" s="56">
        <f t="shared" si="22"/>
        <v>5.8385945248591753E-2</v>
      </c>
      <c r="S131" s="49">
        <f t="shared" si="23"/>
        <v>-1</v>
      </c>
      <c r="T131" s="49">
        <f t="shared" si="24"/>
        <v>21.350022576636949</v>
      </c>
      <c r="U131" s="49">
        <f t="shared" si="25"/>
        <v>21.350022576636949</v>
      </c>
      <c r="V131" s="41">
        <f t="shared" si="26"/>
        <v>1619.9076700000001</v>
      </c>
    </row>
    <row r="132" spans="2:22" x14ac:dyDescent="0.45">
      <c r="B132" s="11">
        <v>15</v>
      </c>
      <c r="C132" s="11">
        <v>1</v>
      </c>
      <c r="D132" s="11">
        <v>15</v>
      </c>
      <c r="E132" s="41">
        <f t="shared" si="9"/>
        <v>1622.0950170000001</v>
      </c>
      <c r="F132" s="41">
        <f t="shared" si="10"/>
        <v>1626.7029090000001</v>
      </c>
      <c r="G132" s="41">
        <f t="shared" si="11"/>
        <v>1624.3989630000001</v>
      </c>
      <c r="H132" s="49">
        <f t="shared" si="12"/>
        <v>22.690261636999999</v>
      </c>
      <c r="I132" s="49">
        <f t="shared" si="13"/>
        <v>22.620062668499997</v>
      </c>
      <c r="J132" s="49">
        <f t="shared" si="14"/>
        <v>22.5498637</v>
      </c>
      <c r="K132" s="49">
        <f t="shared" si="15"/>
        <v>44.098652297802168</v>
      </c>
      <c r="L132" s="49">
        <f t="shared" si="16"/>
        <v>44.110577209277984</v>
      </c>
      <c r="M132" s="49">
        <f t="shared" si="17"/>
        <v>44.122462488660176</v>
      </c>
      <c r="N132" s="49">
        <f t="shared" si="18"/>
        <v>21.408390660802169</v>
      </c>
      <c r="O132" s="49">
        <f t="shared" si="19"/>
        <v>21.490514540777987</v>
      </c>
      <c r="P132" s="49">
        <f t="shared" si="20"/>
        <v>21.572598788660176</v>
      </c>
      <c r="Q132" s="56">
        <f t="shared" si="21"/>
        <v>-7.9264187256455898E-5</v>
      </c>
      <c r="R132" s="56">
        <f t="shared" si="22"/>
        <v>0.16428739204526366</v>
      </c>
      <c r="S132" s="49">
        <f t="shared" si="23"/>
        <v>-1</v>
      </c>
      <c r="T132" s="49">
        <f t="shared" si="24"/>
        <v>21.408390660802169</v>
      </c>
      <c r="U132" s="49">
        <f t="shared" si="25"/>
        <v>21.408390660802169</v>
      </c>
      <c r="V132" s="41">
        <f t="shared" si="26"/>
        <v>1622.0950170000001</v>
      </c>
    </row>
    <row r="133" spans="2:22" x14ac:dyDescent="0.45">
      <c r="B133" s="11">
        <v>16</v>
      </c>
      <c r="C133" s="11">
        <v>1</v>
      </c>
      <c r="D133" s="11">
        <v>16</v>
      </c>
      <c r="E133" s="41">
        <f t="shared" si="9"/>
        <v>1626.7029090000001</v>
      </c>
      <c r="F133" s="41">
        <f t="shared" si="10"/>
        <v>1626.7517440000001</v>
      </c>
      <c r="G133" s="41">
        <f t="shared" si="11"/>
        <v>1626.7273265000001</v>
      </c>
      <c r="H133" s="49">
        <f t="shared" si="12"/>
        <v>22.5498637</v>
      </c>
      <c r="I133" s="49">
        <f t="shared" si="13"/>
        <v>22.550447926499999</v>
      </c>
      <c r="J133" s="49">
        <f t="shared" si="14"/>
        <v>22.551032153000001</v>
      </c>
      <c r="K133" s="49">
        <f t="shared" si="15"/>
        <v>44.122462488660176</v>
      </c>
      <c r="L133" s="49">
        <f t="shared" si="16"/>
        <v>44.122588238058384</v>
      </c>
      <c r="M133" s="49">
        <f t="shared" si="17"/>
        <v>44.122713983005106</v>
      </c>
      <c r="N133" s="49">
        <f t="shared" si="18"/>
        <v>21.572598788660176</v>
      </c>
      <c r="O133" s="49">
        <f t="shared" si="19"/>
        <v>21.572140311558385</v>
      </c>
      <c r="P133" s="49">
        <f t="shared" si="20"/>
        <v>21.571681830005105</v>
      </c>
      <c r="Q133" s="56">
        <f t="shared" si="21"/>
        <v>-8.9029796868089761E-9</v>
      </c>
      <c r="R133" s="56">
        <f t="shared" si="22"/>
        <v>-9.1694975209222207E-4</v>
      </c>
      <c r="S133" s="49">
        <f t="shared" si="23"/>
        <v>-1</v>
      </c>
      <c r="T133" s="49">
        <f t="shared" si="24"/>
        <v>21.572598788660176</v>
      </c>
      <c r="U133" s="49">
        <f t="shared" si="25"/>
        <v>21.571681830005105</v>
      </c>
      <c r="V133" s="41">
        <f t="shared" si="26"/>
        <v>1626.7517440000001</v>
      </c>
    </row>
    <row r="134" spans="2:22" x14ac:dyDescent="0.45">
      <c r="B134" s="11">
        <v>17</v>
      </c>
      <c r="C134" s="11">
        <v>1</v>
      </c>
      <c r="D134" s="11">
        <v>17</v>
      </c>
      <c r="E134" s="41">
        <f t="shared" si="9"/>
        <v>1626.7517440000001</v>
      </c>
      <c r="F134" s="41">
        <f t="shared" si="10"/>
        <v>1629.6907249999999</v>
      </c>
      <c r="G134" s="41">
        <f t="shared" si="11"/>
        <v>1628.2212345</v>
      </c>
      <c r="H134" s="49">
        <f t="shared" si="12"/>
        <v>22.551032153000001</v>
      </c>
      <c r="I134" s="49">
        <f t="shared" si="13"/>
        <v>22.696114983500003</v>
      </c>
      <c r="J134" s="49">
        <f t="shared" si="14"/>
        <v>22.841197814000001</v>
      </c>
      <c r="K134" s="49">
        <f t="shared" si="15"/>
        <v>44.122713983005106</v>
      </c>
      <c r="L134" s="49">
        <f t="shared" si="16"/>
        <v>44.130273352175621</v>
      </c>
      <c r="M134" s="49">
        <f t="shared" si="17"/>
        <v>44.137816598712355</v>
      </c>
      <c r="N134" s="49">
        <f t="shared" si="18"/>
        <v>21.571681830005105</v>
      </c>
      <c r="O134" s="49">
        <f t="shared" si="19"/>
        <v>21.434158368675618</v>
      </c>
      <c r="P134" s="49">
        <f t="shared" si="20"/>
        <v>21.296618784712354</v>
      </c>
      <c r="Q134" s="56">
        <f t="shared" si="21"/>
        <v>-3.2245267554742441E-5</v>
      </c>
      <c r="R134" s="56">
        <f t="shared" si="22"/>
        <v>-0.27503080002519553</v>
      </c>
      <c r="S134" s="49">
        <f t="shared" si="23"/>
        <v>-1</v>
      </c>
      <c r="T134" s="49">
        <f t="shared" si="24"/>
        <v>21.571681830005105</v>
      </c>
      <c r="U134" s="49">
        <f t="shared" si="25"/>
        <v>21.296618784712354</v>
      </c>
      <c r="V134" s="41">
        <f t="shared" si="26"/>
        <v>1629.6907249999999</v>
      </c>
    </row>
    <row r="135" spans="2:22" x14ac:dyDescent="0.45">
      <c r="B135" s="11">
        <v>18</v>
      </c>
      <c r="C135" s="11">
        <v>1</v>
      </c>
      <c r="D135" s="11">
        <v>18</v>
      </c>
      <c r="E135" s="41">
        <f t="shared" si="9"/>
        <v>1629.6907249999999</v>
      </c>
      <c r="F135" s="41">
        <f t="shared" si="10"/>
        <v>1630.63831</v>
      </c>
      <c r="G135" s="41">
        <f t="shared" si="11"/>
        <v>1630.1645174999999</v>
      </c>
      <c r="H135" s="49">
        <f t="shared" si="12"/>
        <v>22.841197814000001</v>
      </c>
      <c r="I135" s="49">
        <f t="shared" si="13"/>
        <v>22.877393997499993</v>
      </c>
      <c r="J135" s="49">
        <f t="shared" si="14"/>
        <v>22.913590181</v>
      </c>
      <c r="K135" s="49">
        <f t="shared" si="15"/>
        <v>44.137816598712355</v>
      </c>
      <c r="L135" s="49">
        <f t="shared" si="16"/>
        <v>44.140245251906578</v>
      </c>
      <c r="M135" s="49">
        <f t="shared" si="17"/>
        <v>44.142672229082379</v>
      </c>
      <c r="N135" s="49">
        <f t="shared" si="18"/>
        <v>21.296618784712354</v>
      </c>
      <c r="O135" s="49">
        <f t="shared" si="19"/>
        <v>21.262851254406584</v>
      </c>
      <c r="P135" s="49">
        <f t="shared" si="20"/>
        <v>21.229082048082379</v>
      </c>
      <c r="Q135" s="56">
        <f t="shared" si="21"/>
        <v>-3.3520368702966152E-6</v>
      </c>
      <c r="R135" s="56">
        <f t="shared" si="22"/>
        <v>-6.7533384593104984E-2</v>
      </c>
      <c r="S135" s="49">
        <f t="shared" si="23"/>
        <v>-1</v>
      </c>
      <c r="T135" s="49">
        <f t="shared" si="24"/>
        <v>21.296618784712354</v>
      </c>
      <c r="U135" s="49">
        <f t="shared" si="25"/>
        <v>21.229082048082379</v>
      </c>
      <c r="V135" s="41">
        <f t="shared" si="26"/>
        <v>1630.63831</v>
      </c>
    </row>
    <row r="136" spans="2:22" x14ac:dyDescent="0.45">
      <c r="B136" s="11">
        <v>19</v>
      </c>
      <c r="C136" s="11">
        <v>1</v>
      </c>
      <c r="D136" s="11">
        <v>19</v>
      </c>
      <c r="E136" s="41">
        <f t="shared" si="9"/>
        <v>1630.63831</v>
      </c>
      <c r="F136" s="41">
        <f t="shared" si="10"/>
        <v>1633.5003530000001</v>
      </c>
      <c r="G136" s="41">
        <f t="shared" si="11"/>
        <v>1632.0693315000001</v>
      </c>
      <c r="H136" s="49">
        <f t="shared" si="12"/>
        <v>22.913590181</v>
      </c>
      <c r="I136" s="49">
        <f t="shared" si="13"/>
        <v>23.059333089500001</v>
      </c>
      <c r="J136" s="49">
        <f t="shared" si="14"/>
        <v>23.205075998000002</v>
      </c>
      <c r="K136" s="49">
        <f t="shared" si="15"/>
        <v>44.142672229082379</v>
      </c>
      <c r="L136" s="49">
        <f t="shared" si="16"/>
        <v>44.149992385631954</v>
      </c>
      <c r="M136" s="49">
        <f t="shared" si="17"/>
        <v>44.157297252630215</v>
      </c>
      <c r="N136" s="49">
        <f t="shared" si="18"/>
        <v>21.229082048082379</v>
      </c>
      <c r="O136" s="49">
        <f t="shared" si="19"/>
        <v>21.090659296131953</v>
      </c>
      <c r="P136" s="49">
        <f t="shared" si="20"/>
        <v>20.952221254630214</v>
      </c>
      <c r="Q136" s="56">
        <f t="shared" si="21"/>
        <v>-3.0579102627825705E-5</v>
      </c>
      <c r="R136" s="56">
        <f t="shared" si="22"/>
        <v>-0.27683021434953758</v>
      </c>
      <c r="S136" s="49">
        <f t="shared" si="23"/>
        <v>-1</v>
      </c>
      <c r="T136" s="49">
        <f t="shared" si="24"/>
        <v>21.229082048082379</v>
      </c>
      <c r="U136" s="49">
        <f t="shared" si="25"/>
        <v>20.952221254630214</v>
      </c>
      <c r="V136" s="41">
        <f t="shared" si="26"/>
        <v>1633.5003530000001</v>
      </c>
    </row>
    <row r="137" spans="2:22" x14ac:dyDescent="0.45">
      <c r="B137" s="11">
        <v>20</v>
      </c>
      <c r="C137" s="11">
        <v>1</v>
      </c>
      <c r="D137" s="11">
        <v>20</v>
      </c>
      <c r="E137" s="41">
        <f t="shared" si="9"/>
        <v>1633.5003530000001</v>
      </c>
      <c r="F137" s="41">
        <f t="shared" si="10"/>
        <v>1634.4367750000001</v>
      </c>
      <c r="G137" s="41">
        <f t="shared" si="11"/>
        <v>1633.9685640000002</v>
      </c>
      <c r="H137" s="49">
        <f t="shared" si="12"/>
        <v>23.205075998000002</v>
      </c>
      <c r="I137" s="49">
        <f t="shared" si="13"/>
        <v>23.255795324000012</v>
      </c>
      <c r="J137" s="49">
        <f t="shared" si="14"/>
        <v>23.30651465</v>
      </c>
      <c r="K137" s="49">
        <f t="shared" si="15"/>
        <v>44.157297252630215</v>
      </c>
      <c r="L137" s="49">
        <f t="shared" si="16"/>
        <v>44.159683987276019</v>
      </c>
      <c r="M137" s="49">
        <f t="shared" si="17"/>
        <v>44.162069085159395</v>
      </c>
      <c r="N137" s="49">
        <f t="shared" si="18"/>
        <v>20.952221254630214</v>
      </c>
      <c r="O137" s="49">
        <f t="shared" si="19"/>
        <v>20.903888663276007</v>
      </c>
      <c r="P137" s="49">
        <f t="shared" si="20"/>
        <v>20.855554435159394</v>
      </c>
      <c r="Q137" s="56">
        <f t="shared" si="21"/>
        <v>-3.2735248112203408E-6</v>
      </c>
      <c r="R137" s="56">
        <f t="shared" si="22"/>
        <v>-9.6663545946007901E-2</v>
      </c>
      <c r="S137" s="49">
        <f t="shared" si="23"/>
        <v>-1</v>
      </c>
      <c r="T137" s="49">
        <f t="shared" si="24"/>
        <v>20.952221254630214</v>
      </c>
      <c r="U137" s="49">
        <f t="shared" si="25"/>
        <v>20.855554435159394</v>
      </c>
      <c r="V137" s="41">
        <f t="shared" si="26"/>
        <v>1634.4367750000001</v>
      </c>
    </row>
    <row r="138" spans="2:22" x14ac:dyDescent="0.45">
      <c r="B138" s="11">
        <v>21</v>
      </c>
      <c r="C138" s="11">
        <v>1</v>
      </c>
      <c r="D138" s="11">
        <v>21</v>
      </c>
      <c r="E138" s="41">
        <f t="shared" si="9"/>
        <v>1634.4367750000001</v>
      </c>
      <c r="F138" s="41">
        <f t="shared" si="10"/>
        <v>1635.014177</v>
      </c>
      <c r="G138" s="41">
        <f t="shared" si="11"/>
        <v>1634.7254760000001</v>
      </c>
      <c r="H138" s="49">
        <f t="shared" si="12"/>
        <v>23.30651465</v>
      </c>
      <c r="I138" s="49">
        <f t="shared" si="13"/>
        <v>23.358826196000003</v>
      </c>
      <c r="J138" s="49">
        <f t="shared" si="14"/>
        <v>23.411137742000001</v>
      </c>
      <c r="K138" s="49">
        <f t="shared" si="15"/>
        <v>44.162069085159395</v>
      </c>
      <c r="L138" s="49">
        <f t="shared" si="16"/>
        <v>44.163538931431624</v>
      </c>
      <c r="M138" s="49">
        <f t="shared" si="17"/>
        <v>44.165008155405012</v>
      </c>
      <c r="N138" s="49">
        <f t="shared" si="18"/>
        <v>20.855554435159394</v>
      </c>
      <c r="O138" s="49">
        <f t="shared" si="19"/>
        <v>20.804712735431622</v>
      </c>
      <c r="P138" s="49">
        <f t="shared" si="20"/>
        <v>20.753870413405011</v>
      </c>
      <c r="Q138" s="56">
        <f t="shared" si="21"/>
        <v>-1.2445976764752231E-6</v>
      </c>
      <c r="R138" s="56">
        <f t="shared" si="22"/>
        <v>-0.10168277715670726</v>
      </c>
      <c r="S138" s="49">
        <f t="shared" si="23"/>
        <v>-1</v>
      </c>
      <c r="T138" s="49">
        <f t="shared" si="24"/>
        <v>20.855554435159394</v>
      </c>
      <c r="U138" s="49">
        <f t="shared" si="25"/>
        <v>20.753870413405011</v>
      </c>
      <c r="V138" s="41">
        <f t="shared" si="26"/>
        <v>1635.014177</v>
      </c>
    </row>
    <row r="139" spans="2:22" x14ac:dyDescent="0.45">
      <c r="B139" s="11">
        <v>22</v>
      </c>
      <c r="C139" s="11">
        <v>1</v>
      </c>
      <c r="D139" s="11">
        <v>22</v>
      </c>
      <c r="E139" s="41">
        <f t="shared" si="9"/>
        <v>1635.014177</v>
      </c>
      <c r="F139" s="41">
        <f t="shared" si="10"/>
        <v>1638.829354</v>
      </c>
      <c r="G139" s="41">
        <f t="shared" si="11"/>
        <v>1636.9217655</v>
      </c>
      <c r="H139" s="49">
        <f t="shared" si="12"/>
        <v>23.411137742000001</v>
      </c>
      <c r="I139" s="49">
        <f t="shared" si="13"/>
        <v>23.761081769</v>
      </c>
      <c r="J139" s="49">
        <f t="shared" si="14"/>
        <v>24.111025796</v>
      </c>
      <c r="K139" s="49">
        <f t="shared" si="15"/>
        <v>44.165008155405012</v>
      </c>
      <c r="L139" s="49">
        <f t="shared" si="16"/>
        <v>44.174700395363821</v>
      </c>
      <c r="M139" s="49">
        <f t="shared" si="17"/>
        <v>44.184365466437669</v>
      </c>
      <c r="N139" s="49">
        <f t="shared" si="18"/>
        <v>20.753870413405011</v>
      </c>
      <c r="O139" s="49">
        <f t="shared" si="19"/>
        <v>20.413618626363821</v>
      </c>
      <c r="P139" s="49">
        <f t="shared" si="20"/>
        <v>20.073339670437669</v>
      </c>
      <c r="Q139" s="56">
        <f t="shared" si="21"/>
        <v>-5.4337769924472923E-5</v>
      </c>
      <c r="R139" s="56">
        <f t="shared" si="22"/>
        <v>-0.68047640519741748</v>
      </c>
      <c r="S139" s="49">
        <f t="shared" si="23"/>
        <v>-1</v>
      </c>
      <c r="T139" s="49">
        <f t="shared" si="24"/>
        <v>20.753870413405011</v>
      </c>
      <c r="U139" s="49">
        <f t="shared" si="25"/>
        <v>20.073339670437669</v>
      </c>
      <c r="V139" s="41">
        <f t="shared" si="26"/>
        <v>1638.829354</v>
      </c>
    </row>
    <row r="140" spans="2:22" x14ac:dyDescent="0.45">
      <c r="B140" s="11">
        <v>23</v>
      </c>
      <c r="C140" s="11">
        <v>1</v>
      </c>
      <c r="D140" s="11">
        <v>23</v>
      </c>
      <c r="E140" s="41">
        <f t="shared" si="9"/>
        <v>1638.829354</v>
      </c>
      <c r="F140" s="41">
        <f t="shared" si="10"/>
        <v>1642.153579</v>
      </c>
      <c r="G140" s="41">
        <f t="shared" si="11"/>
        <v>1640.4914665000001</v>
      </c>
      <c r="H140" s="49">
        <f t="shared" si="12"/>
        <v>24.111025796</v>
      </c>
      <c r="I140" s="49">
        <f t="shared" si="13"/>
        <v>24.348431819500018</v>
      </c>
      <c r="J140" s="49">
        <f t="shared" si="14"/>
        <v>24.585837843</v>
      </c>
      <c r="K140" s="49">
        <f t="shared" si="15"/>
        <v>44.184365466437669</v>
      </c>
      <c r="L140" s="49">
        <f t="shared" si="16"/>
        <v>44.192764648567398</v>
      </c>
      <c r="M140" s="49">
        <f t="shared" si="17"/>
        <v>44.201143204305708</v>
      </c>
      <c r="N140" s="49">
        <f t="shared" si="18"/>
        <v>20.073339670437669</v>
      </c>
      <c r="O140" s="49">
        <f t="shared" si="19"/>
        <v>19.84433282906738</v>
      </c>
      <c r="P140" s="49">
        <f t="shared" si="20"/>
        <v>19.615305361305708</v>
      </c>
      <c r="Q140" s="56">
        <f t="shared" si="21"/>
        <v>-4.1252782764900076E-5</v>
      </c>
      <c r="R140" s="56">
        <f t="shared" si="22"/>
        <v>-0.45799305634919563</v>
      </c>
      <c r="S140" s="49">
        <f t="shared" si="23"/>
        <v>-1</v>
      </c>
      <c r="T140" s="49">
        <f t="shared" si="24"/>
        <v>20.073339670437669</v>
      </c>
      <c r="U140" s="49">
        <f t="shared" si="25"/>
        <v>19.615305361305708</v>
      </c>
      <c r="V140" s="41">
        <f t="shared" si="26"/>
        <v>1642.153579</v>
      </c>
    </row>
    <row r="141" spans="2:22" x14ac:dyDescent="0.45">
      <c r="B141" s="11">
        <v>24</v>
      </c>
      <c r="C141" s="11">
        <v>1</v>
      </c>
      <c r="D141" s="11">
        <v>24</v>
      </c>
      <c r="E141" s="41">
        <f t="shared" si="9"/>
        <v>1642.153579</v>
      </c>
      <c r="F141" s="41">
        <f t="shared" si="10"/>
        <v>1643.974385</v>
      </c>
      <c r="G141" s="41">
        <f t="shared" si="11"/>
        <v>1643.0639820000001</v>
      </c>
      <c r="H141" s="49">
        <f t="shared" si="12"/>
        <v>24.585837843</v>
      </c>
      <c r="I141" s="49">
        <f t="shared" si="13"/>
        <v>24.709064673500016</v>
      </c>
      <c r="J141" s="49">
        <f t="shared" si="14"/>
        <v>24.832291504000001</v>
      </c>
      <c r="K141" s="49">
        <f t="shared" si="15"/>
        <v>44.201143204305708</v>
      </c>
      <c r="L141" s="49">
        <f t="shared" si="16"/>
        <v>44.205723718746682</v>
      </c>
      <c r="M141" s="49">
        <f t="shared" si="17"/>
        <v>44.210298044910111</v>
      </c>
      <c r="N141" s="49">
        <f t="shared" si="18"/>
        <v>19.615305361305708</v>
      </c>
      <c r="O141" s="49">
        <f t="shared" si="19"/>
        <v>19.496659045246666</v>
      </c>
      <c r="P141" s="49">
        <f t="shared" si="20"/>
        <v>19.378006540910111</v>
      </c>
      <c r="Q141" s="56">
        <f t="shared" si="21"/>
        <v>-1.2376555027060476E-5</v>
      </c>
      <c r="R141" s="56">
        <f t="shared" si="22"/>
        <v>-0.23728644384057063</v>
      </c>
      <c r="S141" s="49">
        <f t="shared" si="23"/>
        <v>-1</v>
      </c>
      <c r="T141" s="49">
        <f t="shared" si="24"/>
        <v>19.615305361305708</v>
      </c>
      <c r="U141" s="49">
        <f t="shared" si="25"/>
        <v>19.378006540910111</v>
      </c>
      <c r="V141" s="41">
        <f t="shared" si="26"/>
        <v>1643.974385</v>
      </c>
    </row>
    <row r="142" spans="2:22" x14ac:dyDescent="0.45">
      <c r="B142" s="11">
        <v>25</v>
      </c>
      <c r="C142" s="11">
        <v>1</v>
      </c>
      <c r="D142" s="11">
        <v>25</v>
      </c>
      <c r="E142" s="41">
        <f t="shared" si="9"/>
        <v>1643.974385</v>
      </c>
      <c r="F142" s="41">
        <f t="shared" si="10"/>
        <v>1644.522573</v>
      </c>
      <c r="G142" s="41">
        <f t="shared" si="11"/>
        <v>1644.2484789999999</v>
      </c>
      <c r="H142" s="49">
        <f t="shared" si="12"/>
        <v>24.832291504000001</v>
      </c>
      <c r="I142" s="49">
        <f t="shared" si="13"/>
        <v>24.841715317999995</v>
      </c>
      <c r="J142" s="49">
        <f t="shared" si="14"/>
        <v>24.851139132</v>
      </c>
      <c r="K142" s="49">
        <f t="shared" si="15"/>
        <v>44.210298044910111</v>
      </c>
      <c r="L142" s="49">
        <f t="shared" si="16"/>
        <v>44.211674020097597</v>
      </c>
      <c r="M142" s="49">
        <f t="shared" si="17"/>
        <v>44.213049434364365</v>
      </c>
      <c r="N142" s="49">
        <f t="shared" si="18"/>
        <v>19.378006540910111</v>
      </c>
      <c r="O142" s="49">
        <f t="shared" si="19"/>
        <v>19.369958702097602</v>
      </c>
      <c r="P142" s="49">
        <f t="shared" si="20"/>
        <v>19.361910302364365</v>
      </c>
      <c r="Q142" s="56">
        <f t="shared" si="21"/>
        <v>-1.1218414570635105E-6</v>
      </c>
      <c r="R142" s="56">
        <f t="shared" si="22"/>
        <v>-1.609511670428887E-2</v>
      </c>
      <c r="S142" s="49">
        <f t="shared" si="23"/>
        <v>-1</v>
      </c>
      <c r="T142" s="49">
        <f t="shared" si="24"/>
        <v>19.378006540910111</v>
      </c>
      <c r="U142" s="49">
        <f t="shared" si="25"/>
        <v>19.361910302364365</v>
      </c>
      <c r="V142" s="41">
        <f t="shared" si="26"/>
        <v>1644.522573</v>
      </c>
    </row>
    <row r="143" spans="2:22" x14ac:dyDescent="0.45">
      <c r="B143" s="11">
        <v>26</v>
      </c>
      <c r="C143" s="11">
        <v>1</v>
      </c>
      <c r="D143" s="11">
        <v>26</v>
      </c>
      <c r="E143" s="41">
        <f t="shared" si="9"/>
        <v>1644.522573</v>
      </c>
      <c r="F143" s="41">
        <f t="shared" si="10"/>
        <v>1645.4090269999999</v>
      </c>
      <c r="G143" s="41">
        <f t="shared" si="11"/>
        <v>1644.9657999999999</v>
      </c>
      <c r="H143" s="49">
        <f t="shared" si="12"/>
        <v>24.851139132</v>
      </c>
      <c r="I143" s="49">
        <f t="shared" si="13"/>
        <v>24.885302487000001</v>
      </c>
      <c r="J143" s="49">
        <f t="shared" si="14"/>
        <v>24.919465842000001</v>
      </c>
      <c r="K143" s="49">
        <f t="shared" si="15"/>
        <v>44.213049434364365</v>
      </c>
      <c r="L143" s="49">
        <f t="shared" si="16"/>
        <v>44.215272377655744</v>
      </c>
      <c r="M143" s="49">
        <f t="shared" si="17"/>
        <v>44.217493854201365</v>
      </c>
      <c r="N143" s="49">
        <f t="shared" si="18"/>
        <v>19.361910302364365</v>
      </c>
      <c r="O143" s="49">
        <f t="shared" si="19"/>
        <v>19.329969890655743</v>
      </c>
      <c r="P143" s="49">
        <f t="shared" si="20"/>
        <v>19.298028012201364</v>
      </c>
      <c r="Q143" s="56">
        <f t="shared" si="21"/>
        <v>-2.9334915154777264E-6</v>
      </c>
      <c r="R143" s="56">
        <f t="shared" si="22"/>
        <v>-6.3879356671485255E-2</v>
      </c>
      <c r="S143" s="49">
        <f t="shared" si="23"/>
        <v>-1</v>
      </c>
      <c r="T143" s="49">
        <f t="shared" si="24"/>
        <v>19.361910302364365</v>
      </c>
      <c r="U143" s="49">
        <f t="shared" si="25"/>
        <v>19.298028012201364</v>
      </c>
      <c r="V143" s="41">
        <f t="shared" si="26"/>
        <v>1645.4090269999999</v>
      </c>
    </row>
    <row r="144" spans="2:22" x14ac:dyDescent="0.45">
      <c r="B144" s="11">
        <v>27</v>
      </c>
      <c r="C144" s="11">
        <v>1</v>
      </c>
      <c r="D144" s="11">
        <v>27</v>
      </c>
      <c r="E144" s="41">
        <f t="shared" si="9"/>
        <v>1645.4090269999999</v>
      </c>
      <c r="F144" s="41">
        <f t="shared" si="10"/>
        <v>1645.6528350000001</v>
      </c>
      <c r="G144" s="41">
        <f t="shared" si="11"/>
        <v>1645.530931</v>
      </c>
      <c r="H144" s="49">
        <f t="shared" si="12"/>
        <v>24.919465842000001</v>
      </c>
      <c r="I144" s="49">
        <f t="shared" si="13"/>
        <v>24.893212791</v>
      </c>
      <c r="J144" s="49">
        <f t="shared" si="14"/>
        <v>24.866959739999999</v>
      </c>
      <c r="K144" s="49">
        <f t="shared" si="15"/>
        <v>44.217493854201365</v>
      </c>
      <c r="L144" s="49">
        <f t="shared" si="16"/>
        <v>44.21810458614479</v>
      </c>
      <c r="M144" s="49">
        <f t="shared" si="17"/>
        <v>44.218715207135396</v>
      </c>
      <c r="N144" s="49">
        <f t="shared" si="18"/>
        <v>19.298028012201364</v>
      </c>
      <c r="O144" s="49">
        <f t="shared" si="19"/>
        <v>19.32489179514479</v>
      </c>
      <c r="P144" s="49">
        <f t="shared" si="20"/>
        <v>19.351755467135398</v>
      </c>
      <c r="Q144" s="56">
        <f t="shared" si="21"/>
        <v>-2.2190563697677135E-7</v>
      </c>
      <c r="R144" s="56">
        <f t="shared" si="22"/>
        <v>5.3727676839670835E-2</v>
      </c>
      <c r="S144" s="49">
        <f t="shared" si="23"/>
        <v>-1</v>
      </c>
      <c r="T144" s="49">
        <f t="shared" si="24"/>
        <v>19.298028012201364</v>
      </c>
      <c r="U144" s="49">
        <f t="shared" si="25"/>
        <v>19.298028012201364</v>
      </c>
      <c r="V144" s="41">
        <f t="shared" si="26"/>
        <v>1645.4090269999999</v>
      </c>
    </row>
    <row r="145" spans="2:22" x14ac:dyDescent="0.45">
      <c r="B145" s="11">
        <v>28</v>
      </c>
      <c r="C145" s="11">
        <v>1</v>
      </c>
      <c r="D145" s="11">
        <v>28</v>
      </c>
      <c r="E145" s="41">
        <f t="shared" si="9"/>
        <v>1645.6528350000001</v>
      </c>
      <c r="F145" s="41">
        <f t="shared" si="10"/>
        <v>1645.9024300000001</v>
      </c>
      <c r="G145" s="41">
        <f t="shared" si="11"/>
        <v>1645.7776325</v>
      </c>
      <c r="H145" s="49">
        <f t="shared" si="12"/>
        <v>24.866959739999999</v>
      </c>
      <c r="I145" s="49">
        <f t="shared" si="13"/>
        <v>24.829400061000033</v>
      </c>
      <c r="J145" s="49">
        <f t="shared" si="14"/>
        <v>24.791840382</v>
      </c>
      <c r="K145" s="49">
        <f t="shared" si="15"/>
        <v>44.218715207135396</v>
      </c>
      <c r="L145" s="49">
        <f t="shared" si="16"/>
        <v>44.219340206824583</v>
      </c>
      <c r="M145" s="49">
        <f t="shared" si="17"/>
        <v>44.219965090231298</v>
      </c>
      <c r="N145" s="49">
        <f t="shared" si="18"/>
        <v>19.351755467135398</v>
      </c>
      <c r="O145" s="49">
        <f t="shared" si="19"/>
        <v>19.38994014582455</v>
      </c>
      <c r="P145" s="49">
        <f t="shared" si="20"/>
        <v>19.428124708231298</v>
      </c>
      <c r="Q145" s="56">
        <f t="shared" si="21"/>
        <v>-2.325648083001397E-7</v>
      </c>
      <c r="R145" s="56">
        <f t="shared" si="22"/>
        <v>7.6369473660708564E-2</v>
      </c>
      <c r="S145" s="49">
        <f t="shared" si="23"/>
        <v>-1</v>
      </c>
      <c r="T145" s="49">
        <f t="shared" si="24"/>
        <v>19.351755467135398</v>
      </c>
      <c r="U145" s="49">
        <f t="shared" si="25"/>
        <v>19.351755467135398</v>
      </c>
      <c r="V145" s="41">
        <f t="shared" si="26"/>
        <v>1645.6528350000001</v>
      </c>
    </row>
    <row r="146" spans="2:22" x14ac:dyDescent="0.45">
      <c r="B146" s="11">
        <v>29</v>
      </c>
      <c r="C146" s="11">
        <v>1</v>
      </c>
      <c r="D146" s="11">
        <v>29</v>
      </c>
      <c r="E146" s="41">
        <f t="shared" si="9"/>
        <v>1645.9024300000001</v>
      </c>
      <c r="F146" s="41">
        <f t="shared" si="10"/>
        <v>1646.182556</v>
      </c>
      <c r="G146" s="41">
        <f t="shared" si="11"/>
        <v>1646.0424929999999</v>
      </c>
      <c r="H146" s="49">
        <f t="shared" si="12"/>
        <v>24.791840382</v>
      </c>
      <c r="I146" s="49">
        <f t="shared" si="13"/>
        <v>24.744237794500037</v>
      </c>
      <c r="J146" s="49">
        <f t="shared" si="14"/>
        <v>24.696635207</v>
      </c>
      <c r="K146" s="49">
        <f t="shared" si="15"/>
        <v>44.219965090231298</v>
      </c>
      <c r="L146" s="49">
        <f t="shared" si="16"/>
        <v>44.220666272238979</v>
      </c>
      <c r="M146" s="49">
        <f t="shared" si="17"/>
        <v>44.221367307776475</v>
      </c>
      <c r="N146" s="49">
        <f t="shared" si="18"/>
        <v>19.428124708231298</v>
      </c>
      <c r="O146" s="49">
        <f t="shared" si="19"/>
        <v>19.476428477738942</v>
      </c>
      <c r="P146" s="49">
        <f t="shared" si="20"/>
        <v>19.524732100776475</v>
      </c>
      <c r="Q146" s="56">
        <f t="shared" si="21"/>
        <v>-2.9294022141357345E-7</v>
      </c>
      <c r="R146" s="56">
        <f t="shared" si="22"/>
        <v>9.6607685485398775E-2</v>
      </c>
      <c r="S146" s="49">
        <f t="shared" si="23"/>
        <v>-1</v>
      </c>
      <c r="T146" s="49">
        <f t="shared" si="24"/>
        <v>19.428124708231298</v>
      </c>
      <c r="U146" s="49">
        <f t="shared" si="25"/>
        <v>19.428124708231298</v>
      </c>
      <c r="V146" s="41">
        <f t="shared" si="26"/>
        <v>1645.9024300000001</v>
      </c>
    </row>
    <row r="147" spans="2:22" x14ac:dyDescent="0.45">
      <c r="B147" s="11">
        <v>30</v>
      </c>
      <c r="C147" s="11">
        <v>1</v>
      </c>
      <c r="D147" s="11">
        <v>30</v>
      </c>
      <c r="E147" s="41">
        <f t="shared" si="9"/>
        <v>1646.182556</v>
      </c>
      <c r="F147" s="41">
        <f t="shared" si="10"/>
        <v>1647.1871980000001</v>
      </c>
      <c r="G147" s="41">
        <f t="shared" si="11"/>
        <v>1646.6848770000001</v>
      </c>
      <c r="H147" s="49">
        <f t="shared" si="12"/>
        <v>24.696635207</v>
      </c>
      <c r="I147" s="49">
        <f t="shared" si="13"/>
        <v>24.729030394500008</v>
      </c>
      <c r="J147" s="49">
        <f t="shared" si="14"/>
        <v>24.761425582000001</v>
      </c>
      <c r="K147" s="49">
        <f t="shared" si="15"/>
        <v>44.221367307776475</v>
      </c>
      <c r="L147" s="49">
        <f t="shared" si="16"/>
        <v>44.223880292291668</v>
      </c>
      <c r="M147" s="49">
        <f t="shared" si="17"/>
        <v>44.226391392875435</v>
      </c>
      <c r="N147" s="49">
        <f t="shared" si="18"/>
        <v>19.524732100776475</v>
      </c>
      <c r="O147" s="49">
        <f t="shared" si="19"/>
        <v>19.49484989779166</v>
      </c>
      <c r="P147" s="49">
        <f t="shared" si="20"/>
        <v>19.464965810875434</v>
      </c>
      <c r="Q147" s="56">
        <f t="shared" si="21"/>
        <v>-3.7678628217463483E-6</v>
      </c>
      <c r="R147" s="56">
        <f t="shared" si="22"/>
        <v>-5.9762522038219856E-2</v>
      </c>
      <c r="S147" s="49">
        <f t="shared" si="23"/>
        <v>-1</v>
      </c>
      <c r="T147" s="49">
        <f t="shared" si="24"/>
        <v>19.524732100776475</v>
      </c>
      <c r="U147" s="49">
        <f t="shared" si="25"/>
        <v>19.464965810875434</v>
      </c>
      <c r="V147" s="41">
        <f t="shared" si="26"/>
        <v>1647.1871980000001</v>
      </c>
    </row>
    <row r="148" spans="2:22" x14ac:dyDescent="0.45">
      <c r="B148" s="11">
        <v>31</v>
      </c>
      <c r="C148" s="11">
        <v>1</v>
      </c>
      <c r="D148" s="11">
        <v>31</v>
      </c>
      <c r="E148" s="41">
        <f t="shared" si="9"/>
        <v>1647.1871980000001</v>
      </c>
      <c r="F148" s="41">
        <f t="shared" si="10"/>
        <v>1648.6920520000001</v>
      </c>
      <c r="G148" s="41">
        <f t="shared" si="11"/>
        <v>1647.939625</v>
      </c>
      <c r="H148" s="49">
        <f t="shared" si="12"/>
        <v>24.761425582000001</v>
      </c>
      <c r="I148" s="49">
        <f t="shared" si="13"/>
        <v>24.819127195499991</v>
      </c>
      <c r="J148" s="49">
        <f t="shared" si="14"/>
        <v>24.876828808999999</v>
      </c>
      <c r="K148" s="49">
        <f t="shared" si="15"/>
        <v>44.226391392875435</v>
      </c>
      <c r="L148" s="49">
        <f t="shared" si="16"/>
        <v>44.230149247844089</v>
      </c>
      <c r="M148" s="49">
        <f t="shared" si="17"/>
        <v>44.233902875823276</v>
      </c>
      <c r="N148" s="49">
        <f t="shared" si="18"/>
        <v>19.464965810875434</v>
      </c>
      <c r="O148" s="49">
        <f t="shared" si="19"/>
        <v>19.411022052344098</v>
      </c>
      <c r="P148" s="49">
        <f t="shared" si="20"/>
        <v>19.357074066823277</v>
      </c>
      <c r="Q148" s="56">
        <f t="shared" si="21"/>
        <v>-8.4539789710902369E-6</v>
      </c>
      <c r="R148" s="56">
        <f t="shared" si="22"/>
        <v>-0.10788329007318609</v>
      </c>
      <c r="S148" s="49">
        <f t="shared" si="23"/>
        <v>-1</v>
      </c>
      <c r="T148" s="49">
        <f t="shared" si="24"/>
        <v>19.464965810875434</v>
      </c>
      <c r="U148" s="49">
        <f t="shared" si="25"/>
        <v>19.357074066823277</v>
      </c>
      <c r="V148" s="41">
        <f t="shared" si="26"/>
        <v>1648.6920520000001</v>
      </c>
    </row>
    <row r="149" spans="2:22" x14ac:dyDescent="0.45">
      <c r="B149" s="11">
        <v>32</v>
      </c>
      <c r="C149" s="11">
        <v>1</v>
      </c>
      <c r="D149" s="11">
        <v>32</v>
      </c>
      <c r="E149" s="41">
        <f t="shared" si="9"/>
        <v>1648.6920520000001</v>
      </c>
      <c r="F149" s="41">
        <f t="shared" si="10"/>
        <v>1651.9986719999999</v>
      </c>
      <c r="G149" s="41">
        <f t="shared" si="11"/>
        <v>1650.345362</v>
      </c>
      <c r="H149" s="49">
        <f t="shared" si="12"/>
        <v>24.876828808999999</v>
      </c>
      <c r="I149" s="49">
        <f t="shared" si="13"/>
        <v>24.986220307</v>
      </c>
      <c r="J149" s="49">
        <f t="shared" si="14"/>
        <v>25.095611805000001</v>
      </c>
      <c r="K149" s="49">
        <f t="shared" si="15"/>
        <v>44.233902875823276</v>
      </c>
      <c r="L149" s="49">
        <f t="shared" si="16"/>
        <v>44.242135885085865</v>
      </c>
      <c r="M149" s="49">
        <f t="shared" si="17"/>
        <v>44.250348485852093</v>
      </c>
      <c r="N149" s="49">
        <f t="shared" si="18"/>
        <v>19.357074066823277</v>
      </c>
      <c r="O149" s="49">
        <f t="shared" si="19"/>
        <v>19.255915578085865</v>
      </c>
      <c r="P149" s="49">
        <f t="shared" si="20"/>
        <v>19.154736680852093</v>
      </c>
      <c r="Q149" s="56">
        <f t="shared" si="21"/>
        <v>-4.08169927226254E-5</v>
      </c>
      <c r="R149" s="56">
        <f t="shared" si="22"/>
        <v>-0.20229656897846127</v>
      </c>
      <c r="S149" s="49">
        <f t="shared" si="23"/>
        <v>-1</v>
      </c>
      <c r="T149" s="49">
        <f t="shared" si="24"/>
        <v>19.357074066823277</v>
      </c>
      <c r="U149" s="49">
        <f t="shared" si="25"/>
        <v>19.154736680852093</v>
      </c>
      <c r="V149" s="41">
        <f t="shared" si="26"/>
        <v>1651.9986719999999</v>
      </c>
    </row>
    <row r="150" spans="2:22" x14ac:dyDescent="0.45">
      <c r="B150" s="11">
        <v>33</v>
      </c>
      <c r="C150" s="11">
        <v>1</v>
      </c>
      <c r="D150" s="11">
        <v>33</v>
      </c>
      <c r="E150" s="41">
        <f t="shared" ref="E150:E170" si="27">MAX(E48,Sp1_Bm0)</f>
        <v>1651.9986719999999</v>
      </c>
      <c r="F150" s="41">
        <f t="shared" ref="F150:F170" si="28">MIN(F48,Sp1_Bm1)</f>
        <v>1654.23623</v>
      </c>
      <c r="G150" s="41">
        <f t="shared" ref="G150:G181" si="29">(E150+F150)/2</f>
        <v>1653.1174510000001</v>
      </c>
      <c r="H150" s="49">
        <f t="shared" ref="H150:H170" si="30">$G48+$H48*(E150-$E48)+$I48*(E150-$E48)^2</f>
        <v>25.095611805000001</v>
      </c>
      <c r="I150" s="49">
        <f t="shared" ref="I150:I170" si="31">$G48+$H48*(G150-$E48)+$I48*(G150-$E48)^2</f>
        <v>25.174375777000009</v>
      </c>
      <c r="J150" s="49">
        <f t="shared" ref="J150:J170" si="32">$G48+$H48*(F150-$E48)+$I48*(F150-$E48)^2</f>
        <v>25.253139748999999</v>
      </c>
      <c r="K150" s="49">
        <f t="shared" ref="K150:K170" si="33">(Sp1_ZA+(Sp1_ZB-Sp1_ZA)*((E150-Sp1_BrgA)/Sp1_Lb)-Sup_Drop+Sp1_C/3*((E150-Sp1_BrgA)/Sp1_Lb)*(1-((E150-Sp1_BrgA)/Sp1_Lb))+(MIN(Bm1_Raise,Bm2_Raise))/12)</f>
        <v>44.250348485852093</v>
      </c>
      <c r="L150" s="49">
        <f t="shared" ref="L150:L170" si="34">(Sp1_ZA+(Sp1_ZB-Sp1_ZA)*((G150-Sp1_BrgA)/Sp1_Lb)-Sup_Drop+Sp1_C/3*((G150-Sp1_BrgA)/Sp1_Lb)*(1-((G150-Sp1_BrgA)/Sp1_Lb))+(MIN(Bm1_Raise,Bm2_Raise))/12)</f>
        <v>44.255894296180713</v>
      </c>
      <c r="M150" s="49">
        <f t="shared" ref="M150:M170" si="35">(Sp1_ZA+(Sp1_ZB-Sp1_ZA)*((F150-Sp1_BrgA)/Sp1_Lb)-Sup_Drop+Sp1_C/3*((F150-Sp1_BrgA)/Sp1_Lb)*(1-((F150-Sp1_BrgA)/Sp1_Lb))+(MIN(Bm1_Raise,Bm2_Raise))/12)</f>
        <v>44.261430761256946</v>
      </c>
      <c r="N150" s="49">
        <f t="shared" ref="N150:N181" si="36">K150-H150</f>
        <v>19.154736680852093</v>
      </c>
      <c r="O150" s="49">
        <f t="shared" ref="O150:O181" si="37">L150-I150</f>
        <v>19.081518519180705</v>
      </c>
      <c r="P150" s="49">
        <f t="shared" ref="P150:P181" si="38">M150-J150</f>
        <v>19.008291012256947</v>
      </c>
      <c r="Q150" s="56">
        <f t="shared" ref="Q150:Q181" si="39">2*(P150-2*O150+N150)</f>
        <v>-1.8690504738572145E-5</v>
      </c>
      <c r="R150" s="56">
        <f t="shared" ref="R150:R181" si="40">P150-N150-Q150</f>
        <v>-0.14642697809040683</v>
      </c>
      <c r="S150" s="49">
        <f t="shared" ref="S150:S181" si="41">IF(Q150&gt;0.000000000001,-R150/(2*Q150),-1)</f>
        <v>-1</v>
      </c>
      <c r="T150" s="49">
        <f t="shared" ref="T150:T181" si="42">IF(AND(S150&gt;0,S150&lt;1),N150+R150*S150+Q150*S150^2,N150)</f>
        <v>19.154736680852093</v>
      </c>
      <c r="U150" s="49">
        <f t="shared" ref="U150:U181" si="43">IF(F150&gt;E150,MIN(N150,P150,T150),"")</f>
        <v>19.008291012256947</v>
      </c>
      <c r="V150" s="41">
        <f t="shared" ref="V150:V181" si="44">IF(U150="","",IF(U150=N150,E150,IF(U150=P150,F150,E150+(F150-E150)*S150)))</f>
        <v>1654.23623</v>
      </c>
    </row>
    <row r="151" spans="2:22" x14ac:dyDescent="0.45">
      <c r="B151" s="11">
        <v>34</v>
      </c>
      <c r="C151" s="11">
        <v>1</v>
      </c>
      <c r="D151" s="11">
        <v>34</v>
      </c>
      <c r="E151" s="41">
        <f t="shared" si="27"/>
        <v>1654.23623</v>
      </c>
      <c r="F151" s="41">
        <f t="shared" si="28"/>
        <v>1655.0768310000001</v>
      </c>
      <c r="G151" s="41">
        <f t="shared" si="29"/>
        <v>1654.6565304999999</v>
      </c>
      <c r="H151" s="49">
        <f t="shared" si="30"/>
        <v>25.253139748999999</v>
      </c>
      <c r="I151" s="49">
        <f t="shared" si="31"/>
        <v>25.268235297999993</v>
      </c>
      <c r="J151" s="49">
        <f t="shared" si="32"/>
        <v>25.283330846999998</v>
      </c>
      <c r="K151" s="49">
        <f t="shared" si="33"/>
        <v>44.261430761256946</v>
      </c>
      <c r="L151" s="49">
        <f t="shared" si="34"/>
        <v>44.263508273738161</v>
      </c>
      <c r="M151" s="49">
        <f t="shared" si="35"/>
        <v>44.26558446728788</v>
      </c>
      <c r="N151" s="49">
        <f t="shared" si="36"/>
        <v>19.008291012256947</v>
      </c>
      <c r="O151" s="49">
        <f t="shared" si="37"/>
        <v>18.995272975738168</v>
      </c>
      <c r="P151" s="49">
        <f t="shared" si="38"/>
        <v>18.982253620287882</v>
      </c>
      <c r="Q151" s="56">
        <f t="shared" si="39"/>
        <v>-2.6378630124668234E-6</v>
      </c>
      <c r="R151" s="56">
        <f t="shared" si="40"/>
        <v>-2.6034754106053271E-2</v>
      </c>
      <c r="S151" s="49">
        <f t="shared" si="41"/>
        <v>-1</v>
      </c>
      <c r="T151" s="49">
        <f t="shared" si="42"/>
        <v>19.008291012256947</v>
      </c>
      <c r="U151" s="49">
        <f t="shared" si="43"/>
        <v>18.982253620287882</v>
      </c>
      <c r="V151" s="41">
        <f t="shared" si="44"/>
        <v>1655.0768310000001</v>
      </c>
    </row>
    <row r="152" spans="2:22" x14ac:dyDescent="0.45">
      <c r="B152" s="11">
        <v>35</v>
      </c>
      <c r="C152" s="11">
        <v>1</v>
      </c>
      <c r="D152" s="11">
        <v>35</v>
      </c>
      <c r="E152" s="41">
        <f t="shared" si="27"/>
        <v>1655.0768310000001</v>
      </c>
      <c r="F152" s="41">
        <f t="shared" si="28"/>
        <v>1656.2511850000001</v>
      </c>
      <c r="G152" s="41">
        <f t="shared" si="29"/>
        <v>1655.6640080000002</v>
      </c>
      <c r="H152" s="49">
        <f t="shared" si="30"/>
        <v>25.283330846999998</v>
      </c>
      <c r="I152" s="49">
        <f t="shared" si="31"/>
        <v>25.310976832500007</v>
      </c>
      <c r="J152" s="49">
        <f t="shared" si="32"/>
        <v>25.338622818000001</v>
      </c>
      <c r="K152" s="49">
        <f t="shared" si="33"/>
        <v>44.26558446728788</v>
      </c>
      <c r="L152" s="49">
        <f t="shared" si="34"/>
        <v>44.268482786253209</v>
      </c>
      <c r="M152" s="49">
        <f t="shared" si="35"/>
        <v>44.27137853102915</v>
      </c>
      <c r="N152" s="49">
        <f t="shared" si="36"/>
        <v>18.982253620287882</v>
      </c>
      <c r="O152" s="49">
        <f t="shared" si="37"/>
        <v>18.957505953753202</v>
      </c>
      <c r="P152" s="49">
        <f t="shared" si="38"/>
        <v>18.932755713029149</v>
      </c>
      <c r="Q152" s="56">
        <f t="shared" si="39"/>
        <v>-5.148378747321658E-6</v>
      </c>
      <c r="R152" s="56">
        <f t="shared" si="40"/>
        <v>-4.9492758879985388E-2</v>
      </c>
      <c r="S152" s="49">
        <f t="shared" si="41"/>
        <v>-1</v>
      </c>
      <c r="T152" s="49">
        <f t="shared" si="42"/>
        <v>18.982253620287882</v>
      </c>
      <c r="U152" s="49">
        <f t="shared" si="43"/>
        <v>18.932755713029149</v>
      </c>
      <c r="V152" s="41">
        <f t="shared" si="44"/>
        <v>1656.2511850000001</v>
      </c>
    </row>
    <row r="153" spans="2:22" x14ac:dyDescent="0.45">
      <c r="B153" s="11">
        <v>36</v>
      </c>
      <c r="C153" s="11">
        <v>1</v>
      </c>
      <c r="D153" s="11">
        <v>36</v>
      </c>
      <c r="E153" s="41">
        <f t="shared" si="27"/>
        <v>1656.2511850000001</v>
      </c>
      <c r="F153" s="41">
        <f t="shared" si="28"/>
        <v>1656.421452</v>
      </c>
      <c r="G153" s="41">
        <f t="shared" si="29"/>
        <v>1656.3363185000001</v>
      </c>
      <c r="H153" s="49">
        <f t="shared" si="30"/>
        <v>25.338622818000001</v>
      </c>
      <c r="I153" s="49">
        <f t="shared" si="31"/>
        <v>25.336364598500001</v>
      </c>
      <c r="J153" s="49">
        <f t="shared" si="32"/>
        <v>25.334106379000001</v>
      </c>
      <c r="K153" s="49">
        <f t="shared" si="33"/>
        <v>44.27137853102915</v>
      </c>
      <c r="L153" s="49">
        <f t="shared" si="34"/>
        <v>44.27179816501684</v>
      </c>
      <c r="M153" s="49">
        <f t="shared" si="35"/>
        <v>44.2722177448913</v>
      </c>
      <c r="N153" s="49">
        <f t="shared" si="36"/>
        <v>18.932755713029149</v>
      </c>
      <c r="O153" s="49">
        <f t="shared" si="37"/>
        <v>18.935433566516839</v>
      </c>
      <c r="P153" s="49">
        <f t="shared" si="38"/>
        <v>18.938111365891299</v>
      </c>
      <c r="Q153" s="56">
        <f t="shared" si="39"/>
        <v>-1.0822645890584681E-7</v>
      </c>
      <c r="R153" s="56">
        <f t="shared" si="40"/>
        <v>5.3557610886088014E-3</v>
      </c>
      <c r="S153" s="49">
        <f t="shared" si="41"/>
        <v>-1</v>
      </c>
      <c r="T153" s="49">
        <f t="shared" si="42"/>
        <v>18.932755713029149</v>
      </c>
      <c r="U153" s="49">
        <f t="shared" si="43"/>
        <v>18.932755713029149</v>
      </c>
      <c r="V153" s="41">
        <f t="shared" si="44"/>
        <v>1656.2511850000001</v>
      </c>
    </row>
    <row r="154" spans="2:22" x14ac:dyDescent="0.45">
      <c r="B154" s="11">
        <v>37</v>
      </c>
      <c r="C154" s="11">
        <v>1</v>
      </c>
      <c r="D154" s="11">
        <v>37</v>
      </c>
      <c r="E154" s="41">
        <f t="shared" si="27"/>
        <v>1656.421452</v>
      </c>
      <c r="F154" s="41">
        <f t="shared" si="28"/>
        <v>1656.565145</v>
      </c>
      <c r="G154" s="41">
        <f t="shared" si="29"/>
        <v>1656.4932985</v>
      </c>
      <c r="H154" s="49">
        <f t="shared" si="30"/>
        <v>25.334106379000001</v>
      </c>
      <c r="I154" s="49">
        <f t="shared" si="31"/>
        <v>25.340196630500003</v>
      </c>
      <c r="J154" s="49">
        <f t="shared" si="32"/>
        <v>25.346286882000001</v>
      </c>
      <c r="K154" s="49">
        <f t="shared" si="33"/>
        <v>44.2722177448913</v>
      </c>
      <c r="L154" s="49">
        <f t="shared" si="34"/>
        <v>44.272571797772919</v>
      </c>
      <c r="M154" s="49">
        <f t="shared" si="35"/>
        <v>44.27292581211438</v>
      </c>
      <c r="N154" s="49">
        <f t="shared" si="36"/>
        <v>18.938111365891299</v>
      </c>
      <c r="O154" s="49">
        <f t="shared" si="37"/>
        <v>18.932375167272916</v>
      </c>
      <c r="P154" s="49">
        <f t="shared" si="38"/>
        <v>18.926638930114379</v>
      </c>
      <c r="Q154" s="56">
        <f t="shared" si="39"/>
        <v>-7.7080308358290495E-8</v>
      </c>
      <c r="R154" s="56">
        <f t="shared" si="40"/>
        <v>-1.1472358696611451E-2</v>
      </c>
      <c r="S154" s="49">
        <f t="shared" si="41"/>
        <v>-1</v>
      </c>
      <c r="T154" s="49">
        <f t="shared" si="42"/>
        <v>18.938111365891299</v>
      </c>
      <c r="U154" s="49">
        <f t="shared" si="43"/>
        <v>18.926638930114379</v>
      </c>
      <c r="V154" s="41">
        <f t="shared" si="44"/>
        <v>1656.565145</v>
      </c>
    </row>
    <row r="155" spans="2:22" x14ac:dyDescent="0.45">
      <c r="B155" s="11">
        <v>38</v>
      </c>
      <c r="C155" s="11">
        <v>1</v>
      </c>
      <c r="D155" s="11">
        <v>38</v>
      </c>
      <c r="E155" s="41">
        <f t="shared" si="27"/>
        <v>1656.565145</v>
      </c>
      <c r="F155" s="41">
        <f t="shared" si="28"/>
        <v>1662.215653</v>
      </c>
      <c r="G155" s="41">
        <f t="shared" si="29"/>
        <v>1659.3903989999999</v>
      </c>
      <c r="H155" s="49">
        <f t="shared" si="30"/>
        <v>25.346286882000001</v>
      </c>
      <c r="I155" s="49">
        <f t="shared" si="31"/>
        <v>25.402658893499996</v>
      </c>
      <c r="J155" s="49">
        <f t="shared" si="32"/>
        <v>25.459030904999999</v>
      </c>
      <c r="K155" s="49">
        <f t="shared" si="33"/>
        <v>44.27292581211438</v>
      </c>
      <c r="L155" s="49">
        <f t="shared" si="34"/>
        <v>44.286816330202598</v>
      </c>
      <c r="M155" s="49">
        <f t="shared" si="35"/>
        <v>44.30064725224841</v>
      </c>
      <c r="N155" s="49">
        <f t="shared" si="36"/>
        <v>18.926638930114379</v>
      </c>
      <c r="O155" s="49">
        <f t="shared" si="37"/>
        <v>18.884157436702601</v>
      </c>
      <c r="P155" s="49">
        <f t="shared" si="38"/>
        <v>18.841616347248412</v>
      </c>
      <c r="Q155" s="56">
        <f t="shared" si="39"/>
        <v>-1.1919208482424892E-4</v>
      </c>
      <c r="R155" s="56">
        <f t="shared" si="40"/>
        <v>-8.4903390781143173E-2</v>
      </c>
      <c r="S155" s="49">
        <f t="shared" si="41"/>
        <v>-1</v>
      </c>
      <c r="T155" s="49">
        <f t="shared" si="42"/>
        <v>18.926638930114379</v>
      </c>
      <c r="U155" s="49">
        <f t="shared" si="43"/>
        <v>18.841616347248412</v>
      </c>
      <c r="V155" s="41">
        <f t="shared" si="44"/>
        <v>1662.215653</v>
      </c>
    </row>
    <row r="156" spans="2:22" x14ac:dyDescent="0.45">
      <c r="B156" s="11">
        <v>39</v>
      </c>
      <c r="C156" s="11">
        <v>1</v>
      </c>
      <c r="D156" s="11">
        <v>39</v>
      </c>
      <c r="E156" s="41">
        <f t="shared" si="27"/>
        <v>1662.215653</v>
      </c>
      <c r="F156" s="41">
        <f t="shared" si="28"/>
        <v>1664.04944</v>
      </c>
      <c r="G156" s="41">
        <f t="shared" si="29"/>
        <v>1663.1325465</v>
      </c>
      <c r="H156" s="49">
        <f t="shared" si="30"/>
        <v>25.459030904999999</v>
      </c>
      <c r="I156" s="49">
        <f t="shared" si="31"/>
        <v>25.4792673585</v>
      </c>
      <c r="J156" s="49">
        <f t="shared" si="32"/>
        <v>25.499503812</v>
      </c>
      <c r="K156" s="49">
        <f t="shared" si="33"/>
        <v>44.30064725224841</v>
      </c>
      <c r="L156" s="49">
        <f t="shared" si="34"/>
        <v>44.305123060120728</v>
      </c>
      <c r="M156" s="49">
        <f t="shared" si="35"/>
        <v>44.309592591165277</v>
      </c>
      <c r="N156" s="49">
        <f t="shared" si="36"/>
        <v>18.841616347248412</v>
      </c>
      <c r="O156" s="49">
        <f t="shared" si="37"/>
        <v>18.825855701620728</v>
      </c>
      <c r="P156" s="49">
        <f t="shared" si="38"/>
        <v>18.810088779165277</v>
      </c>
      <c r="Q156" s="56">
        <f t="shared" si="39"/>
        <v>-1.2553655537317354E-5</v>
      </c>
      <c r="R156" s="56">
        <f t="shared" si="40"/>
        <v>-3.1515014427597521E-2</v>
      </c>
      <c r="S156" s="49">
        <f t="shared" si="41"/>
        <v>-1</v>
      </c>
      <c r="T156" s="49">
        <f t="shared" si="42"/>
        <v>18.841616347248412</v>
      </c>
      <c r="U156" s="49">
        <f t="shared" si="43"/>
        <v>18.810088779165277</v>
      </c>
      <c r="V156" s="41">
        <f t="shared" si="44"/>
        <v>1664.04944</v>
      </c>
    </row>
    <row r="157" spans="2:22" x14ac:dyDescent="0.45">
      <c r="B157" s="11">
        <v>40</v>
      </c>
      <c r="C157" s="11">
        <v>1</v>
      </c>
      <c r="D157" s="11">
        <v>40</v>
      </c>
      <c r="E157" s="41">
        <f t="shared" si="27"/>
        <v>1664.04944</v>
      </c>
      <c r="F157" s="41">
        <f t="shared" si="28"/>
        <v>1667.768448</v>
      </c>
      <c r="G157" s="41">
        <f t="shared" si="29"/>
        <v>1665.908944</v>
      </c>
      <c r="H157" s="49">
        <f t="shared" si="30"/>
        <v>25.499503812</v>
      </c>
      <c r="I157" s="49">
        <f t="shared" si="31"/>
        <v>25.5354871505</v>
      </c>
      <c r="J157" s="49">
        <f t="shared" si="32"/>
        <v>25.571470488999999</v>
      </c>
      <c r="K157" s="49">
        <f t="shared" si="33"/>
        <v>44.309592591165277</v>
      </c>
      <c r="L157" s="49">
        <f t="shared" si="34"/>
        <v>44.318637741437406</v>
      </c>
      <c r="M157" s="49">
        <f t="shared" si="35"/>
        <v>44.327657075251516</v>
      </c>
      <c r="N157" s="49">
        <f t="shared" si="36"/>
        <v>18.810088779165277</v>
      </c>
      <c r="O157" s="49">
        <f t="shared" si="37"/>
        <v>18.783150590937407</v>
      </c>
      <c r="P157" s="49">
        <f t="shared" si="38"/>
        <v>18.756186586251516</v>
      </c>
      <c r="Q157" s="56">
        <f t="shared" si="39"/>
        <v>-5.1632916040489363E-5</v>
      </c>
      <c r="R157" s="56">
        <f t="shared" si="40"/>
        <v>-5.3850559997719927E-2</v>
      </c>
      <c r="S157" s="49">
        <f t="shared" si="41"/>
        <v>-1</v>
      </c>
      <c r="T157" s="49">
        <f t="shared" si="42"/>
        <v>18.810088779165277</v>
      </c>
      <c r="U157" s="49">
        <f t="shared" si="43"/>
        <v>18.756186586251516</v>
      </c>
      <c r="V157" s="41">
        <f t="shared" si="44"/>
        <v>1667.768448</v>
      </c>
    </row>
    <row r="158" spans="2:22" x14ac:dyDescent="0.45">
      <c r="B158" s="11">
        <v>41</v>
      </c>
      <c r="C158" s="11">
        <v>1</v>
      </c>
      <c r="D158" s="11">
        <v>41</v>
      </c>
      <c r="E158" s="41">
        <f t="shared" si="27"/>
        <v>1667.768448</v>
      </c>
      <c r="F158" s="41">
        <f t="shared" si="28"/>
        <v>1672.427203</v>
      </c>
      <c r="G158" s="41">
        <f t="shared" si="29"/>
        <v>1670.0978255</v>
      </c>
      <c r="H158" s="49">
        <f t="shared" si="30"/>
        <v>25.571470488999999</v>
      </c>
      <c r="I158" s="49">
        <f t="shared" si="31"/>
        <v>25.583053581000001</v>
      </c>
      <c r="J158" s="49">
        <f t="shared" si="32"/>
        <v>25.594636673</v>
      </c>
      <c r="K158" s="49">
        <f t="shared" si="33"/>
        <v>44.327657075251516</v>
      </c>
      <c r="L158" s="49">
        <f t="shared" si="34"/>
        <v>44.338919056473998</v>
      </c>
      <c r="M158" s="49">
        <f t="shared" si="35"/>
        <v>44.350140525837141</v>
      </c>
      <c r="N158" s="49">
        <f t="shared" si="36"/>
        <v>18.756186586251516</v>
      </c>
      <c r="O158" s="49">
        <f t="shared" si="37"/>
        <v>18.755865475473996</v>
      </c>
      <c r="P158" s="49">
        <f t="shared" si="38"/>
        <v>18.75550385283714</v>
      </c>
      <c r="Q158" s="56">
        <f t="shared" si="39"/>
        <v>-8.1023718671247025E-5</v>
      </c>
      <c r="R158" s="56">
        <f t="shared" si="40"/>
        <v>-6.0170969570449984E-4</v>
      </c>
      <c r="S158" s="49">
        <f t="shared" si="41"/>
        <v>-1</v>
      </c>
      <c r="T158" s="49">
        <f t="shared" si="42"/>
        <v>18.756186586251516</v>
      </c>
      <c r="U158" s="49">
        <f t="shared" si="43"/>
        <v>18.75550385283714</v>
      </c>
      <c r="V158" s="41">
        <f t="shared" si="44"/>
        <v>1672.427203</v>
      </c>
    </row>
    <row r="159" spans="2:22" x14ac:dyDescent="0.45">
      <c r="B159" s="11">
        <v>42</v>
      </c>
      <c r="C159" s="11">
        <v>1</v>
      </c>
      <c r="D159" s="11">
        <v>42</v>
      </c>
      <c r="E159" s="41">
        <f t="shared" si="27"/>
        <v>1672.427203</v>
      </c>
      <c r="F159" s="41">
        <f t="shared" si="28"/>
        <v>1679.7638529999999</v>
      </c>
      <c r="G159" s="41">
        <f t="shared" si="29"/>
        <v>1676.0955279999998</v>
      </c>
      <c r="H159" s="49">
        <f t="shared" si="30"/>
        <v>25.594636673</v>
      </c>
      <c r="I159" s="49">
        <f t="shared" si="31"/>
        <v>25.632322006999999</v>
      </c>
      <c r="J159" s="49">
        <f t="shared" si="32"/>
        <v>25.670007341000002</v>
      </c>
      <c r="K159" s="49">
        <f t="shared" si="33"/>
        <v>44.350140525837141</v>
      </c>
      <c r="L159" s="49">
        <f t="shared" si="34"/>
        <v>44.36773006405059</v>
      </c>
      <c r="M159" s="49">
        <f t="shared" si="35"/>
        <v>44.38521913188638</v>
      </c>
      <c r="N159" s="49">
        <f t="shared" si="36"/>
        <v>18.75550385283714</v>
      </c>
      <c r="O159" s="49">
        <f t="shared" si="37"/>
        <v>18.735408057050591</v>
      </c>
      <c r="P159" s="49">
        <f t="shared" si="38"/>
        <v>18.715211790886379</v>
      </c>
      <c r="Q159" s="56">
        <f t="shared" si="39"/>
        <v>-2.0094075532739453E-4</v>
      </c>
      <c r="R159" s="56">
        <f t="shared" si="40"/>
        <v>-4.0091121195434454E-2</v>
      </c>
      <c r="S159" s="49">
        <f t="shared" si="41"/>
        <v>-1</v>
      </c>
      <c r="T159" s="49">
        <f t="shared" si="42"/>
        <v>18.75550385283714</v>
      </c>
      <c r="U159" s="49">
        <f t="shared" si="43"/>
        <v>18.715211790886379</v>
      </c>
      <c r="V159" s="41">
        <f t="shared" si="44"/>
        <v>1679.7638529999999</v>
      </c>
    </row>
    <row r="160" spans="2:22" x14ac:dyDescent="0.45">
      <c r="B160" s="11">
        <v>43</v>
      </c>
      <c r="C160" s="11">
        <v>1</v>
      </c>
      <c r="D160" s="11">
        <v>43</v>
      </c>
      <c r="E160" s="41">
        <f t="shared" si="27"/>
        <v>1679.7638529999999</v>
      </c>
      <c r="F160" s="41">
        <f t="shared" si="28"/>
        <v>1687.188568</v>
      </c>
      <c r="G160" s="41">
        <f t="shared" si="29"/>
        <v>1683.4762105</v>
      </c>
      <c r="H160" s="49">
        <f t="shared" si="30"/>
        <v>25.670007341000002</v>
      </c>
      <c r="I160" s="49">
        <f t="shared" si="31"/>
        <v>25.767838051999998</v>
      </c>
      <c r="J160" s="49">
        <f t="shared" si="32"/>
        <v>25.865668762999999</v>
      </c>
      <c r="K160" s="49">
        <f t="shared" si="33"/>
        <v>44.38521913188638</v>
      </c>
      <c r="L160" s="49">
        <f t="shared" si="34"/>
        <v>44.402815842007705</v>
      </c>
      <c r="M160" s="49">
        <f t="shared" si="35"/>
        <v>44.420309655296094</v>
      </c>
      <c r="N160" s="49">
        <f t="shared" si="36"/>
        <v>18.715211790886379</v>
      </c>
      <c r="O160" s="49">
        <f t="shared" si="37"/>
        <v>18.634977790007706</v>
      </c>
      <c r="P160" s="49">
        <f t="shared" si="38"/>
        <v>18.554640892296096</v>
      </c>
      <c r="Q160" s="56">
        <f t="shared" si="39"/>
        <v>-2.057936658772519E-4</v>
      </c>
      <c r="R160" s="56">
        <f t="shared" si="40"/>
        <v>-0.1603651049244057</v>
      </c>
      <c r="S160" s="49">
        <f t="shared" si="41"/>
        <v>-1</v>
      </c>
      <c r="T160" s="49">
        <f t="shared" si="42"/>
        <v>18.715211790886379</v>
      </c>
      <c r="U160" s="49">
        <f t="shared" si="43"/>
        <v>18.554640892296096</v>
      </c>
      <c r="V160" s="41">
        <f t="shared" si="44"/>
        <v>1687.188568</v>
      </c>
    </row>
    <row r="161" spans="2:22" x14ac:dyDescent="0.45">
      <c r="B161" s="11">
        <v>44</v>
      </c>
      <c r="C161" s="11">
        <v>1</v>
      </c>
      <c r="D161" s="11">
        <v>44</v>
      </c>
      <c r="E161" s="41">
        <f t="shared" si="27"/>
        <v>1687.188568</v>
      </c>
      <c r="F161" s="41">
        <f t="shared" si="28"/>
        <v>1691.760158</v>
      </c>
      <c r="G161" s="41">
        <f t="shared" si="29"/>
        <v>1689.474363</v>
      </c>
      <c r="H161" s="49">
        <f t="shared" si="30"/>
        <v>25.865668762999999</v>
      </c>
      <c r="I161" s="49">
        <f t="shared" si="31"/>
        <v>25.885148130499999</v>
      </c>
      <c r="J161" s="49">
        <f t="shared" si="32"/>
        <v>25.904627498</v>
      </c>
      <c r="K161" s="49">
        <f t="shared" si="33"/>
        <v>44.420309655296094</v>
      </c>
      <c r="L161" s="49">
        <f t="shared" si="34"/>
        <v>44.431029867643005</v>
      </c>
      <c r="M161" s="49">
        <f t="shared" si="35"/>
        <v>44.44171106989738</v>
      </c>
      <c r="N161" s="49">
        <f t="shared" si="36"/>
        <v>18.554640892296096</v>
      </c>
      <c r="O161" s="49">
        <f t="shared" si="37"/>
        <v>18.545881737143006</v>
      </c>
      <c r="P161" s="49">
        <f t="shared" si="38"/>
        <v>18.53708357189738</v>
      </c>
      <c r="Q161" s="56">
        <f t="shared" si="39"/>
        <v>-7.8020185071636661E-5</v>
      </c>
      <c r="R161" s="56">
        <f t="shared" si="40"/>
        <v>-1.7479300213643967E-2</v>
      </c>
      <c r="S161" s="49">
        <f t="shared" si="41"/>
        <v>-1</v>
      </c>
      <c r="T161" s="49">
        <f t="shared" si="42"/>
        <v>18.554640892296096</v>
      </c>
      <c r="U161" s="49">
        <f t="shared" si="43"/>
        <v>18.53708357189738</v>
      </c>
      <c r="V161" s="41">
        <f t="shared" si="44"/>
        <v>1691.760158</v>
      </c>
    </row>
    <row r="162" spans="2:22" x14ac:dyDescent="0.45">
      <c r="B162" s="11">
        <v>45</v>
      </c>
      <c r="C162" s="11">
        <v>1</v>
      </c>
      <c r="D162" s="11">
        <v>45</v>
      </c>
      <c r="E162" s="41">
        <f t="shared" si="27"/>
        <v>1691.760158</v>
      </c>
      <c r="F162" s="41">
        <f t="shared" si="28"/>
        <v>1691.9467710000001</v>
      </c>
      <c r="G162" s="41">
        <f t="shared" si="29"/>
        <v>1691.8534645</v>
      </c>
      <c r="H162" s="49">
        <f t="shared" si="30"/>
        <v>25.904627498</v>
      </c>
      <c r="I162" s="49">
        <f t="shared" si="31"/>
        <v>25.907107057499996</v>
      </c>
      <c r="J162" s="49">
        <f t="shared" si="32"/>
        <v>25.909586616999999</v>
      </c>
      <c r="K162" s="49">
        <f t="shared" si="33"/>
        <v>44.44171106989738</v>
      </c>
      <c r="L162" s="49">
        <f t="shared" si="34"/>
        <v>44.442146249500105</v>
      </c>
      <c r="M162" s="49">
        <f t="shared" si="35"/>
        <v>44.442581364100903</v>
      </c>
      <c r="N162" s="49">
        <f t="shared" si="36"/>
        <v>18.53708357189738</v>
      </c>
      <c r="O162" s="49">
        <f t="shared" si="37"/>
        <v>18.535039192000109</v>
      </c>
      <c r="P162" s="49">
        <f t="shared" si="38"/>
        <v>18.532994747100904</v>
      </c>
      <c r="Q162" s="56">
        <f t="shared" si="39"/>
        <v>-1.3000386900330341E-7</v>
      </c>
      <c r="R162" s="56">
        <f t="shared" si="40"/>
        <v>-4.0886947926068729E-3</v>
      </c>
      <c r="S162" s="49">
        <f t="shared" si="41"/>
        <v>-1</v>
      </c>
      <c r="T162" s="49">
        <f t="shared" si="42"/>
        <v>18.53708357189738</v>
      </c>
      <c r="U162" s="49">
        <f t="shared" si="43"/>
        <v>18.532994747100904</v>
      </c>
      <c r="V162" s="41">
        <f t="shared" si="44"/>
        <v>1691.9467710000001</v>
      </c>
    </row>
    <row r="163" spans="2:22" x14ac:dyDescent="0.45">
      <c r="B163" s="11">
        <v>46</v>
      </c>
      <c r="C163" s="11">
        <v>1</v>
      </c>
      <c r="D163" s="11">
        <v>46</v>
      </c>
      <c r="E163" s="41">
        <f t="shared" si="27"/>
        <v>1691.9467710000001</v>
      </c>
      <c r="F163" s="41">
        <f t="shared" si="28"/>
        <v>1692.239364</v>
      </c>
      <c r="G163" s="41">
        <f t="shared" si="29"/>
        <v>1692.0930675</v>
      </c>
      <c r="H163" s="49">
        <f t="shared" si="30"/>
        <v>25.909586616999999</v>
      </c>
      <c r="I163" s="49">
        <f t="shared" si="31"/>
        <v>25.927223697499986</v>
      </c>
      <c r="J163" s="49">
        <f t="shared" si="32"/>
        <v>25.944860777999999</v>
      </c>
      <c r="K163" s="49">
        <f t="shared" si="33"/>
        <v>44.442581364100903</v>
      </c>
      <c r="L163" s="49">
        <f t="shared" si="34"/>
        <v>44.443263455202178</v>
      </c>
      <c r="M163" s="49">
        <f t="shared" si="35"/>
        <v>44.443945386505831</v>
      </c>
      <c r="N163" s="49">
        <f t="shared" si="36"/>
        <v>18.532994747100904</v>
      </c>
      <c r="O163" s="49">
        <f t="shared" si="37"/>
        <v>18.516039757702192</v>
      </c>
      <c r="P163" s="49">
        <f t="shared" si="38"/>
        <v>18.499084608505832</v>
      </c>
      <c r="Q163" s="56">
        <f t="shared" si="39"/>
        <v>-3.1959529422920241E-7</v>
      </c>
      <c r="R163" s="56">
        <f t="shared" si="40"/>
        <v>-3.3909818999777741E-2</v>
      </c>
      <c r="S163" s="49">
        <f t="shared" si="41"/>
        <v>-1</v>
      </c>
      <c r="T163" s="49">
        <f t="shared" si="42"/>
        <v>18.532994747100904</v>
      </c>
      <c r="U163" s="49">
        <f t="shared" si="43"/>
        <v>18.499084608505832</v>
      </c>
      <c r="V163" s="41">
        <f t="shared" si="44"/>
        <v>1692.239364</v>
      </c>
    </row>
    <row r="164" spans="2:22" x14ac:dyDescent="0.45">
      <c r="B164" s="11">
        <v>47</v>
      </c>
      <c r="C164" s="11">
        <v>1</v>
      </c>
      <c r="D164" s="11">
        <v>47</v>
      </c>
      <c r="E164" s="41">
        <f t="shared" si="27"/>
        <v>1692.239364</v>
      </c>
      <c r="F164" s="41">
        <f t="shared" si="28"/>
        <v>1692.6380790000001</v>
      </c>
      <c r="G164" s="41">
        <f t="shared" si="29"/>
        <v>1692.4387215000002</v>
      </c>
      <c r="H164" s="49">
        <f t="shared" si="30"/>
        <v>25.944860777999999</v>
      </c>
      <c r="I164" s="49">
        <f t="shared" si="31"/>
        <v>25.955471906500005</v>
      </c>
      <c r="J164" s="49">
        <f t="shared" si="32"/>
        <v>25.966083035</v>
      </c>
      <c r="K164" s="49">
        <f t="shared" si="33"/>
        <v>44.443945386505831</v>
      </c>
      <c r="L164" s="49">
        <f t="shared" si="34"/>
        <v>44.444874393596599</v>
      </c>
      <c r="M164" s="49">
        <f t="shared" si="35"/>
        <v>44.445803103953196</v>
      </c>
      <c r="N164" s="49">
        <f t="shared" si="36"/>
        <v>18.499084608505832</v>
      </c>
      <c r="O164" s="49">
        <f t="shared" si="37"/>
        <v>18.489402487096594</v>
      </c>
      <c r="P164" s="49">
        <f t="shared" si="38"/>
        <v>18.479720068953196</v>
      </c>
      <c r="Q164" s="56">
        <f t="shared" si="39"/>
        <v>-5.9346832159690166E-7</v>
      </c>
      <c r="R164" s="56">
        <f t="shared" si="40"/>
        <v>-1.9363946084315131E-2</v>
      </c>
      <c r="S164" s="49">
        <f t="shared" si="41"/>
        <v>-1</v>
      </c>
      <c r="T164" s="49">
        <f t="shared" si="42"/>
        <v>18.499084608505832</v>
      </c>
      <c r="U164" s="49">
        <f t="shared" si="43"/>
        <v>18.479720068953196</v>
      </c>
      <c r="V164" s="41">
        <f t="shared" si="44"/>
        <v>1692.6380790000001</v>
      </c>
    </row>
    <row r="165" spans="2:22" x14ac:dyDescent="0.45">
      <c r="B165" s="11">
        <v>48</v>
      </c>
      <c r="C165" s="11">
        <v>1</v>
      </c>
      <c r="D165" s="11">
        <v>48</v>
      </c>
      <c r="E165" s="41">
        <f t="shared" si="27"/>
        <v>1692.6380790000001</v>
      </c>
      <c r="F165" s="41">
        <f t="shared" si="28"/>
        <v>1694.165878</v>
      </c>
      <c r="G165" s="41">
        <f t="shared" si="29"/>
        <v>1693.4019785</v>
      </c>
      <c r="H165" s="49">
        <f t="shared" si="30"/>
        <v>25.966083035</v>
      </c>
      <c r="I165" s="49">
        <f t="shared" si="31"/>
        <v>25.990482734499999</v>
      </c>
      <c r="J165" s="49">
        <f t="shared" si="32"/>
        <v>26.014882434</v>
      </c>
      <c r="K165" s="49">
        <f t="shared" si="33"/>
        <v>44.445803103953196</v>
      </c>
      <c r="L165" s="49">
        <f t="shared" si="34"/>
        <v>44.449358996015775</v>
      </c>
      <c r="M165" s="49">
        <f t="shared" si="35"/>
        <v>44.45291053120561</v>
      </c>
      <c r="N165" s="49">
        <f t="shared" si="36"/>
        <v>18.479720068953196</v>
      </c>
      <c r="O165" s="49">
        <f t="shared" si="37"/>
        <v>18.458876261515776</v>
      </c>
      <c r="P165" s="49">
        <f t="shared" si="38"/>
        <v>18.43802809720561</v>
      </c>
      <c r="Q165" s="56">
        <f t="shared" si="39"/>
        <v>-8.7137454940489079E-6</v>
      </c>
      <c r="R165" s="56">
        <f t="shared" si="40"/>
        <v>-4.1683258002091605E-2</v>
      </c>
      <c r="S165" s="49">
        <f t="shared" si="41"/>
        <v>-1</v>
      </c>
      <c r="T165" s="49">
        <f t="shared" si="42"/>
        <v>18.479720068953196</v>
      </c>
      <c r="U165" s="49">
        <f t="shared" si="43"/>
        <v>18.43802809720561</v>
      </c>
      <c r="V165" s="41">
        <f t="shared" si="44"/>
        <v>1694.165878</v>
      </c>
    </row>
    <row r="166" spans="2:22" x14ac:dyDescent="0.45">
      <c r="B166" s="11">
        <v>49</v>
      </c>
      <c r="C166" s="11">
        <v>1</v>
      </c>
      <c r="D166" s="11">
        <v>49</v>
      </c>
      <c r="E166" s="41">
        <f t="shared" si="27"/>
        <v>1694.165878</v>
      </c>
      <c r="F166" s="41">
        <f t="shared" si="28"/>
        <v>1695.111298</v>
      </c>
      <c r="G166" s="41">
        <f t="shared" si="29"/>
        <v>1694.638588</v>
      </c>
      <c r="H166" s="49">
        <f t="shared" si="30"/>
        <v>26.014882434</v>
      </c>
      <c r="I166" s="49">
        <f t="shared" si="31"/>
        <v>26.001006751999999</v>
      </c>
      <c r="J166" s="49">
        <f t="shared" si="32"/>
        <v>25.98713107</v>
      </c>
      <c r="K166" s="49">
        <f t="shared" si="33"/>
        <v>44.45291053120561</v>
      </c>
      <c r="L166" s="49">
        <f t="shared" si="34"/>
        <v>44.455106080748408</v>
      </c>
      <c r="M166" s="49">
        <f t="shared" si="35"/>
        <v>44.457299961922622</v>
      </c>
      <c r="N166" s="49">
        <f t="shared" si="36"/>
        <v>18.43802809720561</v>
      </c>
      <c r="O166" s="49">
        <f t="shared" si="37"/>
        <v>18.454099328748409</v>
      </c>
      <c r="P166" s="49">
        <f t="shared" si="38"/>
        <v>18.470168891922622</v>
      </c>
      <c r="Q166" s="56">
        <f t="shared" si="39"/>
        <v>-3.3367371727877071E-6</v>
      </c>
      <c r="R166" s="56">
        <f t="shared" si="40"/>
        <v>3.2144131454185043E-2</v>
      </c>
      <c r="S166" s="49">
        <f t="shared" si="41"/>
        <v>-1</v>
      </c>
      <c r="T166" s="49">
        <f t="shared" si="42"/>
        <v>18.43802809720561</v>
      </c>
      <c r="U166" s="49">
        <f t="shared" si="43"/>
        <v>18.43802809720561</v>
      </c>
      <c r="V166" s="41">
        <f t="shared" si="44"/>
        <v>1694.165878</v>
      </c>
    </row>
    <row r="167" spans="2:22" x14ac:dyDescent="0.45">
      <c r="B167" s="11">
        <v>50</v>
      </c>
      <c r="C167" s="11">
        <v>1</v>
      </c>
      <c r="D167" s="11">
        <v>50</v>
      </c>
      <c r="E167" s="41">
        <f t="shared" si="27"/>
        <v>1695.111298</v>
      </c>
      <c r="F167" s="41">
        <f t="shared" si="28"/>
        <v>1696.4933470000001</v>
      </c>
      <c r="G167" s="41">
        <f t="shared" si="29"/>
        <v>1695.8023225000002</v>
      </c>
      <c r="H167" s="49">
        <f t="shared" si="30"/>
        <v>25.98713107</v>
      </c>
      <c r="I167" s="49">
        <f t="shared" si="31"/>
        <v>25.998314190500004</v>
      </c>
      <c r="J167" s="49">
        <f t="shared" si="32"/>
        <v>26.009497311000001</v>
      </c>
      <c r="K167" s="49">
        <f t="shared" si="33"/>
        <v>44.457299961922622</v>
      </c>
      <c r="L167" s="49">
        <f t="shared" si="34"/>
        <v>44.460504054360548</v>
      </c>
      <c r="M167" s="49">
        <f t="shared" si="35"/>
        <v>44.463704581554012</v>
      </c>
      <c r="N167" s="49">
        <f t="shared" si="36"/>
        <v>18.470168891922622</v>
      </c>
      <c r="O167" s="49">
        <f t="shared" si="37"/>
        <v>18.462189863860544</v>
      </c>
      <c r="P167" s="49">
        <f t="shared" si="38"/>
        <v>18.454207270554011</v>
      </c>
      <c r="Q167" s="56">
        <f t="shared" si="39"/>
        <v>-7.1304889104339964E-6</v>
      </c>
      <c r="R167" s="56">
        <f t="shared" si="40"/>
        <v>-1.5954490879700245E-2</v>
      </c>
      <c r="S167" s="49">
        <f t="shared" si="41"/>
        <v>-1</v>
      </c>
      <c r="T167" s="49">
        <f t="shared" si="42"/>
        <v>18.470168891922622</v>
      </c>
      <c r="U167" s="49">
        <f t="shared" si="43"/>
        <v>18.454207270554011</v>
      </c>
      <c r="V167" s="41">
        <f t="shared" si="44"/>
        <v>1696.4933470000001</v>
      </c>
    </row>
    <row r="168" spans="2:22" x14ac:dyDescent="0.45">
      <c r="B168" s="11">
        <v>51</v>
      </c>
      <c r="C168" s="11">
        <v>1</v>
      </c>
      <c r="D168" s="11">
        <v>51</v>
      </c>
      <c r="E168" s="41">
        <f t="shared" si="27"/>
        <v>1696.4933470000001</v>
      </c>
      <c r="F168" s="41">
        <f t="shared" si="28"/>
        <v>1697.49773</v>
      </c>
      <c r="G168" s="41">
        <f t="shared" si="29"/>
        <v>1696.9955385000001</v>
      </c>
      <c r="H168" s="49">
        <f t="shared" si="30"/>
        <v>26.009497311000001</v>
      </c>
      <c r="I168" s="49">
        <f t="shared" si="31"/>
        <v>26.014622677999999</v>
      </c>
      <c r="J168" s="49">
        <f t="shared" si="32"/>
        <v>26.019748045</v>
      </c>
      <c r="K168" s="49">
        <f t="shared" si="33"/>
        <v>44.463704581554012</v>
      </c>
      <c r="L168" s="49">
        <f t="shared" si="34"/>
        <v>44.466028278830343</v>
      </c>
      <c r="M168" s="49">
        <f t="shared" si="35"/>
        <v>44.468350093146483</v>
      </c>
      <c r="N168" s="49">
        <f t="shared" si="36"/>
        <v>18.454207270554011</v>
      </c>
      <c r="O168" s="49">
        <f t="shared" si="37"/>
        <v>18.451405600830345</v>
      </c>
      <c r="P168" s="49">
        <f t="shared" si="38"/>
        <v>18.448602048146483</v>
      </c>
      <c r="Q168" s="56">
        <f t="shared" si="39"/>
        <v>-3.7659203897533189E-6</v>
      </c>
      <c r="R168" s="56">
        <f t="shared" si="40"/>
        <v>-5.6014564871382788E-3</v>
      </c>
      <c r="S168" s="49">
        <f t="shared" si="41"/>
        <v>-1</v>
      </c>
      <c r="T168" s="49">
        <f t="shared" si="42"/>
        <v>18.454207270554011</v>
      </c>
      <c r="U168" s="49">
        <f t="shared" si="43"/>
        <v>18.448602048146483</v>
      </c>
      <c r="V168" s="41">
        <f t="shared" si="44"/>
        <v>1697.49773</v>
      </c>
    </row>
    <row r="169" spans="2:22" x14ac:dyDescent="0.45">
      <c r="B169" s="11">
        <v>52</v>
      </c>
      <c r="C169" s="11">
        <v>1</v>
      </c>
      <c r="D169" s="11">
        <v>52</v>
      </c>
      <c r="E169" s="41">
        <f t="shared" si="27"/>
        <v>1697.49773</v>
      </c>
      <c r="F169" s="41">
        <f t="shared" si="28"/>
        <v>1699.462329</v>
      </c>
      <c r="G169" s="41">
        <f t="shared" si="29"/>
        <v>1698.4800295</v>
      </c>
      <c r="H169" s="49">
        <f t="shared" si="30"/>
        <v>26.019748045</v>
      </c>
      <c r="I169" s="49">
        <f t="shared" si="31"/>
        <v>26.067797004999999</v>
      </c>
      <c r="J169" s="49">
        <f t="shared" si="32"/>
        <v>26.115845964999998</v>
      </c>
      <c r="K169" s="49">
        <f t="shared" si="33"/>
        <v>44.468350093146483</v>
      </c>
      <c r="L169" s="49">
        <f t="shared" si="34"/>
        <v>44.472886178013759</v>
      </c>
      <c r="M169" s="49">
        <f t="shared" si="35"/>
        <v>44.477415058606255</v>
      </c>
      <c r="N169" s="49">
        <f t="shared" si="36"/>
        <v>18.448602048146483</v>
      </c>
      <c r="O169" s="49">
        <f t="shared" si="37"/>
        <v>18.40508917301376</v>
      </c>
      <c r="P169" s="49">
        <f t="shared" si="38"/>
        <v>18.361569093606256</v>
      </c>
      <c r="Q169" s="56">
        <f t="shared" si="39"/>
        <v>-1.4408549560585016E-5</v>
      </c>
      <c r="R169" s="56">
        <f t="shared" si="40"/>
        <v>-8.7018545990666496E-2</v>
      </c>
      <c r="S169" s="49">
        <f t="shared" si="41"/>
        <v>-1</v>
      </c>
      <c r="T169" s="49">
        <f t="shared" si="42"/>
        <v>18.448602048146483</v>
      </c>
      <c r="U169" s="49">
        <f t="shared" si="43"/>
        <v>18.361569093606256</v>
      </c>
      <c r="V169" s="41">
        <f t="shared" si="44"/>
        <v>1699.462329</v>
      </c>
    </row>
    <row r="170" spans="2:22" x14ac:dyDescent="0.45">
      <c r="B170" s="11">
        <v>53</v>
      </c>
      <c r="C170" s="11">
        <v>1</v>
      </c>
      <c r="D170" s="11">
        <v>53</v>
      </c>
      <c r="E170" s="41">
        <f t="shared" si="27"/>
        <v>1699.462329</v>
      </c>
      <c r="F170" s="41">
        <f t="shared" si="28"/>
        <v>1700.4449999999999</v>
      </c>
      <c r="G170" s="41">
        <f t="shared" si="29"/>
        <v>1699.9536644999998</v>
      </c>
      <c r="H170" s="49">
        <f t="shared" si="30"/>
        <v>26.115845964999998</v>
      </c>
      <c r="I170" s="49">
        <f t="shared" si="31"/>
        <v>26.087671302762576</v>
      </c>
      <c r="J170" s="49">
        <f t="shared" si="32"/>
        <v>26.059496640525143</v>
      </c>
      <c r="K170" s="49">
        <f t="shared" si="33"/>
        <v>44.477415058606255</v>
      </c>
      <c r="L170" s="49">
        <f t="shared" si="34"/>
        <v>44.479677652335262</v>
      </c>
      <c r="M170" s="49">
        <f t="shared" si="35"/>
        <v>44.481938443633013</v>
      </c>
      <c r="N170" s="49">
        <f t="shared" si="36"/>
        <v>18.361569093606256</v>
      </c>
      <c r="O170" s="49">
        <f t="shared" si="37"/>
        <v>18.392006349572686</v>
      </c>
      <c r="P170" s="49">
        <f t="shared" si="38"/>
        <v>18.422441803107869</v>
      </c>
      <c r="Q170" s="56">
        <f t="shared" si="39"/>
        <v>-3.6048624920681505E-6</v>
      </c>
      <c r="R170" s="56">
        <f t="shared" si="40"/>
        <v>6.08763143641049E-2</v>
      </c>
      <c r="S170" s="49">
        <f t="shared" si="41"/>
        <v>-1</v>
      </c>
      <c r="T170" s="49">
        <f t="shared" si="42"/>
        <v>18.361569093606256</v>
      </c>
      <c r="U170" s="49">
        <f t="shared" si="43"/>
        <v>18.361569093606256</v>
      </c>
      <c r="V170" s="41">
        <f t="shared" si="44"/>
        <v>1699.462329</v>
      </c>
    </row>
    <row r="171" spans="2:22" x14ac:dyDescent="0.45">
      <c r="B171" s="11">
        <v>54</v>
      </c>
      <c r="C171" s="11">
        <v>2</v>
      </c>
      <c r="D171" s="11">
        <v>53</v>
      </c>
      <c r="E171" s="41">
        <f t="shared" ref="E171:E217" si="45">MAX(E68,Sp2_Bm0)</f>
        <v>1700.6949999999999</v>
      </c>
      <c r="F171" s="41">
        <f t="shared" ref="F171:F217" si="46">MIN(F68,Sp2_Bm1)</f>
        <v>1700.79458</v>
      </c>
      <c r="G171" s="41">
        <f t="shared" si="29"/>
        <v>1700.74479</v>
      </c>
      <c r="H171" s="49">
        <f t="shared" ref="H171:H217" si="47">$G68+$H68*(E171-$E68)+$I68*(E171-$E68)^2</f>
        <v>26.045160885100678</v>
      </c>
      <c r="I171" s="49">
        <f t="shared" ref="I171:I217" si="48">$G68+$H68*(G171-$E68)+$I68*(G171-$E68)^2</f>
        <v>26.042305776050338</v>
      </c>
      <c r="J171" s="49">
        <f t="shared" ref="J171:J217" si="49">$G68+$H68*(F171-$E68)+$I68*(F171-$E68)^2</f>
        <v>26.039450667000001</v>
      </c>
      <c r="K171" s="49">
        <f t="shared" ref="K171:K217" si="50">(Sp2_ZA+(Sp2_ZB-Sp2_ZA)*((E171-Sp2_BrgA)/Sp2_Lb)-Sup_Drop+Sp2_C/3*((E171-Sp2_BrgA)/Sp2_Lb)*(1-((E171-Sp2_BrgA)/Sp2_Lb))+(MIN(Bm1_Raise,Bm2_Raise))/12)</f>
        <v>44.48084924760947</v>
      </c>
      <c r="L171" s="49">
        <f t="shared" ref="L171:L217" si="51">(Sp2_ZA+(Sp2_ZB-Sp2_ZA)*((G171-Sp2_BrgA)/Sp2_Lb)-Sup_Drop+Sp2_C/3*((G171-Sp2_BrgA)/Sp2_Lb)*(1-((G171-Sp2_BrgA)/Sp2_Lb))+(MIN(Bm1_Raise,Bm2_Raise))/12)</f>
        <v>44.480692892082075</v>
      </c>
      <c r="M171" s="49">
        <f t="shared" ref="M171:M217" si="52">(Sp2_ZA+(Sp2_ZB-Sp2_ZA)*((F171-Sp2_BrgA)/Sp2_Lb)-Sup_Drop+Sp2_C/3*((F171-Sp2_BrgA)/Sp2_Lb)*(1-((F171-Sp2_BrgA)/Sp2_Lb))+(MIN(Bm1_Raise,Bm2_Raise))/12)</f>
        <v>44.480536448242184</v>
      </c>
      <c r="N171" s="49">
        <f t="shared" si="36"/>
        <v>18.435688362508792</v>
      </c>
      <c r="O171" s="49">
        <f t="shared" si="37"/>
        <v>18.438387116031738</v>
      </c>
      <c r="P171" s="49">
        <f t="shared" si="38"/>
        <v>18.441085781242183</v>
      </c>
      <c r="Q171" s="56">
        <f t="shared" si="39"/>
        <v>-1.7662500084725252E-7</v>
      </c>
      <c r="R171" s="56">
        <f t="shared" si="40"/>
        <v>5.3975953583922376E-3</v>
      </c>
      <c r="S171" s="49">
        <f t="shared" si="41"/>
        <v>-1</v>
      </c>
      <c r="T171" s="49">
        <f t="shared" si="42"/>
        <v>18.435688362508792</v>
      </c>
      <c r="U171" s="49">
        <f t="shared" si="43"/>
        <v>18.435688362508792</v>
      </c>
      <c r="V171" s="41">
        <f t="shared" si="44"/>
        <v>1700.6949999999999</v>
      </c>
    </row>
    <row r="172" spans="2:22" x14ac:dyDescent="0.45">
      <c r="B172" s="11">
        <v>55</v>
      </c>
      <c r="C172" s="11">
        <v>2</v>
      </c>
      <c r="D172" s="11">
        <v>54</v>
      </c>
      <c r="E172" s="41">
        <f t="shared" si="45"/>
        <v>1700.79458</v>
      </c>
      <c r="F172" s="41">
        <f t="shared" si="46"/>
        <v>1701.6893540000001</v>
      </c>
      <c r="G172" s="41">
        <f t="shared" si="29"/>
        <v>1701.2419669999999</v>
      </c>
      <c r="H172" s="49">
        <f t="shared" si="47"/>
        <v>26.039450667000001</v>
      </c>
      <c r="I172" s="49">
        <f t="shared" si="48"/>
        <v>26.00995095350001</v>
      </c>
      <c r="J172" s="49">
        <f t="shared" si="49"/>
        <v>25.980451240000001</v>
      </c>
      <c r="K172" s="49">
        <f t="shared" si="50"/>
        <v>44.480536448242184</v>
      </c>
      <c r="L172" s="49">
        <f t="shared" si="51"/>
        <v>44.479126763513726</v>
      </c>
      <c r="M172" s="49">
        <f t="shared" si="52"/>
        <v>44.477709948538077</v>
      </c>
      <c r="N172" s="49">
        <f t="shared" si="36"/>
        <v>18.441085781242183</v>
      </c>
      <c r="O172" s="49">
        <f t="shared" si="37"/>
        <v>18.469175810013716</v>
      </c>
      <c r="P172" s="49">
        <f t="shared" si="38"/>
        <v>18.497258708538077</v>
      </c>
      <c r="Q172" s="56">
        <f t="shared" si="39"/>
        <v>-1.4260494346274299E-5</v>
      </c>
      <c r="R172" s="56">
        <f t="shared" si="40"/>
        <v>5.618718779023979E-2</v>
      </c>
      <c r="S172" s="49">
        <f t="shared" si="41"/>
        <v>-1</v>
      </c>
      <c r="T172" s="49">
        <f t="shared" si="42"/>
        <v>18.441085781242183</v>
      </c>
      <c r="U172" s="49">
        <f t="shared" si="43"/>
        <v>18.441085781242183</v>
      </c>
      <c r="V172" s="41">
        <f t="shared" si="44"/>
        <v>1700.79458</v>
      </c>
    </row>
    <row r="173" spans="2:22" x14ac:dyDescent="0.45">
      <c r="B173" s="11">
        <v>56</v>
      </c>
      <c r="C173" s="11">
        <v>2</v>
      </c>
      <c r="D173" s="11">
        <v>55</v>
      </c>
      <c r="E173" s="41">
        <f t="shared" si="45"/>
        <v>1701.6893540000001</v>
      </c>
      <c r="F173" s="41">
        <f t="shared" si="46"/>
        <v>1702.541078</v>
      </c>
      <c r="G173" s="41">
        <f t="shared" si="29"/>
        <v>1702.1152160000001</v>
      </c>
      <c r="H173" s="49">
        <f t="shared" si="47"/>
        <v>25.980451240000001</v>
      </c>
      <c r="I173" s="49">
        <f t="shared" si="48"/>
        <v>25.975497893</v>
      </c>
      <c r="J173" s="49">
        <f t="shared" si="49"/>
        <v>25.970544545999999</v>
      </c>
      <c r="K173" s="49">
        <f t="shared" si="50"/>
        <v>44.477709948538077</v>
      </c>
      <c r="L173" s="49">
        <f t="shared" si="51"/>
        <v>44.476354676450718</v>
      </c>
      <c r="M173" s="49">
        <f t="shared" si="52"/>
        <v>44.474992943721844</v>
      </c>
      <c r="N173" s="49">
        <f t="shared" si="36"/>
        <v>18.497258708538077</v>
      </c>
      <c r="O173" s="49">
        <f t="shared" si="37"/>
        <v>18.500856783450718</v>
      </c>
      <c r="P173" s="49">
        <f t="shared" si="38"/>
        <v>18.504448397721845</v>
      </c>
      <c r="Q173" s="56">
        <f t="shared" si="39"/>
        <v>-1.2921283030209452E-5</v>
      </c>
      <c r="R173" s="56">
        <f t="shared" si="40"/>
        <v>7.2026104667983759E-3</v>
      </c>
      <c r="S173" s="49">
        <f t="shared" si="41"/>
        <v>-1</v>
      </c>
      <c r="T173" s="49">
        <f t="shared" si="42"/>
        <v>18.497258708538077</v>
      </c>
      <c r="U173" s="49">
        <f t="shared" si="43"/>
        <v>18.497258708538077</v>
      </c>
      <c r="V173" s="41">
        <f t="shared" si="44"/>
        <v>1701.6893540000001</v>
      </c>
    </row>
    <row r="174" spans="2:22" x14ac:dyDescent="0.45">
      <c r="B174" s="11">
        <v>57</v>
      </c>
      <c r="C174" s="11">
        <v>2</v>
      </c>
      <c r="D174" s="11">
        <v>56</v>
      </c>
      <c r="E174" s="41">
        <f t="shared" si="45"/>
        <v>1702.541078</v>
      </c>
      <c r="F174" s="41">
        <f t="shared" si="46"/>
        <v>1704.865</v>
      </c>
      <c r="G174" s="41">
        <f t="shared" si="29"/>
        <v>1703.703039</v>
      </c>
      <c r="H174" s="49">
        <f t="shared" si="47"/>
        <v>25.970544545999999</v>
      </c>
      <c r="I174" s="49">
        <f t="shared" si="48"/>
        <v>25.967311414000001</v>
      </c>
      <c r="J174" s="49">
        <f t="shared" si="49"/>
        <v>25.964078281999999</v>
      </c>
      <c r="K174" s="49">
        <f t="shared" si="50"/>
        <v>44.474992943721844</v>
      </c>
      <c r="L174" s="49">
        <f t="shared" si="51"/>
        <v>44.471244604488177</v>
      </c>
      <c r="M174" s="49">
        <f t="shared" si="52"/>
        <v>44.46744816792441</v>
      </c>
      <c r="N174" s="49">
        <f t="shared" si="36"/>
        <v>18.504448397721845</v>
      </c>
      <c r="O174" s="49">
        <f t="shared" si="37"/>
        <v>18.503933190488176</v>
      </c>
      <c r="P174" s="49">
        <f t="shared" si="38"/>
        <v>18.50336988592441</v>
      </c>
      <c r="Q174" s="56">
        <f t="shared" si="39"/>
        <v>-9.6194660194726112E-5</v>
      </c>
      <c r="R174" s="56">
        <f t="shared" si="40"/>
        <v>-9.8231713723961889E-4</v>
      </c>
      <c r="S174" s="49">
        <f t="shared" si="41"/>
        <v>-1</v>
      </c>
      <c r="T174" s="49">
        <f t="shared" si="42"/>
        <v>18.504448397721845</v>
      </c>
      <c r="U174" s="49">
        <f t="shared" si="43"/>
        <v>18.50336988592441</v>
      </c>
      <c r="V174" s="41">
        <f t="shared" si="44"/>
        <v>1704.865</v>
      </c>
    </row>
    <row r="175" spans="2:22" x14ac:dyDescent="0.45">
      <c r="B175" s="11">
        <v>58</v>
      </c>
      <c r="C175" s="11">
        <v>2</v>
      </c>
      <c r="D175" s="11">
        <v>57</v>
      </c>
      <c r="E175" s="41">
        <f t="shared" si="45"/>
        <v>1704.865</v>
      </c>
      <c r="F175" s="41">
        <f t="shared" si="46"/>
        <v>1705.6839050000001</v>
      </c>
      <c r="G175" s="41">
        <f t="shared" si="29"/>
        <v>1705.2744525000001</v>
      </c>
      <c r="H175" s="49">
        <f t="shared" si="47"/>
        <v>25.964078281999999</v>
      </c>
      <c r="I175" s="49">
        <f t="shared" si="48"/>
        <v>25.955981354000002</v>
      </c>
      <c r="J175" s="49">
        <f t="shared" si="49"/>
        <v>25.947884426000002</v>
      </c>
      <c r="K175" s="49">
        <f t="shared" si="50"/>
        <v>44.46744816792441</v>
      </c>
      <c r="L175" s="49">
        <f t="shared" si="51"/>
        <v>44.466098916921659</v>
      </c>
      <c r="M175" s="49">
        <f t="shared" si="52"/>
        <v>44.464743693573467</v>
      </c>
      <c r="N175" s="49">
        <f t="shared" si="36"/>
        <v>18.50336988592441</v>
      </c>
      <c r="O175" s="49">
        <f t="shared" si="37"/>
        <v>18.510117562921657</v>
      </c>
      <c r="P175" s="49">
        <f t="shared" si="38"/>
        <v>18.516859267573466</v>
      </c>
      <c r="Q175" s="56">
        <f t="shared" si="39"/>
        <v>-1.1944690875509423E-5</v>
      </c>
      <c r="R175" s="56">
        <f t="shared" si="40"/>
        <v>1.3501326339930841E-2</v>
      </c>
      <c r="S175" s="49">
        <f t="shared" si="41"/>
        <v>-1</v>
      </c>
      <c r="T175" s="49">
        <f t="shared" si="42"/>
        <v>18.50336988592441</v>
      </c>
      <c r="U175" s="49">
        <f t="shared" si="43"/>
        <v>18.50336988592441</v>
      </c>
      <c r="V175" s="41">
        <f t="shared" si="44"/>
        <v>1704.865</v>
      </c>
    </row>
    <row r="176" spans="2:22" x14ac:dyDescent="0.45">
      <c r="B176" s="11">
        <v>59</v>
      </c>
      <c r="C176" s="11">
        <v>2</v>
      </c>
      <c r="D176" s="11">
        <v>58</v>
      </c>
      <c r="E176" s="41">
        <f t="shared" si="45"/>
        <v>1705.6839050000001</v>
      </c>
      <c r="F176" s="41">
        <f t="shared" si="46"/>
        <v>1706.7490359999999</v>
      </c>
      <c r="G176" s="41">
        <f t="shared" si="29"/>
        <v>1706.2164705</v>
      </c>
      <c r="H176" s="49">
        <f t="shared" si="47"/>
        <v>25.947884426000002</v>
      </c>
      <c r="I176" s="49">
        <f t="shared" si="48"/>
        <v>25.954983110000001</v>
      </c>
      <c r="J176" s="49">
        <f t="shared" si="49"/>
        <v>25.962081793999999</v>
      </c>
      <c r="K176" s="49">
        <f t="shared" si="50"/>
        <v>44.464743693573467</v>
      </c>
      <c r="L176" s="49">
        <f t="shared" si="51"/>
        <v>44.462972049629883</v>
      </c>
      <c r="M176" s="49">
        <f t="shared" si="52"/>
        <v>44.461190301905297</v>
      </c>
      <c r="N176" s="49">
        <f t="shared" si="36"/>
        <v>18.516859267573466</v>
      </c>
      <c r="O176" s="49">
        <f t="shared" si="37"/>
        <v>18.507988939629882</v>
      </c>
      <c r="P176" s="49">
        <f t="shared" si="38"/>
        <v>18.499108507905298</v>
      </c>
      <c r="Q176" s="56">
        <f t="shared" si="39"/>
        <v>-2.0207562002383384E-5</v>
      </c>
      <c r="R176" s="56">
        <f t="shared" si="40"/>
        <v>-1.7730552106165476E-2</v>
      </c>
      <c r="S176" s="49">
        <f t="shared" si="41"/>
        <v>-1</v>
      </c>
      <c r="T176" s="49">
        <f t="shared" si="42"/>
        <v>18.516859267573466</v>
      </c>
      <c r="U176" s="49">
        <f t="shared" si="43"/>
        <v>18.499108507905298</v>
      </c>
      <c r="V176" s="41">
        <f t="shared" si="44"/>
        <v>1706.7490359999999</v>
      </c>
    </row>
    <row r="177" spans="2:22" x14ac:dyDescent="0.45">
      <c r="B177" s="11">
        <v>60</v>
      </c>
      <c r="C177" s="11">
        <v>2</v>
      </c>
      <c r="D177" s="11">
        <v>59</v>
      </c>
      <c r="E177" s="41">
        <f t="shared" si="45"/>
        <v>1706.7490359999999</v>
      </c>
      <c r="F177" s="41">
        <f t="shared" si="46"/>
        <v>1708.3887830000001</v>
      </c>
      <c r="G177" s="41">
        <f t="shared" si="29"/>
        <v>1707.5689095</v>
      </c>
      <c r="H177" s="49">
        <f t="shared" si="47"/>
        <v>25.962081793999999</v>
      </c>
      <c r="I177" s="49">
        <f t="shared" si="48"/>
        <v>25.926244907499999</v>
      </c>
      <c r="J177" s="49">
        <f t="shared" si="49"/>
        <v>25.890408020999999</v>
      </c>
      <c r="K177" s="49">
        <f t="shared" si="50"/>
        <v>44.461190301905297</v>
      </c>
      <c r="L177" s="49">
        <f t="shared" si="51"/>
        <v>44.458427588135457</v>
      </c>
      <c r="M177" s="49">
        <f t="shared" si="52"/>
        <v>44.45564092844355</v>
      </c>
      <c r="N177" s="49">
        <f t="shared" si="36"/>
        <v>18.499108507905298</v>
      </c>
      <c r="O177" s="49">
        <f t="shared" si="37"/>
        <v>18.532182680635458</v>
      </c>
      <c r="P177" s="49">
        <f t="shared" si="38"/>
        <v>18.565232907443551</v>
      </c>
      <c r="Q177" s="56">
        <f t="shared" si="39"/>
        <v>-4.7891844133118866E-5</v>
      </c>
      <c r="R177" s="56">
        <f t="shared" si="40"/>
        <v>6.6172291382386561E-2</v>
      </c>
      <c r="S177" s="49">
        <f t="shared" si="41"/>
        <v>-1</v>
      </c>
      <c r="T177" s="49">
        <f t="shared" si="42"/>
        <v>18.499108507905298</v>
      </c>
      <c r="U177" s="49">
        <f t="shared" si="43"/>
        <v>18.499108507905298</v>
      </c>
      <c r="V177" s="41">
        <f t="shared" si="44"/>
        <v>1706.7490359999999</v>
      </c>
    </row>
    <row r="178" spans="2:22" x14ac:dyDescent="0.45">
      <c r="B178" s="11">
        <v>61</v>
      </c>
      <c r="C178" s="11">
        <v>2</v>
      </c>
      <c r="D178" s="11">
        <v>60</v>
      </c>
      <c r="E178" s="41">
        <f t="shared" si="45"/>
        <v>1708.3887830000001</v>
      </c>
      <c r="F178" s="41">
        <f t="shared" si="46"/>
        <v>1708.8392450000001</v>
      </c>
      <c r="G178" s="41">
        <f t="shared" si="29"/>
        <v>1708.6140140000002</v>
      </c>
      <c r="H178" s="49">
        <f t="shared" si="47"/>
        <v>25.890408020999999</v>
      </c>
      <c r="I178" s="49">
        <f t="shared" si="48"/>
        <v>25.881867085499994</v>
      </c>
      <c r="J178" s="49">
        <f t="shared" si="49"/>
        <v>25.87332615</v>
      </c>
      <c r="K178" s="49">
        <f t="shared" si="50"/>
        <v>44.45564092844355</v>
      </c>
      <c r="L178" s="49">
        <f t="shared" si="51"/>
        <v>44.454871200371791</v>
      </c>
      <c r="M178" s="49">
        <f t="shared" si="52"/>
        <v>44.454099665150061</v>
      </c>
      <c r="N178" s="49">
        <f t="shared" si="36"/>
        <v>18.565232907443551</v>
      </c>
      <c r="O178" s="49">
        <f t="shared" si="37"/>
        <v>18.573004114871797</v>
      </c>
      <c r="P178" s="49">
        <f t="shared" si="38"/>
        <v>18.58077351515006</v>
      </c>
      <c r="Q178" s="56">
        <f t="shared" si="39"/>
        <v>-3.6142999633170803E-6</v>
      </c>
      <c r="R178" s="56">
        <f t="shared" si="40"/>
        <v>1.5544222006472097E-2</v>
      </c>
      <c r="S178" s="49">
        <f t="shared" si="41"/>
        <v>-1</v>
      </c>
      <c r="T178" s="49">
        <f t="shared" si="42"/>
        <v>18.565232907443551</v>
      </c>
      <c r="U178" s="49">
        <f t="shared" si="43"/>
        <v>18.565232907443551</v>
      </c>
      <c r="V178" s="41">
        <f t="shared" si="44"/>
        <v>1708.3887830000001</v>
      </c>
    </row>
    <row r="179" spans="2:22" x14ac:dyDescent="0.45">
      <c r="B179" s="11">
        <v>62</v>
      </c>
      <c r="C179" s="11">
        <v>2</v>
      </c>
      <c r="D179" s="11">
        <v>61</v>
      </c>
      <c r="E179" s="41">
        <f t="shared" si="45"/>
        <v>1708.8392450000001</v>
      </c>
      <c r="F179" s="41">
        <f t="shared" si="46"/>
        <v>1708.9784629999999</v>
      </c>
      <c r="G179" s="41">
        <f t="shared" si="29"/>
        <v>1708.908854</v>
      </c>
      <c r="H179" s="49">
        <f t="shared" si="47"/>
        <v>25.87332615</v>
      </c>
      <c r="I179" s="49">
        <f t="shared" si="48"/>
        <v>25.872365201500003</v>
      </c>
      <c r="J179" s="49">
        <f t="shared" si="49"/>
        <v>25.871404253000001</v>
      </c>
      <c r="K179" s="49">
        <f t="shared" si="50"/>
        <v>44.454099665150061</v>
      </c>
      <c r="L179" s="49">
        <f t="shared" si="51"/>
        <v>44.453860851972102</v>
      </c>
      <c r="M179" s="49">
        <f t="shared" si="52"/>
        <v>44.453621866183084</v>
      </c>
      <c r="N179" s="49">
        <f t="shared" si="36"/>
        <v>18.58077351515006</v>
      </c>
      <c r="O179" s="49">
        <f t="shared" si="37"/>
        <v>18.5814956504721</v>
      </c>
      <c r="P179" s="49">
        <f t="shared" si="38"/>
        <v>18.582217613183083</v>
      </c>
      <c r="Q179" s="56">
        <f t="shared" si="39"/>
        <v>-3.4522211223020349E-7</v>
      </c>
      <c r="R179" s="56">
        <f t="shared" si="40"/>
        <v>1.4444432551350417E-3</v>
      </c>
      <c r="S179" s="49">
        <f t="shared" si="41"/>
        <v>-1</v>
      </c>
      <c r="T179" s="49">
        <f t="shared" si="42"/>
        <v>18.58077351515006</v>
      </c>
      <c r="U179" s="49">
        <f t="shared" si="43"/>
        <v>18.58077351515006</v>
      </c>
      <c r="V179" s="41">
        <f t="shared" si="44"/>
        <v>1708.8392450000001</v>
      </c>
    </row>
    <row r="180" spans="2:22" x14ac:dyDescent="0.45">
      <c r="B180" s="11">
        <v>63</v>
      </c>
      <c r="C180" s="11">
        <v>2</v>
      </c>
      <c r="D180" s="11">
        <v>62</v>
      </c>
      <c r="E180" s="41">
        <f t="shared" si="45"/>
        <v>1708.9784629999999</v>
      </c>
      <c r="F180" s="41">
        <f t="shared" si="46"/>
        <v>1709.3205350000001</v>
      </c>
      <c r="G180" s="41">
        <f t="shared" si="29"/>
        <v>1709.1494990000001</v>
      </c>
      <c r="H180" s="49">
        <f t="shared" si="47"/>
        <v>25.871404253000001</v>
      </c>
      <c r="I180" s="49">
        <f t="shared" si="48"/>
        <v>25.864902363499997</v>
      </c>
      <c r="J180" s="49">
        <f t="shared" si="49"/>
        <v>25.858400474</v>
      </c>
      <c r="K180" s="49">
        <f t="shared" si="50"/>
        <v>44.453621866183084</v>
      </c>
      <c r="L180" s="49">
        <f t="shared" si="51"/>
        <v>44.453033922025995</v>
      </c>
      <c r="M180" s="49">
        <f t="shared" si="52"/>
        <v>44.452444935760447</v>
      </c>
      <c r="N180" s="49">
        <f t="shared" si="36"/>
        <v>18.582217613183083</v>
      </c>
      <c r="O180" s="49">
        <f t="shared" si="37"/>
        <v>18.588131558525998</v>
      </c>
      <c r="P180" s="49">
        <f t="shared" si="38"/>
        <v>18.594044461760447</v>
      </c>
      <c r="Q180" s="56">
        <f t="shared" si="39"/>
        <v>-2.0842169305979041E-6</v>
      </c>
      <c r="R180" s="56">
        <f t="shared" si="40"/>
        <v>1.1828932794294644E-2</v>
      </c>
      <c r="S180" s="49">
        <f t="shared" si="41"/>
        <v>-1</v>
      </c>
      <c r="T180" s="49">
        <f t="shared" si="42"/>
        <v>18.582217613183083</v>
      </c>
      <c r="U180" s="49">
        <f t="shared" si="43"/>
        <v>18.582217613183083</v>
      </c>
      <c r="V180" s="41">
        <f t="shared" si="44"/>
        <v>1708.9784629999999</v>
      </c>
    </row>
    <row r="181" spans="2:22" x14ac:dyDescent="0.45">
      <c r="B181" s="11">
        <v>64</v>
      </c>
      <c r="C181" s="11">
        <v>2</v>
      </c>
      <c r="D181" s="11">
        <v>63</v>
      </c>
      <c r="E181" s="41">
        <f t="shared" si="45"/>
        <v>1709.3205350000001</v>
      </c>
      <c r="F181" s="41">
        <f t="shared" si="46"/>
        <v>1720.1605790000001</v>
      </c>
      <c r="G181" s="41">
        <f t="shared" si="29"/>
        <v>1714.7405570000001</v>
      </c>
      <c r="H181" s="49">
        <f t="shared" si="47"/>
        <v>25.858400474</v>
      </c>
      <c r="I181" s="49">
        <f t="shared" si="48"/>
        <v>25.799534513999998</v>
      </c>
      <c r="J181" s="49">
        <f t="shared" si="49"/>
        <v>25.740668553999999</v>
      </c>
      <c r="K181" s="49">
        <f t="shared" si="50"/>
        <v>44.452444935760447</v>
      </c>
      <c r="L181" s="49">
        <f t="shared" si="51"/>
        <v>44.433240573051442</v>
      </c>
      <c r="M181" s="49">
        <f t="shared" si="52"/>
        <v>44.412989708578579</v>
      </c>
      <c r="N181" s="49">
        <f t="shared" si="36"/>
        <v>18.594044461760447</v>
      </c>
      <c r="O181" s="49">
        <f t="shared" si="37"/>
        <v>18.633706059051445</v>
      </c>
      <c r="P181" s="49">
        <f t="shared" si="38"/>
        <v>18.672321154578579</v>
      </c>
      <c r="Q181" s="56">
        <f t="shared" si="39"/>
        <v>-2.0930035277260117E-3</v>
      </c>
      <c r="R181" s="56">
        <f t="shared" si="40"/>
        <v>8.0369696345858443E-2</v>
      </c>
      <c r="S181" s="49">
        <f t="shared" si="41"/>
        <v>-1</v>
      </c>
      <c r="T181" s="49">
        <f t="shared" si="42"/>
        <v>18.594044461760447</v>
      </c>
      <c r="U181" s="49">
        <f t="shared" si="43"/>
        <v>18.594044461760447</v>
      </c>
      <c r="V181" s="41">
        <f t="shared" si="44"/>
        <v>1709.3205350000001</v>
      </c>
    </row>
    <row r="182" spans="2:22" x14ac:dyDescent="0.45">
      <c r="B182" s="11">
        <v>65</v>
      </c>
      <c r="C182" s="11">
        <v>2</v>
      </c>
      <c r="D182" s="11">
        <v>64</v>
      </c>
      <c r="E182" s="41">
        <f t="shared" si="45"/>
        <v>1720.1605790000001</v>
      </c>
      <c r="F182" s="41">
        <f t="shared" si="46"/>
        <v>1721.3476169999999</v>
      </c>
      <c r="G182" s="41">
        <f t="shared" ref="G182:G213" si="53">(E182+F182)/2</f>
        <v>1720.7540979999999</v>
      </c>
      <c r="H182" s="49">
        <f t="shared" si="47"/>
        <v>25.740668553999999</v>
      </c>
      <c r="I182" s="49">
        <f t="shared" si="48"/>
        <v>25.734452081499999</v>
      </c>
      <c r="J182" s="49">
        <f t="shared" si="49"/>
        <v>25.728235608999999</v>
      </c>
      <c r="K182" s="49">
        <f t="shared" si="50"/>
        <v>44.412989708578579</v>
      </c>
      <c r="L182" s="49">
        <f t="shared" si="51"/>
        <v>44.410708566556892</v>
      </c>
      <c r="M182" s="49">
        <f t="shared" si="52"/>
        <v>44.408414875593024</v>
      </c>
      <c r="N182" s="49">
        <f t="shared" ref="N182:N217" si="54">K182-H182</f>
        <v>18.672321154578579</v>
      </c>
      <c r="O182" s="49">
        <f t="shared" ref="O182:O217" si="55">L182-I182</f>
        <v>18.676256485056893</v>
      </c>
      <c r="P182" s="49">
        <f t="shared" ref="P182:P217" si="56">M182-J182</f>
        <v>18.680179266593026</v>
      </c>
      <c r="Q182" s="56">
        <f t="shared" ref="Q182:Q213" si="57">2*(P182-2*O182+N182)</f>
        <v>-2.5097884361002798E-5</v>
      </c>
      <c r="R182" s="56">
        <f t="shared" ref="R182:R213" si="58">P182-N182-Q182</f>
        <v>7.8832098988073085E-3</v>
      </c>
      <c r="S182" s="49">
        <f t="shared" ref="S182:S213" si="59">IF(Q182&gt;0.000000000001,-R182/(2*Q182),-1)</f>
        <v>-1</v>
      </c>
      <c r="T182" s="49">
        <f t="shared" ref="T182:T213" si="60">IF(AND(S182&gt;0,S182&lt;1),N182+R182*S182+Q182*S182^2,N182)</f>
        <v>18.672321154578579</v>
      </c>
      <c r="U182" s="49">
        <f t="shared" ref="U182:U213" si="61">IF(F182&gt;E182,MIN(N182,P182,T182),"")</f>
        <v>18.672321154578579</v>
      </c>
      <c r="V182" s="41">
        <f t="shared" ref="V182:V213" si="62">IF(U182="","",IF(U182=N182,E182,IF(U182=P182,F182,E182+(F182-E182)*S182)))</f>
        <v>1720.1605790000001</v>
      </c>
    </row>
    <row r="183" spans="2:22" x14ac:dyDescent="0.45">
      <c r="B183" s="11">
        <v>66</v>
      </c>
      <c r="C183" s="11">
        <v>2</v>
      </c>
      <c r="D183" s="11">
        <v>65</v>
      </c>
      <c r="E183" s="41">
        <f t="shared" si="45"/>
        <v>1721.3476169999999</v>
      </c>
      <c r="F183" s="41">
        <f t="shared" si="46"/>
        <v>1723.3428309999999</v>
      </c>
      <c r="G183" s="41">
        <f t="shared" si="53"/>
        <v>1722.3452239999999</v>
      </c>
      <c r="H183" s="49">
        <f t="shared" si="47"/>
        <v>25.728235608999999</v>
      </c>
      <c r="I183" s="49">
        <f t="shared" si="48"/>
        <v>25.708961526499998</v>
      </c>
      <c r="J183" s="49">
        <f t="shared" si="49"/>
        <v>25.689687444</v>
      </c>
      <c r="K183" s="49">
        <f t="shared" si="50"/>
        <v>44.408414875593024</v>
      </c>
      <c r="L183" s="49">
        <f t="shared" si="51"/>
        <v>44.404531288503925</v>
      </c>
      <c r="M183" s="49">
        <f t="shared" si="52"/>
        <v>44.400612248100472</v>
      </c>
      <c r="N183" s="49">
        <f t="shared" si="54"/>
        <v>18.680179266593026</v>
      </c>
      <c r="O183" s="49">
        <f t="shared" si="55"/>
        <v>18.695569762003927</v>
      </c>
      <c r="P183" s="49">
        <f t="shared" si="56"/>
        <v>18.710924804100472</v>
      </c>
      <c r="Q183" s="56">
        <f t="shared" si="57"/>
        <v>-7.0906628714340059E-5</v>
      </c>
      <c r="R183" s="56">
        <f t="shared" si="58"/>
        <v>3.081644413616047E-2</v>
      </c>
      <c r="S183" s="49">
        <f t="shared" si="59"/>
        <v>-1</v>
      </c>
      <c r="T183" s="49">
        <f t="shared" si="60"/>
        <v>18.680179266593026</v>
      </c>
      <c r="U183" s="49">
        <f t="shared" si="61"/>
        <v>18.680179266593026</v>
      </c>
      <c r="V183" s="41">
        <f t="shared" si="62"/>
        <v>1721.3476169999999</v>
      </c>
    </row>
    <row r="184" spans="2:22" x14ac:dyDescent="0.45">
      <c r="B184" s="11">
        <v>67</v>
      </c>
      <c r="C184" s="11">
        <v>2</v>
      </c>
      <c r="D184" s="11">
        <v>66</v>
      </c>
      <c r="E184" s="41">
        <f t="shared" si="45"/>
        <v>1723.3428309999999</v>
      </c>
      <c r="F184" s="41">
        <f t="shared" si="46"/>
        <v>1733.4107060000001</v>
      </c>
      <c r="G184" s="41">
        <f t="shared" si="53"/>
        <v>1728.3767685</v>
      </c>
      <c r="H184" s="49">
        <f t="shared" si="47"/>
        <v>25.689687444</v>
      </c>
      <c r="I184" s="49">
        <f t="shared" si="48"/>
        <v>25.597474658499998</v>
      </c>
      <c r="J184" s="49">
        <f t="shared" si="49"/>
        <v>25.505261872999998</v>
      </c>
      <c r="K184" s="49">
        <f t="shared" si="50"/>
        <v>44.400612248100472</v>
      </c>
      <c r="L184" s="49">
        <f t="shared" si="51"/>
        <v>44.380295911419921</v>
      </c>
      <c r="M184" s="49">
        <f t="shared" si="52"/>
        <v>44.359076853825165</v>
      </c>
      <c r="N184" s="49">
        <f t="shared" si="54"/>
        <v>18.710924804100472</v>
      </c>
      <c r="O184" s="49">
        <f t="shared" si="55"/>
        <v>18.782821252919923</v>
      </c>
      <c r="P184" s="49">
        <f t="shared" si="56"/>
        <v>18.853814980825167</v>
      </c>
      <c r="Q184" s="56">
        <f t="shared" si="57"/>
        <v>-1.8054418284165763E-3</v>
      </c>
      <c r="R184" s="56">
        <f t="shared" si="58"/>
        <v>0.14469561855311142</v>
      </c>
      <c r="S184" s="49">
        <f t="shared" si="59"/>
        <v>-1</v>
      </c>
      <c r="T184" s="49">
        <f t="shared" si="60"/>
        <v>18.710924804100472</v>
      </c>
      <c r="U184" s="49">
        <f t="shared" si="61"/>
        <v>18.710924804100472</v>
      </c>
      <c r="V184" s="41">
        <f t="shared" si="62"/>
        <v>1723.3428309999999</v>
      </c>
    </row>
    <row r="185" spans="2:22" x14ac:dyDescent="0.45">
      <c r="B185" s="11">
        <v>68</v>
      </c>
      <c r="C185" s="11">
        <v>2</v>
      </c>
      <c r="D185" s="11">
        <v>67</v>
      </c>
      <c r="E185" s="41">
        <f t="shared" si="45"/>
        <v>1733.4107060000001</v>
      </c>
      <c r="F185" s="41">
        <f t="shared" si="46"/>
        <v>1737.373707</v>
      </c>
      <c r="G185" s="41">
        <f t="shared" si="53"/>
        <v>1735.3922065000002</v>
      </c>
      <c r="H185" s="49">
        <f t="shared" si="47"/>
        <v>25.505261872999998</v>
      </c>
      <c r="I185" s="49">
        <f t="shared" si="48"/>
        <v>25.474947315999998</v>
      </c>
      <c r="J185" s="49">
        <f t="shared" si="49"/>
        <v>25.444632759000001</v>
      </c>
      <c r="K185" s="49">
        <f t="shared" si="50"/>
        <v>44.359076853825165</v>
      </c>
      <c r="L185" s="49">
        <f t="shared" si="51"/>
        <v>44.350476827707922</v>
      </c>
      <c r="M185" s="49">
        <f t="shared" si="52"/>
        <v>44.341736931054889</v>
      </c>
      <c r="N185" s="49">
        <f t="shared" si="54"/>
        <v>18.853814980825167</v>
      </c>
      <c r="O185" s="49">
        <f t="shared" si="55"/>
        <v>18.875529511707924</v>
      </c>
      <c r="P185" s="49">
        <f t="shared" si="56"/>
        <v>18.897104172054888</v>
      </c>
      <c r="Q185" s="56">
        <f t="shared" si="57"/>
        <v>-2.7974107158712513E-4</v>
      </c>
      <c r="R185" s="56">
        <f t="shared" si="58"/>
        <v>4.3568932301308649E-2</v>
      </c>
      <c r="S185" s="49">
        <f t="shared" si="59"/>
        <v>-1</v>
      </c>
      <c r="T185" s="49">
        <f t="shared" si="60"/>
        <v>18.853814980825167</v>
      </c>
      <c r="U185" s="49">
        <f t="shared" si="61"/>
        <v>18.853814980825167</v>
      </c>
      <c r="V185" s="41">
        <f t="shared" si="62"/>
        <v>1733.4107060000001</v>
      </c>
    </row>
    <row r="186" spans="2:22" x14ac:dyDescent="0.45">
      <c r="B186" s="11">
        <v>69</v>
      </c>
      <c r="C186" s="11">
        <v>2</v>
      </c>
      <c r="D186" s="11">
        <v>68</v>
      </c>
      <c r="E186" s="41">
        <f t="shared" si="45"/>
        <v>1737.373707</v>
      </c>
      <c r="F186" s="41">
        <f t="shared" si="46"/>
        <v>1744.3613600000001</v>
      </c>
      <c r="G186" s="41">
        <f t="shared" si="53"/>
        <v>1740.8675335</v>
      </c>
      <c r="H186" s="49">
        <f t="shared" si="47"/>
        <v>25.444632759000001</v>
      </c>
      <c r="I186" s="49">
        <f t="shared" si="48"/>
        <v>25.379719374499999</v>
      </c>
      <c r="J186" s="49">
        <f t="shared" si="49"/>
        <v>25.31480599</v>
      </c>
      <c r="K186" s="49">
        <f t="shared" si="50"/>
        <v>44.341736931054889</v>
      </c>
      <c r="L186" s="49">
        <f t="shared" si="51"/>
        <v>44.32598581061648</v>
      </c>
      <c r="M186" s="49">
        <f t="shared" si="52"/>
        <v>44.309799839116067</v>
      </c>
      <c r="N186" s="49">
        <f t="shared" si="54"/>
        <v>18.897104172054888</v>
      </c>
      <c r="O186" s="49">
        <f t="shared" si="55"/>
        <v>18.946266436116481</v>
      </c>
      <c r="P186" s="49">
        <f t="shared" si="56"/>
        <v>18.994993849116067</v>
      </c>
      <c r="Q186" s="56">
        <f t="shared" si="57"/>
        <v>-8.6970212401382696E-4</v>
      </c>
      <c r="R186" s="56">
        <f t="shared" si="58"/>
        <v>9.8759379185192842E-2</v>
      </c>
      <c r="S186" s="49">
        <f t="shared" si="59"/>
        <v>-1</v>
      </c>
      <c r="T186" s="49">
        <f t="shared" si="60"/>
        <v>18.897104172054888</v>
      </c>
      <c r="U186" s="49">
        <f t="shared" si="61"/>
        <v>18.897104172054888</v>
      </c>
      <c r="V186" s="41">
        <f t="shared" si="62"/>
        <v>1737.373707</v>
      </c>
    </row>
    <row r="187" spans="2:22" x14ac:dyDescent="0.45">
      <c r="B187" s="11">
        <v>70</v>
      </c>
      <c r="C187" s="11">
        <v>2</v>
      </c>
      <c r="D187" s="11">
        <v>69</v>
      </c>
      <c r="E187" s="41">
        <f t="shared" si="45"/>
        <v>1744.3613600000001</v>
      </c>
      <c r="F187" s="41">
        <f t="shared" si="46"/>
        <v>1744.8457989999999</v>
      </c>
      <c r="G187" s="41">
        <f t="shared" si="53"/>
        <v>1744.6035795</v>
      </c>
      <c r="H187" s="49">
        <f t="shared" si="47"/>
        <v>25.31480599</v>
      </c>
      <c r="I187" s="49">
        <f t="shared" si="48"/>
        <v>25.2890832555</v>
      </c>
      <c r="J187" s="49">
        <f t="shared" si="49"/>
        <v>25.263360520999999</v>
      </c>
      <c r="K187" s="49">
        <f t="shared" si="50"/>
        <v>44.309799839116067</v>
      </c>
      <c r="L187" s="49">
        <f t="shared" si="51"/>
        <v>44.308661581747479</v>
      </c>
      <c r="M187" s="49">
        <f t="shared" si="52"/>
        <v>44.30752123433178</v>
      </c>
      <c r="N187" s="49">
        <f t="shared" si="54"/>
        <v>18.994993849116067</v>
      </c>
      <c r="O187" s="49">
        <f t="shared" si="55"/>
        <v>19.01957832624748</v>
      </c>
      <c r="P187" s="49">
        <f t="shared" si="56"/>
        <v>19.044160713331781</v>
      </c>
      <c r="Q187" s="56">
        <f t="shared" si="57"/>
        <v>-4.1800942227609994E-6</v>
      </c>
      <c r="R187" s="56">
        <f t="shared" si="58"/>
        <v>4.9171044309936462E-2</v>
      </c>
      <c r="S187" s="49">
        <f t="shared" si="59"/>
        <v>-1</v>
      </c>
      <c r="T187" s="49">
        <f t="shared" si="60"/>
        <v>18.994993849116067</v>
      </c>
      <c r="U187" s="49">
        <f t="shared" si="61"/>
        <v>18.994993849116067</v>
      </c>
      <c r="V187" s="41">
        <f t="shared" si="62"/>
        <v>1744.3613600000001</v>
      </c>
    </row>
    <row r="188" spans="2:22" x14ac:dyDescent="0.45">
      <c r="B188" s="11">
        <v>71</v>
      </c>
      <c r="C188" s="11">
        <v>2</v>
      </c>
      <c r="D188" s="11">
        <v>70</v>
      </c>
      <c r="E188" s="41">
        <f t="shared" si="45"/>
        <v>1744.8457989999999</v>
      </c>
      <c r="F188" s="41">
        <f t="shared" si="46"/>
        <v>1744.8613850000002</v>
      </c>
      <c r="G188" s="41">
        <f t="shared" si="53"/>
        <v>1744.8535919999999</v>
      </c>
      <c r="H188" s="49">
        <f t="shared" si="47"/>
        <v>25.263360520999999</v>
      </c>
      <c r="I188" s="49">
        <f t="shared" si="48"/>
        <v>25.263014513500003</v>
      </c>
      <c r="J188" s="49">
        <f t="shared" si="49"/>
        <v>25.262668506000001</v>
      </c>
      <c r="K188" s="49">
        <f t="shared" si="50"/>
        <v>44.30752123433178</v>
      </c>
      <c r="L188" s="49">
        <f t="shared" si="51"/>
        <v>44.307484510891697</v>
      </c>
      <c r="M188" s="49">
        <f t="shared" si="52"/>
        <v>44.307447785288176</v>
      </c>
      <c r="N188" s="49">
        <f t="shared" si="54"/>
        <v>19.044160713331781</v>
      </c>
      <c r="O188" s="49">
        <f t="shared" si="55"/>
        <v>19.044469997391694</v>
      </c>
      <c r="P188" s="49">
        <f t="shared" si="56"/>
        <v>19.044779279288175</v>
      </c>
      <c r="Q188" s="56">
        <f t="shared" si="57"/>
        <v>-4.3268642002658453E-9</v>
      </c>
      <c r="R188" s="56">
        <f t="shared" si="58"/>
        <v>6.1857028325817964E-4</v>
      </c>
      <c r="S188" s="49">
        <f t="shared" si="59"/>
        <v>-1</v>
      </c>
      <c r="T188" s="49">
        <f t="shared" si="60"/>
        <v>19.044160713331781</v>
      </c>
      <c r="U188" s="49">
        <f t="shared" si="61"/>
        <v>19.044160713331781</v>
      </c>
      <c r="V188" s="41">
        <f t="shared" si="62"/>
        <v>1744.8457989999999</v>
      </c>
    </row>
    <row r="189" spans="2:22" x14ac:dyDescent="0.45">
      <c r="B189" s="11">
        <v>72</v>
      </c>
      <c r="C189" s="11">
        <v>2</v>
      </c>
      <c r="D189" s="11">
        <v>71</v>
      </c>
      <c r="E189" s="41">
        <f t="shared" si="45"/>
        <v>1744.8613850000002</v>
      </c>
      <c r="F189" s="41">
        <f t="shared" si="46"/>
        <v>1744.9209410000001</v>
      </c>
      <c r="G189" s="41">
        <f t="shared" si="53"/>
        <v>1744.8911630000002</v>
      </c>
      <c r="H189" s="49">
        <f t="shared" si="47"/>
        <v>25.262668506000001</v>
      </c>
      <c r="I189" s="49">
        <f t="shared" si="48"/>
        <v>25.261807660499997</v>
      </c>
      <c r="J189" s="49">
        <f t="shared" si="49"/>
        <v>25.260946815</v>
      </c>
      <c r="K189" s="49">
        <f t="shared" si="50"/>
        <v>44.307447785288176</v>
      </c>
      <c r="L189" s="49">
        <f t="shared" si="51"/>
        <v>44.307307432366557</v>
      </c>
      <c r="M189" s="49">
        <f t="shared" si="52"/>
        <v>44.307167047856453</v>
      </c>
      <c r="N189" s="49">
        <f t="shared" si="54"/>
        <v>19.044779279288175</v>
      </c>
      <c r="O189" s="49">
        <f t="shared" si="55"/>
        <v>19.04549977186656</v>
      </c>
      <c r="P189" s="49">
        <f t="shared" si="56"/>
        <v>19.046220232856452</v>
      </c>
      <c r="Q189" s="56">
        <f t="shared" si="57"/>
        <v>-6.317698364455282E-8</v>
      </c>
      <c r="R189" s="56">
        <f t="shared" si="58"/>
        <v>1.4410167452609812E-3</v>
      </c>
      <c r="S189" s="49">
        <f t="shared" si="59"/>
        <v>-1</v>
      </c>
      <c r="T189" s="49">
        <f t="shared" si="60"/>
        <v>19.044779279288175</v>
      </c>
      <c r="U189" s="49">
        <f t="shared" si="61"/>
        <v>19.044779279288175</v>
      </c>
      <c r="V189" s="41">
        <f t="shared" si="62"/>
        <v>1744.8613850000002</v>
      </c>
    </row>
    <row r="190" spans="2:22" x14ac:dyDescent="0.45">
      <c r="B190" s="11">
        <v>73</v>
      </c>
      <c r="C190" s="11">
        <v>2</v>
      </c>
      <c r="D190" s="11">
        <v>72</v>
      </c>
      <c r="E190" s="41">
        <f t="shared" si="45"/>
        <v>1744.9209410000001</v>
      </c>
      <c r="F190" s="41">
        <f t="shared" si="46"/>
        <v>1746.610036</v>
      </c>
      <c r="G190" s="41">
        <f t="shared" si="53"/>
        <v>1745.7654885000002</v>
      </c>
      <c r="H190" s="49">
        <f t="shared" si="47"/>
        <v>25.260946815</v>
      </c>
      <c r="I190" s="49">
        <f t="shared" si="48"/>
        <v>25.242658394999996</v>
      </c>
      <c r="J190" s="49">
        <f t="shared" si="49"/>
        <v>25.224369974999998</v>
      </c>
      <c r="K190" s="49">
        <f t="shared" si="50"/>
        <v>44.307167047856453</v>
      </c>
      <c r="L190" s="49">
        <f t="shared" si="51"/>
        <v>44.303172386049255</v>
      </c>
      <c r="M190" s="49">
        <f t="shared" si="52"/>
        <v>44.299152315332499</v>
      </c>
      <c r="N190" s="49">
        <f t="shared" si="54"/>
        <v>19.046220232856452</v>
      </c>
      <c r="O190" s="49">
        <f t="shared" si="55"/>
        <v>19.060513991049259</v>
      </c>
      <c r="P190" s="49">
        <f t="shared" si="56"/>
        <v>19.074782340332501</v>
      </c>
      <c r="Q190" s="56">
        <f t="shared" si="57"/>
        <v>-5.081781912963379E-5</v>
      </c>
      <c r="R190" s="56">
        <f t="shared" si="58"/>
        <v>2.8612925295178115E-2</v>
      </c>
      <c r="S190" s="49">
        <f t="shared" si="59"/>
        <v>-1</v>
      </c>
      <c r="T190" s="49">
        <f t="shared" si="60"/>
        <v>19.046220232856452</v>
      </c>
      <c r="U190" s="49">
        <f t="shared" si="61"/>
        <v>19.046220232856452</v>
      </c>
      <c r="V190" s="41">
        <f t="shared" si="62"/>
        <v>1744.9209410000001</v>
      </c>
    </row>
    <row r="191" spans="2:22" x14ac:dyDescent="0.45">
      <c r="B191" s="11">
        <v>74</v>
      </c>
      <c r="C191" s="11">
        <v>2</v>
      </c>
      <c r="D191" s="11">
        <v>73</v>
      </c>
      <c r="E191" s="41">
        <f t="shared" si="45"/>
        <v>1746.610036</v>
      </c>
      <c r="F191" s="41">
        <f t="shared" si="46"/>
        <v>1748.867258</v>
      </c>
      <c r="G191" s="41">
        <f t="shared" si="53"/>
        <v>1747.7386470000001</v>
      </c>
      <c r="H191" s="49">
        <f t="shared" si="47"/>
        <v>25.224369974999998</v>
      </c>
      <c r="I191" s="49">
        <f t="shared" si="48"/>
        <v>25.164377189499994</v>
      </c>
      <c r="J191" s="49">
        <f t="shared" si="49"/>
        <v>25.104384404000001</v>
      </c>
      <c r="K191" s="49">
        <f t="shared" si="50"/>
        <v>44.299152315332499</v>
      </c>
      <c r="L191" s="49">
        <f t="shared" si="51"/>
        <v>44.293740428467331</v>
      </c>
      <c r="M191" s="49">
        <f t="shared" si="52"/>
        <v>44.288283165579763</v>
      </c>
      <c r="N191" s="49">
        <f t="shared" si="54"/>
        <v>19.074782340332501</v>
      </c>
      <c r="O191" s="49">
        <f t="shared" si="55"/>
        <v>19.129363238967336</v>
      </c>
      <c r="P191" s="49">
        <f t="shared" si="56"/>
        <v>19.183898761579762</v>
      </c>
      <c r="Q191" s="56">
        <f t="shared" si="57"/>
        <v>-9.0752044819453204E-5</v>
      </c>
      <c r="R191" s="56">
        <f t="shared" si="58"/>
        <v>0.10920717329208074</v>
      </c>
      <c r="S191" s="49">
        <f t="shared" si="59"/>
        <v>-1</v>
      </c>
      <c r="T191" s="49">
        <f t="shared" si="60"/>
        <v>19.074782340332501</v>
      </c>
      <c r="U191" s="49">
        <f t="shared" si="61"/>
        <v>19.074782340332501</v>
      </c>
      <c r="V191" s="41">
        <f t="shared" si="62"/>
        <v>1746.610036</v>
      </c>
    </row>
    <row r="192" spans="2:22" x14ac:dyDescent="0.45">
      <c r="B192" s="11">
        <v>75</v>
      </c>
      <c r="C192" s="11">
        <v>2</v>
      </c>
      <c r="D192" s="11">
        <v>74</v>
      </c>
      <c r="E192" s="41">
        <f t="shared" si="45"/>
        <v>1748.867258</v>
      </c>
      <c r="F192" s="41">
        <f t="shared" si="46"/>
        <v>1753.1134400000001</v>
      </c>
      <c r="G192" s="41">
        <f t="shared" si="53"/>
        <v>1750.9903490000002</v>
      </c>
      <c r="H192" s="49">
        <f t="shared" si="47"/>
        <v>25.104384404000001</v>
      </c>
      <c r="I192" s="49">
        <f t="shared" si="48"/>
        <v>24.970950597999991</v>
      </c>
      <c r="J192" s="49">
        <f t="shared" si="49"/>
        <v>24.837516791999999</v>
      </c>
      <c r="K192" s="49">
        <f t="shared" si="50"/>
        <v>44.288283165579763</v>
      </c>
      <c r="L192" s="49">
        <f t="shared" si="51"/>
        <v>44.27789424752433</v>
      </c>
      <c r="M192" s="49">
        <f t="shared" si="52"/>
        <v>44.267344755521215</v>
      </c>
      <c r="N192" s="49">
        <f t="shared" si="54"/>
        <v>19.183898761579762</v>
      </c>
      <c r="O192" s="49">
        <f t="shared" si="55"/>
        <v>19.306943649524339</v>
      </c>
      <c r="P192" s="49">
        <f t="shared" si="56"/>
        <v>19.429827963521216</v>
      </c>
      <c r="Q192" s="56">
        <f t="shared" si="57"/>
        <v>-3.2114789539861022E-4</v>
      </c>
      <c r="R192" s="56">
        <f t="shared" si="58"/>
        <v>0.24625034983685268</v>
      </c>
      <c r="S192" s="49">
        <f t="shared" si="59"/>
        <v>-1</v>
      </c>
      <c r="T192" s="49">
        <f t="shared" si="60"/>
        <v>19.183898761579762</v>
      </c>
      <c r="U192" s="49">
        <f t="shared" si="61"/>
        <v>19.183898761579762</v>
      </c>
      <c r="V192" s="41">
        <f t="shared" si="62"/>
        <v>1748.867258</v>
      </c>
    </row>
    <row r="193" spans="2:22" x14ac:dyDescent="0.45">
      <c r="B193" s="11">
        <v>76</v>
      </c>
      <c r="C193" s="11">
        <v>2</v>
      </c>
      <c r="D193" s="11">
        <v>75</v>
      </c>
      <c r="E193" s="41">
        <f t="shared" si="45"/>
        <v>1753.1134400000001</v>
      </c>
      <c r="F193" s="41">
        <f t="shared" si="46"/>
        <v>1753.9829560000001</v>
      </c>
      <c r="G193" s="41">
        <f t="shared" si="53"/>
        <v>1753.548198</v>
      </c>
      <c r="H193" s="49">
        <f t="shared" si="47"/>
        <v>24.837516791999999</v>
      </c>
      <c r="I193" s="49">
        <f t="shared" si="48"/>
        <v>24.811875501000006</v>
      </c>
      <c r="J193" s="49">
        <f t="shared" si="49"/>
        <v>24.78623421</v>
      </c>
      <c r="K193" s="49">
        <f t="shared" si="50"/>
        <v>44.267344755521215</v>
      </c>
      <c r="L193" s="49">
        <f t="shared" si="51"/>
        <v>44.26516466562579</v>
      </c>
      <c r="M193" s="49">
        <f t="shared" si="52"/>
        <v>44.262977842351837</v>
      </c>
      <c r="N193" s="49">
        <f t="shared" si="54"/>
        <v>19.429827963521216</v>
      </c>
      <c r="O193" s="49">
        <f t="shared" si="55"/>
        <v>19.453289164625783</v>
      </c>
      <c r="P193" s="49">
        <f t="shared" si="56"/>
        <v>19.476743632351837</v>
      </c>
      <c r="Q193" s="56">
        <f t="shared" si="57"/>
        <v>-1.3466757025071274E-5</v>
      </c>
      <c r="R193" s="56">
        <f t="shared" si="58"/>
        <v>4.6929135587646442E-2</v>
      </c>
      <c r="S193" s="49">
        <f t="shared" si="59"/>
        <v>-1</v>
      </c>
      <c r="T193" s="49">
        <f t="shared" si="60"/>
        <v>19.429827963521216</v>
      </c>
      <c r="U193" s="49">
        <f t="shared" si="61"/>
        <v>19.429827963521216</v>
      </c>
      <c r="V193" s="41">
        <f t="shared" si="62"/>
        <v>1753.1134400000001</v>
      </c>
    </row>
    <row r="194" spans="2:22" x14ac:dyDescent="0.45">
      <c r="B194" s="11">
        <v>77</v>
      </c>
      <c r="C194" s="11">
        <v>2</v>
      </c>
      <c r="D194" s="11">
        <v>76</v>
      </c>
      <c r="E194" s="41">
        <f t="shared" si="45"/>
        <v>1753.9829560000001</v>
      </c>
      <c r="F194" s="41">
        <f t="shared" si="46"/>
        <v>1754.823801</v>
      </c>
      <c r="G194" s="41">
        <f t="shared" si="53"/>
        <v>1754.4033785000001</v>
      </c>
      <c r="H194" s="49">
        <f t="shared" si="47"/>
        <v>24.78623421</v>
      </c>
      <c r="I194" s="49">
        <f t="shared" si="48"/>
        <v>24.765856533999994</v>
      </c>
      <c r="J194" s="49">
        <f t="shared" si="49"/>
        <v>24.745478857999998</v>
      </c>
      <c r="K194" s="49">
        <f t="shared" si="50"/>
        <v>44.262977842351837</v>
      </c>
      <c r="L194" s="49">
        <f t="shared" si="51"/>
        <v>44.260856722326515</v>
      </c>
      <c r="M194" s="49">
        <f t="shared" si="52"/>
        <v>44.25872930564811</v>
      </c>
      <c r="N194" s="49">
        <f t="shared" si="54"/>
        <v>19.476743632351837</v>
      </c>
      <c r="O194" s="49">
        <f t="shared" si="55"/>
        <v>19.495000188326522</v>
      </c>
      <c r="P194" s="49">
        <f t="shared" si="56"/>
        <v>19.513250447648112</v>
      </c>
      <c r="Q194" s="56">
        <f t="shared" si="57"/>
        <v>-1.2593306188080078E-5</v>
      </c>
      <c r="R194" s="56">
        <f t="shared" si="58"/>
        <v>3.6519408602462278E-2</v>
      </c>
      <c r="S194" s="49">
        <f t="shared" si="59"/>
        <v>-1</v>
      </c>
      <c r="T194" s="49">
        <f t="shared" si="60"/>
        <v>19.476743632351837</v>
      </c>
      <c r="U194" s="49">
        <f t="shared" si="61"/>
        <v>19.476743632351837</v>
      </c>
      <c r="V194" s="41">
        <f t="shared" si="62"/>
        <v>1753.9829560000001</v>
      </c>
    </row>
    <row r="195" spans="2:22" x14ac:dyDescent="0.45">
      <c r="B195" s="11">
        <v>78</v>
      </c>
      <c r="C195" s="11">
        <v>2</v>
      </c>
      <c r="D195" s="11">
        <v>77</v>
      </c>
      <c r="E195" s="41">
        <f t="shared" si="45"/>
        <v>1754.823801</v>
      </c>
      <c r="F195" s="41">
        <f t="shared" si="46"/>
        <v>1757.2654950000001</v>
      </c>
      <c r="G195" s="41">
        <f t="shared" si="53"/>
        <v>1756.0446480000001</v>
      </c>
      <c r="H195" s="49">
        <f t="shared" si="47"/>
        <v>24.745478857999998</v>
      </c>
      <c r="I195" s="49">
        <f t="shared" si="48"/>
        <v>24.8092093745</v>
      </c>
      <c r="J195" s="49">
        <f t="shared" si="49"/>
        <v>24.872939891000001</v>
      </c>
      <c r="K195" s="49">
        <f t="shared" si="50"/>
        <v>44.25872930564811</v>
      </c>
      <c r="L195" s="49">
        <f t="shared" si="51"/>
        <v>44.252515900719359</v>
      </c>
      <c r="M195" s="49">
        <f t="shared" si="52"/>
        <v>44.246249399968853</v>
      </c>
      <c r="N195" s="49">
        <f t="shared" si="54"/>
        <v>19.513250447648112</v>
      </c>
      <c r="O195" s="49">
        <f t="shared" si="55"/>
        <v>19.443306526219359</v>
      </c>
      <c r="P195" s="49">
        <f t="shared" si="56"/>
        <v>19.373309508968852</v>
      </c>
      <c r="Q195" s="56">
        <f t="shared" si="57"/>
        <v>-1.0619164351055588E-4</v>
      </c>
      <c r="R195" s="56">
        <f t="shared" si="58"/>
        <v>-0.13983474703574927</v>
      </c>
      <c r="S195" s="49">
        <f t="shared" si="59"/>
        <v>-1</v>
      </c>
      <c r="T195" s="49">
        <f t="shared" si="60"/>
        <v>19.513250447648112</v>
      </c>
      <c r="U195" s="49">
        <f t="shared" si="61"/>
        <v>19.373309508968852</v>
      </c>
      <c r="V195" s="41">
        <f t="shared" si="62"/>
        <v>1757.2654950000001</v>
      </c>
    </row>
    <row r="196" spans="2:22" x14ac:dyDescent="0.45">
      <c r="B196" s="11">
        <v>79</v>
      </c>
      <c r="C196" s="11">
        <v>2</v>
      </c>
      <c r="D196" s="11">
        <v>78</v>
      </c>
      <c r="E196" s="41">
        <f t="shared" si="45"/>
        <v>1757.2654950000001</v>
      </c>
      <c r="F196" s="41">
        <f t="shared" si="46"/>
        <v>1757.745017</v>
      </c>
      <c r="G196" s="41">
        <f t="shared" si="53"/>
        <v>1757.5052559999999</v>
      </c>
      <c r="H196" s="49">
        <f t="shared" si="47"/>
        <v>24.872939891000001</v>
      </c>
      <c r="I196" s="49">
        <f t="shared" si="48"/>
        <v>24.880318977999998</v>
      </c>
      <c r="J196" s="49">
        <f t="shared" si="49"/>
        <v>24.887698064999999</v>
      </c>
      <c r="K196" s="49">
        <f t="shared" si="50"/>
        <v>44.246249399968853</v>
      </c>
      <c r="L196" s="49">
        <f t="shared" si="51"/>
        <v>44.245012490113098</v>
      </c>
      <c r="M196" s="49">
        <f t="shared" si="52"/>
        <v>44.243773532422395</v>
      </c>
      <c r="N196" s="49">
        <f t="shared" si="54"/>
        <v>19.373309508968852</v>
      </c>
      <c r="O196" s="49">
        <f t="shared" si="55"/>
        <v>19.364693512113099</v>
      </c>
      <c r="P196" s="49">
        <f t="shared" si="56"/>
        <v>19.356075467422396</v>
      </c>
      <c r="Q196" s="56">
        <f t="shared" si="57"/>
        <v>-4.0956699010052944E-6</v>
      </c>
      <c r="R196" s="56">
        <f t="shared" si="58"/>
        <v>-1.7229945876554353E-2</v>
      </c>
      <c r="S196" s="49">
        <f t="shared" si="59"/>
        <v>-1</v>
      </c>
      <c r="T196" s="49">
        <f t="shared" si="60"/>
        <v>19.373309508968852</v>
      </c>
      <c r="U196" s="49">
        <f t="shared" si="61"/>
        <v>19.356075467422396</v>
      </c>
      <c r="V196" s="41">
        <f t="shared" si="62"/>
        <v>1757.745017</v>
      </c>
    </row>
    <row r="197" spans="2:22" x14ac:dyDescent="0.45">
      <c r="B197" s="11">
        <v>80</v>
      </c>
      <c r="C197" s="11">
        <v>2</v>
      </c>
      <c r="D197" s="11">
        <v>79</v>
      </c>
      <c r="E197" s="41">
        <f t="shared" si="45"/>
        <v>1757.745017</v>
      </c>
      <c r="F197" s="41">
        <f t="shared" si="46"/>
        <v>1758.332482</v>
      </c>
      <c r="G197" s="41">
        <f t="shared" si="53"/>
        <v>1758.0387495</v>
      </c>
      <c r="H197" s="49">
        <f t="shared" si="47"/>
        <v>24.887698064999999</v>
      </c>
      <c r="I197" s="49">
        <f t="shared" si="48"/>
        <v>24.8310502185</v>
      </c>
      <c r="J197" s="49">
        <f t="shared" si="49"/>
        <v>24.774402372000001</v>
      </c>
      <c r="K197" s="49">
        <f t="shared" si="50"/>
        <v>44.243773532422395</v>
      </c>
      <c r="L197" s="49">
        <f t="shared" si="51"/>
        <v>44.24225288745604</v>
      </c>
      <c r="M197" s="49">
        <f t="shared" si="52"/>
        <v>44.240729168928461</v>
      </c>
      <c r="N197" s="49">
        <f t="shared" si="54"/>
        <v>19.356075467422396</v>
      </c>
      <c r="O197" s="49">
        <f t="shared" si="55"/>
        <v>19.41120266895604</v>
      </c>
      <c r="P197" s="49">
        <f t="shared" si="56"/>
        <v>19.46632679692846</v>
      </c>
      <c r="Q197" s="56">
        <f t="shared" si="57"/>
        <v>-6.147122448396658E-6</v>
      </c>
      <c r="R197" s="56">
        <f t="shared" si="58"/>
        <v>0.1102574766285116</v>
      </c>
      <c r="S197" s="49">
        <f t="shared" si="59"/>
        <v>-1</v>
      </c>
      <c r="T197" s="49">
        <f t="shared" si="60"/>
        <v>19.356075467422396</v>
      </c>
      <c r="U197" s="49">
        <f t="shared" si="61"/>
        <v>19.356075467422396</v>
      </c>
      <c r="V197" s="41">
        <f t="shared" si="62"/>
        <v>1757.745017</v>
      </c>
    </row>
    <row r="198" spans="2:22" x14ac:dyDescent="0.45">
      <c r="B198" s="11">
        <v>81</v>
      </c>
      <c r="C198" s="11">
        <v>2</v>
      </c>
      <c r="D198" s="11">
        <v>80</v>
      </c>
      <c r="E198" s="41">
        <f t="shared" si="45"/>
        <v>1758.332482</v>
      </c>
      <c r="F198" s="41">
        <f t="shared" si="46"/>
        <v>1759.139995</v>
      </c>
      <c r="G198" s="41">
        <f t="shared" si="53"/>
        <v>1758.7362385000001</v>
      </c>
      <c r="H198" s="49">
        <f t="shared" si="47"/>
        <v>24.774402372000001</v>
      </c>
      <c r="I198" s="49">
        <f t="shared" si="48"/>
        <v>24.687670496999978</v>
      </c>
      <c r="J198" s="49">
        <f t="shared" si="49"/>
        <v>24.600938622000001</v>
      </c>
      <c r="K198" s="49">
        <f t="shared" si="50"/>
        <v>44.240729168928461</v>
      </c>
      <c r="L198" s="49">
        <f t="shared" si="51"/>
        <v>44.238629691865356</v>
      </c>
      <c r="M198" s="49">
        <f t="shared" si="52"/>
        <v>44.236524407466703</v>
      </c>
      <c r="N198" s="49">
        <f t="shared" si="54"/>
        <v>19.46632679692846</v>
      </c>
      <c r="O198" s="49">
        <f t="shared" si="55"/>
        <v>19.550959194865378</v>
      </c>
      <c r="P198" s="49">
        <f t="shared" si="56"/>
        <v>19.635585785466702</v>
      </c>
      <c r="Q198" s="56">
        <f t="shared" si="57"/>
        <v>-1.1614671187487602E-5</v>
      </c>
      <c r="R198" s="56">
        <f t="shared" si="58"/>
        <v>0.16927060320942999</v>
      </c>
      <c r="S198" s="49">
        <f t="shared" si="59"/>
        <v>-1</v>
      </c>
      <c r="T198" s="49">
        <f t="shared" si="60"/>
        <v>19.46632679692846</v>
      </c>
      <c r="U198" s="49">
        <f t="shared" si="61"/>
        <v>19.46632679692846</v>
      </c>
      <c r="V198" s="41">
        <f t="shared" si="62"/>
        <v>1758.332482</v>
      </c>
    </row>
    <row r="199" spans="2:22" x14ac:dyDescent="0.45">
      <c r="B199" s="11">
        <v>82</v>
      </c>
      <c r="C199" s="11">
        <v>2</v>
      </c>
      <c r="D199" s="11">
        <v>81</v>
      </c>
      <c r="E199" s="41">
        <f t="shared" si="45"/>
        <v>1759.139995</v>
      </c>
      <c r="F199" s="41">
        <f t="shared" si="46"/>
        <v>1761.4976019999999</v>
      </c>
      <c r="G199" s="41">
        <f t="shared" si="53"/>
        <v>1760.3187985</v>
      </c>
      <c r="H199" s="49">
        <f t="shared" si="47"/>
        <v>24.600938622000001</v>
      </c>
      <c r="I199" s="49">
        <f t="shared" si="48"/>
        <v>24.386557467999999</v>
      </c>
      <c r="J199" s="49">
        <f t="shared" si="49"/>
        <v>24.172176314000001</v>
      </c>
      <c r="K199" s="49">
        <f t="shared" si="50"/>
        <v>44.236524407466703</v>
      </c>
      <c r="L199" s="49">
        <f t="shared" si="51"/>
        <v>44.230344611472354</v>
      </c>
      <c r="M199" s="49">
        <f t="shared" si="52"/>
        <v>44.224115313711273</v>
      </c>
      <c r="N199" s="49">
        <f t="shared" si="54"/>
        <v>19.635585785466702</v>
      </c>
      <c r="O199" s="49">
        <f t="shared" si="55"/>
        <v>19.843787143472355</v>
      </c>
      <c r="P199" s="49">
        <f t="shared" si="56"/>
        <v>20.051938999711272</v>
      </c>
      <c r="Q199" s="56">
        <f t="shared" si="57"/>
        <v>-9.9003533470920502E-5</v>
      </c>
      <c r="R199" s="56">
        <f t="shared" si="58"/>
        <v>0.41645221777804053</v>
      </c>
      <c r="S199" s="49">
        <f t="shared" si="59"/>
        <v>-1</v>
      </c>
      <c r="T199" s="49">
        <f t="shared" si="60"/>
        <v>19.635585785466702</v>
      </c>
      <c r="U199" s="49">
        <f t="shared" si="61"/>
        <v>19.635585785466702</v>
      </c>
      <c r="V199" s="41">
        <f t="shared" si="62"/>
        <v>1759.139995</v>
      </c>
    </row>
    <row r="200" spans="2:22" x14ac:dyDescent="0.45">
      <c r="B200" s="11">
        <v>83</v>
      </c>
      <c r="C200" s="11">
        <v>2</v>
      </c>
      <c r="D200" s="11">
        <v>82</v>
      </c>
      <c r="E200" s="41">
        <f t="shared" si="45"/>
        <v>1761.4976019999999</v>
      </c>
      <c r="F200" s="41">
        <f t="shared" si="46"/>
        <v>1761.645865</v>
      </c>
      <c r="G200" s="41">
        <f t="shared" si="53"/>
        <v>1761.5717334999999</v>
      </c>
      <c r="H200" s="49">
        <f t="shared" si="47"/>
        <v>24.172176314000001</v>
      </c>
      <c r="I200" s="49">
        <f t="shared" si="48"/>
        <v>24.158050370000002</v>
      </c>
      <c r="J200" s="49">
        <f t="shared" si="49"/>
        <v>24.143924426000002</v>
      </c>
      <c r="K200" s="49">
        <f t="shared" si="50"/>
        <v>44.224115313711273</v>
      </c>
      <c r="L200" s="49">
        <f t="shared" si="51"/>
        <v>44.223721917022552</v>
      </c>
      <c r="M200" s="49">
        <f t="shared" si="52"/>
        <v>44.223328324565053</v>
      </c>
      <c r="N200" s="49">
        <f t="shared" si="54"/>
        <v>20.051938999711272</v>
      </c>
      <c r="O200" s="49">
        <f t="shared" si="55"/>
        <v>20.06567154702255</v>
      </c>
      <c r="P200" s="49">
        <f t="shared" si="56"/>
        <v>20.079403898565051</v>
      </c>
      <c r="Q200" s="56">
        <f t="shared" si="57"/>
        <v>-3.915375543783739E-7</v>
      </c>
      <c r="R200" s="56">
        <f t="shared" si="58"/>
        <v>2.7465290391333497E-2</v>
      </c>
      <c r="S200" s="49">
        <f t="shared" si="59"/>
        <v>-1</v>
      </c>
      <c r="T200" s="49">
        <f t="shared" si="60"/>
        <v>20.051938999711272</v>
      </c>
      <c r="U200" s="49">
        <f t="shared" si="61"/>
        <v>20.051938999711272</v>
      </c>
      <c r="V200" s="41">
        <f t="shared" si="62"/>
        <v>1761.4976019999999</v>
      </c>
    </row>
    <row r="201" spans="2:22" x14ac:dyDescent="0.45">
      <c r="B201" s="11">
        <v>84</v>
      </c>
      <c r="C201" s="11">
        <v>2</v>
      </c>
      <c r="D201" s="11">
        <v>83</v>
      </c>
      <c r="E201" s="41">
        <f t="shared" si="45"/>
        <v>1761.645865</v>
      </c>
      <c r="F201" s="41">
        <f t="shared" si="46"/>
        <v>1761.8730430000001</v>
      </c>
      <c r="G201" s="41">
        <f t="shared" si="53"/>
        <v>1761.759454</v>
      </c>
      <c r="H201" s="49">
        <f t="shared" si="47"/>
        <v>24.143924426000002</v>
      </c>
      <c r="I201" s="49">
        <f t="shared" si="48"/>
        <v>24.1261962375</v>
      </c>
      <c r="J201" s="49">
        <f t="shared" si="49"/>
        <v>24.108468048999999</v>
      </c>
      <c r="K201" s="49">
        <f t="shared" si="50"/>
        <v>44.223328324565053</v>
      </c>
      <c r="L201" s="49">
        <f t="shared" si="51"/>
        <v>44.222724857363438</v>
      </c>
      <c r="M201" s="49">
        <f t="shared" si="52"/>
        <v>44.222120930529655</v>
      </c>
      <c r="N201" s="49">
        <f t="shared" si="54"/>
        <v>20.079403898565051</v>
      </c>
      <c r="O201" s="49">
        <f t="shared" si="55"/>
        <v>20.096528619863438</v>
      </c>
      <c r="P201" s="49">
        <f t="shared" si="56"/>
        <v>20.113652881529656</v>
      </c>
      <c r="Q201" s="56">
        <f t="shared" si="57"/>
        <v>-9.1926433753997117E-7</v>
      </c>
      <c r="R201" s="56">
        <f t="shared" si="58"/>
        <v>3.4249902228943085E-2</v>
      </c>
      <c r="S201" s="49">
        <f t="shared" si="59"/>
        <v>-1</v>
      </c>
      <c r="T201" s="49">
        <f t="shared" si="60"/>
        <v>20.079403898565051</v>
      </c>
      <c r="U201" s="49">
        <f t="shared" si="61"/>
        <v>20.079403898565051</v>
      </c>
      <c r="V201" s="41">
        <f t="shared" si="62"/>
        <v>1761.645865</v>
      </c>
    </row>
    <row r="202" spans="2:22" x14ac:dyDescent="0.45">
      <c r="B202" s="11">
        <v>85</v>
      </c>
      <c r="C202" s="11">
        <v>2</v>
      </c>
      <c r="D202" s="11">
        <v>84</v>
      </c>
      <c r="E202" s="41">
        <f t="shared" si="45"/>
        <v>1761.8730430000001</v>
      </c>
      <c r="F202" s="41">
        <f t="shared" si="46"/>
        <v>1765.7079920000001</v>
      </c>
      <c r="G202" s="41">
        <f t="shared" si="53"/>
        <v>1763.7905175000001</v>
      </c>
      <c r="H202" s="49">
        <f t="shared" si="47"/>
        <v>24.108468048999999</v>
      </c>
      <c r="I202" s="49">
        <f t="shared" si="48"/>
        <v>23.802240008000002</v>
      </c>
      <c r="J202" s="49">
        <f t="shared" si="49"/>
        <v>23.496011967000001</v>
      </c>
      <c r="K202" s="49">
        <f t="shared" si="50"/>
        <v>44.222120930529655</v>
      </c>
      <c r="L202" s="49">
        <f t="shared" si="51"/>
        <v>44.211856787188495</v>
      </c>
      <c r="M202" s="49">
        <f t="shared" si="52"/>
        <v>44.201461666237719</v>
      </c>
      <c r="N202" s="49">
        <f t="shared" si="54"/>
        <v>20.113652881529656</v>
      </c>
      <c r="O202" s="49">
        <f t="shared" si="55"/>
        <v>20.409616779188493</v>
      </c>
      <c r="P202" s="49">
        <f t="shared" si="56"/>
        <v>20.705449699237718</v>
      </c>
      <c r="Q202" s="56">
        <f t="shared" si="57"/>
        <v>-2.6195521922289799E-4</v>
      </c>
      <c r="R202" s="56">
        <f t="shared" si="58"/>
        <v>0.59205877292728459</v>
      </c>
      <c r="S202" s="49">
        <f t="shared" si="59"/>
        <v>-1</v>
      </c>
      <c r="T202" s="49">
        <f t="shared" si="60"/>
        <v>20.113652881529656</v>
      </c>
      <c r="U202" s="49">
        <f t="shared" si="61"/>
        <v>20.113652881529656</v>
      </c>
      <c r="V202" s="41">
        <f t="shared" si="62"/>
        <v>1761.8730430000001</v>
      </c>
    </row>
    <row r="203" spans="2:22" x14ac:dyDescent="0.45">
      <c r="B203" s="11">
        <v>86</v>
      </c>
      <c r="C203" s="11">
        <v>2</v>
      </c>
      <c r="D203" s="11">
        <v>85</v>
      </c>
      <c r="E203" s="41">
        <f t="shared" si="45"/>
        <v>1765.7079920000001</v>
      </c>
      <c r="F203" s="41">
        <f t="shared" si="46"/>
        <v>1768.0718529999999</v>
      </c>
      <c r="G203" s="41">
        <f t="shared" si="53"/>
        <v>1766.8899225</v>
      </c>
      <c r="H203" s="49">
        <f t="shared" si="47"/>
        <v>23.496011967000001</v>
      </c>
      <c r="I203" s="49">
        <f t="shared" si="48"/>
        <v>23.271490631999999</v>
      </c>
      <c r="J203" s="49">
        <f t="shared" si="49"/>
        <v>23.046969297</v>
      </c>
      <c r="K203" s="49">
        <f t="shared" si="50"/>
        <v>44.201461666237719</v>
      </c>
      <c r="L203" s="49">
        <f t="shared" si="51"/>
        <v>44.194988868279054</v>
      </c>
      <c r="M203" s="49">
        <f t="shared" si="52"/>
        <v>44.188466305579674</v>
      </c>
      <c r="N203" s="49">
        <f t="shared" si="54"/>
        <v>20.705449699237718</v>
      </c>
      <c r="O203" s="49">
        <f t="shared" si="55"/>
        <v>20.923498236279055</v>
      </c>
      <c r="P203" s="49">
        <f t="shared" si="56"/>
        <v>21.141497008579673</v>
      </c>
      <c r="Q203" s="56">
        <f t="shared" si="57"/>
        <v>-9.9529481438764833E-5</v>
      </c>
      <c r="R203" s="56">
        <f t="shared" si="58"/>
        <v>0.43614683882339378</v>
      </c>
      <c r="S203" s="49">
        <f t="shared" si="59"/>
        <v>-1</v>
      </c>
      <c r="T203" s="49">
        <f t="shared" si="60"/>
        <v>20.705449699237718</v>
      </c>
      <c r="U203" s="49">
        <f t="shared" si="61"/>
        <v>20.705449699237718</v>
      </c>
      <c r="V203" s="41">
        <f t="shared" si="62"/>
        <v>1765.7079920000001</v>
      </c>
    </row>
    <row r="204" spans="2:22" x14ac:dyDescent="0.45">
      <c r="B204" s="11">
        <v>87</v>
      </c>
      <c r="C204" s="11">
        <v>2</v>
      </c>
      <c r="D204" s="11">
        <v>86</v>
      </c>
      <c r="E204" s="41">
        <f t="shared" si="45"/>
        <v>1768.0718529999999</v>
      </c>
      <c r="F204" s="41">
        <f t="shared" si="46"/>
        <v>1771.0730140000001</v>
      </c>
      <c r="G204" s="41">
        <f t="shared" si="53"/>
        <v>1769.5724335</v>
      </c>
      <c r="H204" s="49">
        <f t="shared" si="47"/>
        <v>23.046969297</v>
      </c>
      <c r="I204" s="49">
        <f t="shared" si="48"/>
        <v>22.741257419500002</v>
      </c>
      <c r="J204" s="49">
        <f t="shared" si="49"/>
        <v>22.435545542</v>
      </c>
      <c r="K204" s="49">
        <f t="shared" si="50"/>
        <v>44.188466305579674</v>
      </c>
      <c r="L204" s="49">
        <f t="shared" si="51"/>
        <v>44.180113553222803</v>
      </c>
      <c r="M204" s="49">
        <f t="shared" si="52"/>
        <v>44.17168058570428</v>
      </c>
      <c r="N204" s="49">
        <f t="shared" si="54"/>
        <v>21.141497008579673</v>
      </c>
      <c r="O204" s="49">
        <f t="shared" si="55"/>
        <v>21.438856133722801</v>
      </c>
      <c r="P204" s="49">
        <f t="shared" si="56"/>
        <v>21.73613504370428</v>
      </c>
      <c r="Q204" s="56">
        <f t="shared" si="57"/>
        <v>-1.6043032329804419E-4</v>
      </c>
      <c r="R204" s="56">
        <f t="shared" si="58"/>
        <v>0.59479846544790504</v>
      </c>
      <c r="S204" s="49">
        <f t="shared" si="59"/>
        <v>-1</v>
      </c>
      <c r="T204" s="49">
        <f t="shared" si="60"/>
        <v>21.141497008579673</v>
      </c>
      <c r="U204" s="49">
        <f t="shared" si="61"/>
        <v>21.141497008579673</v>
      </c>
      <c r="V204" s="41">
        <f t="shared" si="62"/>
        <v>1768.0718529999999</v>
      </c>
    </row>
    <row r="205" spans="2:22" x14ac:dyDescent="0.45">
      <c r="B205" s="11">
        <v>88</v>
      </c>
      <c r="C205" s="11">
        <v>2</v>
      </c>
      <c r="D205" s="11">
        <v>87</v>
      </c>
      <c r="E205" s="41">
        <f t="shared" si="45"/>
        <v>1771.0730140000001</v>
      </c>
      <c r="F205" s="41">
        <f t="shared" si="46"/>
        <v>1775.6254719999999</v>
      </c>
      <c r="G205" s="41">
        <f t="shared" si="53"/>
        <v>1773.3492430000001</v>
      </c>
      <c r="H205" s="49">
        <f t="shared" si="47"/>
        <v>22.435545542</v>
      </c>
      <c r="I205" s="49">
        <f t="shared" si="48"/>
        <v>22.024517525499981</v>
      </c>
      <c r="J205" s="49">
        <f t="shared" si="49"/>
        <v>21.613489509000001</v>
      </c>
      <c r="K205" s="49">
        <f t="shared" si="50"/>
        <v>44.17168058570428</v>
      </c>
      <c r="L205" s="49">
        <f t="shared" si="51"/>
        <v>44.158735500057446</v>
      </c>
      <c r="M205" s="49">
        <f t="shared" si="52"/>
        <v>44.145605840731037</v>
      </c>
      <c r="N205" s="49">
        <f t="shared" si="54"/>
        <v>21.73613504370428</v>
      </c>
      <c r="O205" s="49">
        <f t="shared" si="55"/>
        <v>22.134217974557465</v>
      </c>
      <c r="P205" s="49">
        <f t="shared" si="56"/>
        <v>22.532116331731036</v>
      </c>
      <c r="Q205" s="56">
        <f t="shared" si="57"/>
        <v>-3.6914735922977115E-4</v>
      </c>
      <c r="R205" s="56">
        <f t="shared" si="58"/>
        <v>0.79635043538598538</v>
      </c>
      <c r="S205" s="49">
        <f t="shared" si="59"/>
        <v>-1</v>
      </c>
      <c r="T205" s="49">
        <f t="shared" si="60"/>
        <v>21.73613504370428</v>
      </c>
      <c r="U205" s="49">
        <f t="shared" si="61"/>
        <v>21.73613504370428</v>
      </c>
      <c r="V205" s="41">
        <f t="shared" si="62"/>
        <v>1771.0730140000001</v>
      </c>
    </row>
    <row r="206" spans="2:22" x14ac:dyDescent="0.45">
      <c r="B206" s="11">
        <v>89</v>
      </c>
      <c r="C206" s="11">
        <v>2</v>
      </c>
      <c r="D206" s="11">
        <v>88</v>
      </c>
      <c r="E206" s="41">
        <f t="shared" si="45"/>
        <v>1775.6254719999999</v>
      </c>
      <c r="F206" s="41">
        <f t="shared" si="46"/>
        <v>1776.2859720000001</v>
      </c>
      <c r="G206" s="41">
        <f t="shared" si="53"/>
        <v>1775.9557220000002</v>
      </c>
      <c r="H206" s="49">
        <f t="shared" si="47"/>
        <v>21.613489509000001</v>
      </c>
      <c r="I206" s="49">
        <f t="shared" si="48"/>
        <v>21.561279327999983</v>
      </c>
      <c r="J206" s="49">
        <f t="shared" si="49"/>
        <v>21.509069147000002</v>
      </c>
      <c r="K206" s="49">
        <f t="shared" si="50"/>
        <v>44.145605840731037</v>
      </c>
      <c r="L206" s="49">
        <f t="shared" si="51"/>
        <v>44.14368557276719</v>
      </c>
      <c r="M206" s="49">
        <f t="shared" si="52"/>
        <v>44.141761419512648</v>
      </c>
      <c r="N206" s="49">
        <f t="shared" si="54"/>
        <v>22.532116331731036</v>
      </c>
      <c r="O206" s="49">
        <f t="shared" si="55"/>
        <v>22.582406244767206</v>
      </c>
      <c r="P206" s="49">
        <f t="shared" si="56"/>
        <v>22.632692272512646</v>
      </c>
      <c r="Q206" s="56">
        <f t="shared" si="57"/>
        <v>-7.770581461841175E-6</v>
      </c>
      <c r="R206" s="56">
        <f t="shared" si="58"/>
        <v>0.10058371136307187</v>
      </c>
      <c r="S206" s="49">
        <f t="shared" si="59"/>
        <v>-1</v>
      </c>
      <c r="T206" s="49">
        <f t="shared" si="60"/>
        <v>22.532116331731036</v>
      </c>
      <c r="U206" s="49">
        <f t="shared" si="61"/>
        <v>22.532116331731036</v>
      </c>
      <c r="V206" s="41">
        <f t="shared" si="62"/>
        <v>1775.6254719999999</v>
      </c>
    </row>
    <row r="207" spans="2:22" x14ac:dyDescent="0.45">
      <c r="B207" s="11">
        <v>90</v>
      </c>
      <c r="C207" s="11">
        <v>2</v>
      </c>
      <c r="D207" s="11">
        <v>89</v>
      </c>
      <c r="E207" s="41">
        <f t="shared" si="45"/>
        <v>1776.2859720000001</v>
      </c>
      <c r="F207" s="41">
        <f t="shared" si="46"/>
        <v>1777.0893020000001</v>
      </c>
      <c r="G207" s="41">
        <f t="shared" si="53"/>
        <v>1776.687637</v>
      </c>
      <c r="H207" s="49">
        <f t="shared" si="47"/>
        <v>21.509069147000002</v>
      </c>
      <c r="I207" s="49">
        <f t="shared" si="48"/>
        <v>21.492001830500005</v>
      </c>
      <c r="J207" s="49">
        <f t="shared" si="49"/>
        <v>21.474934514000001</v>
      </c>
      <c r="K207" s="49">
        <f t="shared" si="50"/>
        <v>44.141761419512648</v>
      </c>
      <c r="L207" s="49">
        <f t="shared" si="51"/>
        <v>44.139415940824179</v>
      </c>
      <c r="M207" s="49">
        <f t="shared" si="52"/>
        <v>44.137064714809519</v>
      </c>
      <c r="N207" s="49">
        <f t="shared" si="54"/>
        <v>22.632692272512646</v>
      </c>
      <c r="O207" s="49">
        <f t="shared" si="55"/>
        <v>22.647414110324174</v>
      </c>
      <c r="P207" s="49">
        <f t="shared" si="56"/>
        <v>22.662130200809518</v>
      </c>
      <c r="Q207" s="56">
        <f t="shared" si="57"/>
        <v>-1.1494652369492542E-5</v>
      </c>
      <c r="R207" s="56">
        <f t="shared" si="58"/>
        <v>2.9449422949241466E-2</v>
      </c>
      <c r="S207" s="49">
        <f t="shared" si="59"/>
        <v>-1</v>
      </c>
      <c r="T207" s="49">
        <f t="shared" si="60"/>
        <v>22.632692272512646</v>
      </c>
      <c r="U207" s="49">
        <f t="shared" si="61"/>
        <v>22.632692272512646</v>
      </c>
      <c r="V207" s="41">
        <f t="shared" si="62"/>
        <v>1776.2859720000001</v>
      </c>
    </row>
    <row r="208" spans="2:22" x14ac:dyDescent="0.45">
      <c r="B208" s="11">
        <v>91</v>
      </c>
      <c r="C208" s="11">
        <v>2</v>
      </c>
      <c r="D208" s="11">
        <v>90</v>
      </c>
      <c r="E208" s="41">
        <f t="shared" si="45"/>
        <v>1777.0893020000001</v>
      </c>
      <c r="F208" s="41">
        <f t="shared" si="46"/>
        <v>1779.737306</v>
      </c>
      <c r="G208" s="41">
        <f t="shared" si="53"/>
        <v>1778.4133040000002</v>
      </c>
      <c r="H208" s="49">
        <f t="shared" si="47"/>
        <v>21.474934514000001</v>
      </c>
      <c r="I208" s="49">
        <f t="shared" si="48"/>
        <v>21.451515023999999</v>
      </c>
      <c r="J208" s="49">
        <f t="shared" si="49"/>
        <v>21.428095534000001</v>
      </c>
      <c r="K208" s="49">
        <f t="shared" si="50"/>
        <v>44.137064714809519</v>
      </c>
      <c r="L208" s="49">
        <f t="shared" si="51"/>
        <v>44.129273709440028</v>
      </c>
      <c r="M208" s="49">
        <f t="shared" si="52"/>
        <v>44.121420256557379</v>
      </c>
      <c r="N208" s="49">
        <f t="shared" si="54"/>
        <v>22.662130200809518</v>
      </c>
      <c r="O208" s="49">
        <f t="shared" si="55"/>
        <v>22.677758685440029</v>
      </c>
      <c r="P208" s="49">
        <f t="shared" si="56"/>
        <v>22.693324722557378</v>
      </c>
      <c r="Q208" s="56">
        <f t="shared" si="57"/>
        <v>-1.248950263246229E-4</v>
      </c>
      <c r="R208" s="56">
        <f t="shared" si="58"/>
        <v>3.1319416774184816E-2</v>
      </c>
      <c r="S208" s="49">
        <f t="shared" si="59"/>
        <v>-1</v>
      </c>
      <c r="T208" s="49">
        <f t="shared" si="60"/>
        <v>22.662130200809518</v>
      </c>
      <c r="U208" s="49">
        <f t="shared" si="61"/>
        <v>22.662130200809518</v>
      </c>
      <c r="V208" s="41">
        <f t="shared" si="62"/>
        <v>1777.0893020000001</v>
      </c>
    </row>
    <row r="209" spans="2:22" x14ac:dyDescent="0.45">
      <c r="B209" s="11">
        <v>92</v>
      </c>
      <c r="C209" s="11">
        <v>2</v>
      </c>
      <c r="D209" s="11">
        <v>91</v>
      </c>
      <c r="E209" s="41">
        <f t="shared" si="45"/>
        <v>1779.737306</v>
      </c>
      <c r="F209" s="41">
        <f t="shared" si="46"/>
        <v>1780.8002180000001</v>
      </c>
      <c r="G209" s="41">
        <f t="shared" si="53"/>
        <v>1780.2687620000002</v>
      </c>
      <c r="H209" s="49">
        <f t="shared" si="47"/>
        <v>21.428095534000001</v>
      </c>
      <c r="I209" s="49">
        <f t="shared" si="48"/>
        <v>21.369906383499988</v>
      </c>
      <c r="J209" s="49">
        <f t="shared" si="49"/>
        <v>21.311717233</v>
      </c>
      <c r="K209" s="49">
        <f t="shared" si="50"/>
        <v>44.121420256557379</v>
      </c>
      <c r="L209" s="49">
        <f t="shared" si="51"/>
        <v>44.118250306979668</v>
      </c>
      <c r="M209" s="49">
        <f t="shared" si="52"/>
        <v>44.115070295675764</v>
      </c>
      <c r="N209" s="49">
        <f t="shared" si="54"/>
        <v>22.693324722557378</v>
      </c>
      <c r="O209" s="49">
        <f t="shared" si="55"/>
        <v>22.74834392347968</v>
      </c>
      <c r="P209" s="49">
        <f t="shared" si="56"/>
        <v>22.803353062675765</v>
      </c>
      <c r="Q209" s="56">
        <f t="shared" si="57"/>
        <v>-2.0123452436848766E-5</v>
      </c>
      <c r="R209" s="56">
        <f t="shared" si="58"/>
        <v>0.11004846357082343</v>
      </c>
      <c r="S209" s="49">
        <f t="shared" si="59"/>
        <v>-1</v>
      </c>
      <c r="T209" s="49">
        <f t="shared" si="60"/>
        <v>22.693324722557378</v>
      </c>
      <c r="U209" s="49">
        <f t="shared" si="61"/>
        <v>22.693324722557378</v>
      </c>
      <c r="V209" s="41">
        <f t="shared" si="62"/>
        <v>1779.737306</v>
      </c>
    </row>
    <row r="210" spans="2:22" x14ac:dyDescent="0.45">
      <c r="B210" s="11">
        <v>93</v>
      </c>
      <c r="C210" s="11">
        <v>2</v>
      </c>
      <c r="D210" s="11">
        <v>92</v>
      </c>
      <c r="E210" s="41">
        <f t="shared" si="45"/>
        <v>1780.8002180000001</v>
      </c>
      <c r="F210" s="41">
        <f t="shared" si="46"/>
        <v>1782.0551070000001</v>
      </c>
      <c r="G210" s="41">
        <f t="shared" si="53"/>
        <v>1781.4276625000002</v>
      </c>
      <c r="H210" s="49">
        <f t="shared" si="47"/>
        <v>21.311717233</v>
      </c>
      <c r="I210" s="49">
        <f t="shared" si="48"/>
        <v>21.230728334999984</v>
      </c>
      <c r="J210" s="49">
        <f t="shared" si="49"/>
        <v>21.149739437000001</v>
      </c>
      <c r="K210" s="49">
        <f t="shared" si="50"/>
        <v>44.115070295675764</v>
      </c>
      <c r="L210" s="49">
        <f t="shared" si="51"/>
        <v>44.111302977399475</v>
      </c>
      <c r="M210" s="49">
        <f t="shared" si="52"/>
        <v>44.107521634587265</v>
      </c>
      <c r="N210" s="49">
        <f t="shared" si="54"/>
        <v>22.803353062675765</v>
      </c>
      <c r="O210" s="49">
        <f t="shared" si="55"/>
        <v>22.880574642399491</v>
      </c>
      <c r="P210" s="49">
        <f t="shared" si="56"/>
        <v>22.957782197587264</v>
      </c>
      <c r="Q210" s="56">
        <f t="shared" si="57"/>
        <v>-2.8049071907787493E-5</v>
      </c>
      <c r="R210" s="56">
        <f t="shared" si="58"/>
        <v>0.15445718398340702</v>
      </c>
      <c r="S210" s="49">
        <f t="shared" si="59"/>
        <v>-1</v>
      </c>
      <c r="T210" s="49">
        <f t="shared" si="60"/>
        <v>22.803353062675765</v>
      </c>
      <c r="U210" s="49">
        <f t="shared" si="61"/>
        <v>22.803353062675765</v>
      </c>
      <c r="V210" s="41">
        <f t="shared" si="62"/>
        <v>1780.8002180000001</v>
      </c>
    </row>
    <row r="211" spans="2:22" x14ac:dyDescent="0.45">
      <c r="B211" s="11">
        <v>94</v>
      </c>
      <c r="C211" s="11">
        <v>2</v>
      </c>
      <c r="D211" s="11">
        <v>93</v>
      </c>
      <c r="E211" s="41">
        <f t="shared" si="45"/>
        <v>1782.0551070000001</v>
      </c>
      <c r="F211" s="41">
        <f t="shared" si="46"/>
        <v>1784.5521080000001</v>
      </c>
      <c r="G211" s="41">
        <f t="shared" si="53"/>
        <v>1783.3036075</v>
      </c>
      <c r="H211" s="49">
        <f t="shared" si="47"/>
        <v>21.149739437000001</v>
      </c>
      <c r="I211" s="49">
        <f t="shared" si="48"/>
        <v>21.261805459999991</v>
      </c>
      <c r="J211" s="49">
        <f t="shared" si="49"/>
        <v>21.373871482999999</v>
      </c>
      <c r="K211" s="49">
        <f t="shared" si="50"/>
        <v>44.107521634587265</v>
      </c>
      <c r="L211" s="49">
        <f t="shared" si="51"/>
        <v>44.099955732404247</v>
      </c>
      <c r="M211" s="49">
        <f t="shared" si="52"/>
        <v>44.092334301802381</v>
      </c>
      <c r="N211" s="49">
        <f t="shared" si="54"/>
        <v>22.957782197587264</v>
      </c>
      <c r="O211" s="49">
        <f t="shared" si="55"/>
        <v>22.838150272404256</v>
      </c>
      <c r="P211" s="49">
        <f t="shared" si="56"/>
        <v>22.718462818802383</v>
      </c>
      <c r="Q211" s="56">
        <f t="shared" si="57"/>
        <v>-1.1105683773138253E-4</v>
      </c>
      <c r="R211" s="56">
        <f t="shared" si="58"/>
        <v>-0.23920832194714947</v>
      </c>
      <c r="S211" s="49">
        <f t="shared" si="59"/>
        <v>-1</v>
      </c>
      <c r="T211" s="49">
        <f t="shared" si="60"/>
        <v>22.957782197587264</v>
      </c>
      <c r="U211" s="49">
        <f t="shared" si="61"/>
        <v>22.718462818802383</v>
      </c>
      <c r="V211" s="41">
        <f t="shared" si="62"/>
        <v>1784.5521080000001</v>
      </c>
    </row>
    <row r="212" spans="2:22" x14ac:dyDescent="0.45">
      <c r="B212" s="11">
        <v>95</v>
      </c>
      <c r="C212" s="11">
        <v>2</v>
      </c>
      <c r="D212" s="11">
        <v>94</v>
      </c>
      <c r="E212" s="41">
        <f t="shared" si="45"/>
        <v>1784.5521080000001</v>
      </c>
      <c r="F212" s="41">
        <f t="shared" si="46"/>
        <v>1785.117739</v>
      </c>
      <c r="G212" s="41">
        <f t="shared" si="53"/>
        <v>1784.8349235000001</v>
      </c>
      <c r="H212" s="49">
        <f t="shared" si="47"/>
        <v>21.373871482999999</v>
      </c>
      <c r="I212" s="49">
        <f t="shared" si="48"/>
        <v>21.392458368</v>
      </c>
      <c r="J212" s="49">
        <f t="shared" si="49"/>
        <v>21.411045253000001</v>
      </c>
      <c r="K212" s="49">
        <f t="shared" si="50"/>
        <v>44.092334301802381</v>
      </c>
      <c r="L212" s="49">
        <f t="shared" si="51"/>
        <v>44.090600149868621</v>
      </c>
      <c r="M212" s="49">
        <f t="shared" si="52"/>
        <v>44.088863148594811</v>
      </c>
      <c r="N212" s="49">
        <f t="shared" si="54"/>
        <v>22.718462818802383</v>
      </c>
      <c r="O212" s="49">
        <f t="shared" si="55"/>
        <v>22.698141781868621</v>
      </c>
      <c r="P212" s="49">
        <f t="shared" si="56"/>
        <v>22.67781789559481</v>
      </c>
      <c r="Q212" s="56">
        <f t="shared" si="57"/>
        <v>-5.6986800984759611E-6</v>
      </c>
      <c r="R212" s="56">
        <f t="shared" si="58"/>
        <v>-4.0639224527474482E-2</v>
      </c>
      <c r="S212" s="49">
        <f t="shared" si="59"/>
        <v>-1</v>
      </c>
      <c r="T212" s="49">
        <f t="shared" si="60"/>
        <v>22.718462818802383</v>
      </c>
      <c r="U212" s="49">
        <f t="shared" si="61"/>
        <v>22.67781789559481</v>
      </c>
      <c r="V212" s="41">
        <f t="shared" si="62"/>
        <v>1785.117739</v>
      </c>
    </row>
    <row r="213" spans="2:22" x14ac:dyDescent="0.45">
      <c r="B213" s="11">
        <v>96</v>
      </c>
      <c r="C213" s="11">
        <v>2</v>
      </c>
      <c r="D213" s="11">
        <v>95</v>
      </c>
      <c r="E213" s="41">
        <f t="shared" si="45"/>
        <v>1785.117739</v>
      </c>
      <c r="F213" s="41">
        <f t="shared" si="46"/>
        <v>1786.0682389999999</v>
      </c>
      <c r="G213" s="41">
        <f t="shared" si="53"/>
        <v>1785.592989</v>
      </c>
      <c r="H213" s="49">
        <f t="shared" si="47"/>
        <v>21.411045253000001</v>
      </c>
      <c r="I213" s="49">
        <f t="shared" si="48"/>
        <v>21.5165954245</v>
      </c>
      <c r="J213" s="49">
        <f t="shared" si="49"/>
        <v>21.622145595999999</v>
      </c>
      <c r="K213" s="49">
        <f t="shared" si="50"/>
        <v>44.088863148594811</v>
      </c>
      <c r="L213" s="49">
        <f t="shared" si="51"/>
        <v>44.085937832613062</v>
      </c>
      <c r="M213" s="49">
        <f t="shared" si="52"/>
        <v>44.08300447059262</v>
      </c>
      <c r="N213" s="49">
        <f t="shared" si="54"/>
        <v>22.67781789559481</v>
      </c>
      <c r="O213" s="49">
        <f t="shared" si="55"/>
        <v>22.569342408113062</v>
      </c>
      <c r="P213" s="49">
        <f t="shared" si="56"/>
        <v>22.460858874592621</v>
      </c>
      <c r="Q213" s="56">
        <f t="shared" si="57"/>
        <v>-1.6092077387952486E-5</v>
      </c>
      <c r="R213" s="56">
        <f t="shared" si="58"/>
        <v>-0.21694292892480149</v>
      </c>
      <c r="S213" s="49">
        <f t="shared" si="59"/>
        <v>-1</v>
      </c>
      <c r="T213" s="49">
        <f t="shared" si="60"/>
        <v>22.67781789559481</v>
      </c>
      <c r="U213" s="49">
        <f t="shared" si="61"/>
        <v>22.460858874592621</v>
      </c>
      <c r="V213" s="41">
        <f t="shared" si="62"/>
        <v>1786.0682389999999</v>
      </c>
    </row>
    <row r="214" spans="2:22" x14ac:dyDescent="0.45">
      <c r="B214" s="11">
        <v>97</v>
      </c>
      <c r="C214" s="11">
        <v>2</v>
      </c>
      <c r="D214" s="11">
        <v>96</v>
      </c>
      <c r="E214" s="41">
        <f t="shared" si="45"/>
        <v>1786.0682389999999</v>
      </c>
      <c r="F214" s="41">
        <f t="shared" si="46"/>
        <v>1791.268118</v>
      </c>
      <c r="G214" s="41">
        <f t="shared" ref="G214:G217" si="63">(E214+F214)/2</f>
        <v>1788.6681785000001</v>
      </c>
      <c r="H214" s="49">
        <f t="shared" si="47"/>
        <v>21.622145595999999</v>
      </c>
      <c r="I214" s="49">
        <f t="shared" si="48"/>
        <v>22.113409056000023</v>
      </c>
      <c r="J214" s="49">
        <f t="shared" si="49"/>
        <v>22.604672516000001</v>
      </c>
      <c r="K214" s="49">
        <f t="shared" si="50"/>
        <v>44.08300447059262</v>
      </c>
      <c r="L214" s="49">
        <f t="shared" si="51"/>
        <v>44.066814582053382</v>
      </c>
      <c r="M214" s="49">
        <f t="shared" si="52"/>
        <v>44.050383889151767</v>
      </c>
      <c r="N214" s="49">
        <f t="shared" si="54"/>
        <v>22.460858874592621</v>
      </c>
      <c r="O214" s="49">
        <f t="shared" si="55"/>
        <v>21.953405526053359</v>
      </c>
      <c r="P214" s="49">
        <f t="shared" si="56"/>
        <v>21.445711373151767</v>
      </c>
      <c r="Q214" s="56">
        <f t="shared" ref="Q214:Q217" si="64">2*(P214-2*O214+N214)</f>
        <v>-4.8160872466240789E-4</v>
      </c>
      <c r="R214" s="56">
        <f t="shared" ref="R214:R217" si="65">P214-N214-Q214</f>
        <v>-1.0146658927161916</v>
      </c>
      <c r="S214" s="49">
        <f t="shared" ref="S214:S217" si="66">IF(Q214&gt;0.000000000001,-R214/(2*Q214),-1)</f>
        <v>-1</v>
      </c>
      <c r="T214" s="49">
        <f t="shared" ref="T214:T217" si="67">IF(AND(S214&gt;0,S214&lt;1),N214+R214*S214+Q214*S214^2,N214)</f>
        <v>22.460858874592621</v>
      </c>
      <c r="U214" s="49">
        <f t="shared" ref="U214:U217" si="68">IF(F214&gt;E214,MIN(N214,P214,T214),"")</f>
        <v>21.445711373151767</v>
      </c>
      <c r="V214" s="41">
        <f t="shared" ref="V214:V217" si="69">IF(U214="","",IF(U214=N214,E214,IF(U214=P214,F214,E214+(F214-E214)*S214)))</f>
        <v>1791.268118</v>
      </c>
    </row>
    <row r="215" spans="2:22" x14ac:dyDescent="0.45">
      <c r="B215" s="11">
        <v>98</v>
      </c>
      <c r="C215" s="11">
        <v>2</v>
      </c>
      <c r="D215" s="11">
        <v>97</v>
      </c>
      <c r="E215" s="41">
        <f t="shared" si="45"/>
        <v>1791.268118</v>
      </c>
      <c r="F215" s="41">
        <f t="shared" si="46"/>
        <v>1797.2750020000001</v>
      </c>
      <c r="G215" s="41">
        <f t="shared" si="63"/>
        <v>1794.2715600000001</v>
      </c>
      <c r="H215" s="49">
        <f t="shared" si="47"/>
        <v>22.604672516000001</v>
      </c>
      <c r="I215" s="49">
        <f t="shared" si="48"/>
        <v>22.911013481500014</v>
      </c>
      <c r="J215" s="49">
        <f t="shared" si="49"/>
        <v>23.217354447000002</v>
      </c>
      <c r="K215" s="49">
        <f t="shared" si="50"/>
        <v>44.050383889151767</v>
      </c>
      <c r="L215" s="49">
        <f t="shared" si="51"/>
        <v>44.031103441459912</v>
      </c>
      <c r="M215" s="49">
        <f t="shared" si="52"/>
        <v>44.011501645202813</v>
      </c>
      <c r="N215" s="49">
        <f t="shared" si="54"/>
        <v>21.445711373151767</v>
      </c>
      <c r="O215" s="49">
        <f t="shared" si="55"/>
        <v>21.120089959959898</v>
      </c>
      <c r="P215" s="49">
        <f t="shared" si="56"/>
        <v>20.794147198202811</v>
      </c>
      <c r="Q215" s="56">
        <f t="shared" si="64"/>
        <v>-6.4269713043785259E-4</v>
      </c>
      <c r="R215" s="56">
        <f t="shared" si="65"/>
        <v>-0.6509214778185175</v>
      </c>
      <c r="S215" s="49">
        <f t="shared" si="66"/>
        <v>-1</v>
      </c>
      <c r="T215" s="49">
        <f t="shared" si="67"/>
        <v>21.445711373151767</v>
      </c>
      <c r="U215" s="49">
        <f t="shared" si="68"/>
        <v>20.794147198202811</v>
      </c>
      <c r="V215" s="41">
        <f t="shared" si="69"/>
        <v>1797.2750020000001</v>
      </c>
    </row>
    <row r="216" spans="2:22" x14ac:dyDescent="0.45">
      <c r="B216" s="11">
        <v>99</v>
      </c>
      <c r="C216" s="11">
        <v>2</v>
      </c>
      <c r="D216" s="11">
        <v>98</v>
      </c>
      <c r="E216" s="41">
        <f t="shared" si="45"/>
        <v>1797.2750020000001</v>
      </c>
      <c r="F216" s="41">
        <f t="shared" si="46"/>
        <v>1800.1551850000001</v>
      </c>
      <c r="G216" s="41">
        <f t="shared" si="63"/>
        <v>1798.7150935</v>
      </c>
      <c r="H216" s="49">
        <f t="shared" si="47"/>
        <v>23.217354447000002</v>
      </c>
      <c r="I216" s="49">
        <f t="shared" si="48"/>
        <v>23.330304401999992</v>
      </c>
      <c r="J216" s="49">
        <f t="shared" si="49"/>
        <v>23.443254357000001</v>
      </c>
      <c r="K216" s="49">
        <f t="shared" si="50"/>
        <v>44.011501645202813</v>
      </c>
      <c r="L216" s="49">
        <f t="shared" si="51"/>
        <v>44.001988989146625</v>
      </c>
      <c r="M216" s="49">
        <f t="shared" si="52"/>
        <v>43.992402454595386</v>
      </c>
      <c r="N216" s="49">
        <f t="shared" si="54"/>
        <v>20.794147198202811</v>
      </c>
      <c r="O216" s="49">
        <f t="shared" si="55"/>
        <v>20.671684587146633</v>
      </c>
      <c r="P216" s="49">
        <f t="shared" si="56"/>
        <v>20.549148097595385</v>
      </c>
      <c r="Q216" s="56">
        <f t="shared" si="64"/>
        <v>-1.4775699013824806E-4</v>
      </c>
      <c r="R216" s="56">
        <f t="shared" si="65"/>
        <v>-0.24485134361728811</v>
      </c>
      <c r="S216" s="49">
        <f t="shared" si="66"/>
        <v>-1</v>
      </c>
      <c r="T216" s="49">
        <f t="shared" si="67"/>
        <v>20.794147198202811</v>
      </c>
      <c r="U216" s="49">
        <f t="shared" si="68"/>
        <v>20.549148097595385</v>
      </c>
      <c r="V216" s="41">
        <f t="shared" si="69"/>
        <v>1800.1551850000001</v>
      </c>
    </row>
    <row r="217" spans="2:22" x14ac:dyDescent="0.45">
      <c r="B217" s="11">
        <v>100</v>
      </c>
      <c r="C217" s="11">
        <v>2</v>
      </c>
      <c r="D217" s="11">
        <v>99</v>
      </c>
      <c r="E217" s="41">
        <f t="shared" si="45"/>
        <v>1800.1551850000001</v>
      </c>
      <c r="F217" s="41">
        <f t="shared" si="46"/>
        <v>1800.4518860000001</v>
      </c>
      <c r="G217" s="41">
        <f t="shared" si="63"/>
        <v>1800.3035355000002</v>
      </c>
      <c r="H217" s="49">
        <f t="shared" si="47"/>
        <v>23.443254357000001</v>
      </c>
      <c r="I217" s="49">
        <f t="shared" si="48"/>
        <v>23.454248372000009</v>
      </c>
      <c r="J217" s="49">
        <f t="shared" si="49"/>
        <v>23.465242387</v>
      </c>
      <c r="K217" s="49">
        <f t="shared" si="50"/>
        <v>43.992402454595386</v>
      </c>
      <c r="L217" s="49">
        <f t="shared" si="51"/>
        <v>43.991410703956319</v>
      </c>
      <c r="M217" s="49">
        <f t="shared" si="52"/>
        <v>43.990418169317564</v>
      </c>
      <c r="N217" s="49">
        <f t="shared" si="54"/>
        <v>20.549148097595385</v>
      </c>
      <c r="O217" s="49">
        <f t="shared" si="55"/>
        <v>20.53716233195631</v>
      </c>
      <c r="P217" s="49">
        <f t="shared" si="56"/>
        <v>20.525175782317564</v>
      </c>
      <c r="Q217" s="56">
        <f t="shared" si="64"/>
        <v>-1.567999341034465E-6</v>
      </c>
      <c r="R217" s="56">
        <f t="shared" si="65"/>
        <v>-2.3970747278479365E-2</v>
      </c>
      <c r="S217" s="49">
        <f t="shared" si="66"/>
        <v>-1</v>
      </c>
      <c r="T217" s="49">
        <f t="shared" si="67"/>
        <v>20.549148097595385</v>
      </c>
      <c r="U217" s="49">
        <f t="shared" si="68"/>
        <v>20.525175782317564</v>
      </c>
      <c r="V217" s="41">
        <f t="shared" si="69"/>
        <v>1800.4518860000001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A96A3"/>
    <pageSetUpPr fitToPage="1"/>
  </sheetPr>
  <dimension ref="B1:S101"/>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1365</v>
      </c>
      <c r="P1" s="43" t="s">
        <v>785</v>
      </c>
    </row>
    <row r="2" spans="2:19" x14ac:dyDescent="0.45">
      <c r="B2" s="8" t="s">
        <v>1366</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ht="42.6" customHeight="1" x14ac:dyDescent="0.45">
      <c r="B4" s="85" t="s">
        <v>1367</v>
      </c>
      <c r="C4" s="83"/>
      <c r="D4" s="83"/>
      <c r="E4" s="83"/>
      <c r="F4" s="83"/>
      <c r="G4" s="83"/>
      <c r="H4" s="83"/>
      <c r="I4" s="83"/>
      <c r="J4" s="83"/>
      <c r="K4" s="83"/>
      <c r="L4" s="83"/>
      <c r="M4" s="83"/>
      <c r="P4" s="45" t="s">
        <v>1368</v>
      </c>
    </row>
    <row r="5" spans="2:19" ht="15" customHeight="1" x14ac:dyDescent="0.45">
      <c r="P5" s="46" t="s">
        <v>790</v>
      </c>
      <c r="Q5" s="46" t="s">
        <v>791</v>
      </c>
      <c r="R5" s="46" t="s">
        <v>792</v>
      </c>
      <c r="S5" s="46" t="s">
        <v>793</v>
      </c>
    </row>
    <row r="6" spans="2:19" ht="15" customHeight="1" x14ac:dyDescent="0.45">
      <c r="P6" s="44" t="s">
        <v>1369</v>
      </c>
      <c r="Q6" s="47">
        <f>MAX(Prof_Sta0,MIN(Clearance!$E$16:$E$114))</f>
        <v>1593.22</v>
      </c>
    </row>
    <row r="7" spans="2:19" ht="15" customHeight="1" x14ac:dyDescent="0.45">
      <c r="P7" s="44" t="s">
        <v>1370</v>
      </c>
      <c r="Q7" s="47">
        <f>MIN(Prof_Sta1,MAX(Clearance!$F$16:$F$114))</f>
        <v>1800.4518860000001</v>
      </c>
    </row>
    <row r="8" spans="2:19" ht="29.45" customHeight="1" x14ac:dyDescent="0.45">
      <c r="B8" s="85" t="s">
        <v>1371</v>
      </c>
      <c r="C8" s="83"/>
      <c r="D8" s="83"/>
      <c r="E8" s="83"/>
      <c r="F8" s="83"/>
      <c r="G8" s="83"/>
      <c r="H8" s="83"/>
      <c r="I8" s="83"/>
      <c r="J8" s="83"/>
      <c r="K8" s="83"/>
      <c r="L8" s="83"/>
      <c r="M8" s="83"/>
      <c r="P8" s="44" t="s">
        <v>1372</v>
      </c>
      <c r="Q8" s="47">
        <f>MAX(Sp1_Bm0,$Q$6)</f>
        <v>1593.47</v>
      </c>
    </row>
    <row r="9" spans="2:19" ht="15" customHeight="1" x14ac:dyDescent="0.45">
      <c r="P9" s="44" t="s">
        <v>1373</v>
      </c>
      <c r="Q9" s="47">
        <f>MIN(Sp1_Bm1,$Q$7)</f>
        <v>1700.4449999999999</v>
      </c>
    </row>
    <row r="10" spans="2:19" ht="15" customHeight="1" x14ac:dyDescent="0.45">
      <c r="P10" s="44" t="s">
        <v>1374</v>
      </c>
      <c r="Q10" s="47">
        <f>$Q$8+0/30*($Q$9-$Q$8)</f>
        <v>1593.47</v>
      </c>
      <c r="R10" s="47">
        <f>(Sp1_ZA+(Sp1_ZB-Sp1_ZA)*((($Q$10)-Sp1_BrgA)/Sp1_Lb)-Sup_Drop+Sp1_C/3*((($Q$10)-Sp1_BrgA)/Sp1_Lb)*(1-((($Q$10)-Sp1_BrgA)/Sp1_Lb))+(MIN(Bm1_Raise,Bm2_Raise))/12)-(INDEX(Clearance!$G$16:$G$114,MATCH($Q$10,Clearance!$E$16:$E$114,1))+INDEX(Clearance!$H$16:$H$114,MATCH($Q$10,Clearance!$E$16:$E$114,1))*(($Q$10)-INDEX(Clearance!$E$16:$E$114,MATCH($Q$10,Clearance!$E$16:$E$114,1)))+INDEX(Clearance!$I$16:$I$114,MATCH($Q$10,Clearance!$E$16:$E$114,1))*(($Q$10)-INDEX(Clearance!$E$16:$E$114,MATCH($Q$10,Clearance!$E$16:$E$114,1)))^2)</f>
        <v>19.929016876514414</v>
      </c>
    </row>
    <row r="11" spans="2:19" ht="15" customHeight="1" x14ac:dyDescent="0.45">
      <c r="Q11" s="47">
        <f>$Q$8+1/30*($Q$9-$Q$8)</f>
        <v>1597.0358333333334</v>
      </c>
      <c r="R11" s="47">
        <f>(Sp1_ZA+(Sp1_ZB-Sp1_ZA)*((($Q$11)-Sp1_BrgA)/Sp1_Lb)-Sup_Drop+Sp1_C/3*((($Q$11)-Sp1_BrgA)/Sp1_Lb)*(1-((($Q$11)-Sp1_BrgA)/Sp1_Lb))+(MIN(Bm1_Raise,Bm2_Raise))/12)-(INDEX(Clearance!$G$16:$G$114,MATCH($Q$11,Clearance!$E$16:$E$114,1))+INDEX(Clearance!$H$16:$H$114,MATCH($Q$11,Clearance!$E$16:$E$114,1))*(($Q$11)-INDEX(Clearance!$E$16:$E$114,MATCH($Q$11,Clearance!$E$16:$E$114,1)))+INDEX(Clearance!$I$16:$I$114,MATCH($Q$11,Clearance!$E$16:$E$114,1))*(($Q$11)-INDEX(Clearance!$E$16:$E$114,MATCH($Q$11,Clearance!$E$16:$E$114,1)))^2)</f>
        <v>20.086473798954362</v>
      </c>
    </row>
    <row r="12" spans="2:19" ht="15" customHeight="1" x14ac:dyDescent="0.45">
      <c r="Q12" s="47">
        <f>$Q$8+2/30*($Q$9-$Q$8)</f>
        <v>1600.6016666666667</v>
      </c>
      <c r="R12" s="47">
        <f>(Sp1_ZA+(Sp1_ZB-Sp1_ZA)*((($Q$12)-Sp1_BrgA)/Sp1_Lb)-Sup_Drop+Sp1_C/3*((($Q$12)-Sp1_BrgA)/Sp1_Lb)*(1-((($Q$12)-Sp1_BrgA)/Sp1_Lb))+(MIN(Bm1_Raise,Bm2_Raise))/12)-(INDEX(Clearance!$G$16:$G$114,MATCH($Q$12,Clearance!$E$16:$E$114,1))+INDEX(Clearance!$H$16:$H$114,MATCH($Q$12,Clearance!$E$16:$E$114,1))*(($Q$12)-INDEX(Clearance!$E$16:$E$114,MATCH($Q$12,Clearance!$E$16:$E$114,1)))+INDEX(Clearance!$I$16:$I$114,MATCH($Q$12,Clearance!$E$16:$E$114,1))*(($Q$12)-INDEX(Clearance!$E$16:$E$114,MATCH($Q$12,Clearance!$E$16:$E$114,1)))^2)</f>
        <v>20.040782808211656</v>
      </c>
    </row>
    <row r="13" spans="2:19" ht="15" customHeight="1" x14ac:dyDescent="0.45">
      <c r="Q13" s="47">
        <f>$Q$8+3/30*($Q$9-$Q$8)</f>
        <v>1604.1675</v>
      </c>
      <c r="R13" s="47">
        <f>(Sp1_ZA+(Sp1_ZB-Sp1_ZA)*((($Q$13)-Sp1_BrgA)/Sp1_Lb)-Sup_Drop+Sp1_C/3*((($Q$13)-Sp1_BrgA)/Sp1_Lb)*(1-((($Q$13)-Sp1_BrgA)/Sp1_Lb))+(MIN(Bm1_Raise,Bm2_Raise))/12)-(INDEX(Clearance!$G$16:$G$114,MATCH($Q$13,Clearance!$E$16:$E$114,1))+INDEX(Clearance!$H$16:$H$114,MATCH($Q$13,Clearance!$E$16:$E$114,1))*(($Q$13)-INDEX(Clearance!$E$16:$E$114,MATCH($Q$13,Clearance!$E$16:$E$114,1)))+INDEX(Clearance!$I$16:$I$114,MATCH($Q$13,Clearance!$E$16:$E$114,1))*(($Q$13)-INDEX(Clearance!$E$16:$E$114,MATCH($Q$13,Clearance!$E$16:$E$114,1)))^2)</f>
        <v>19.40287279712075</v>
      </c>
    </row>
    <row r="14" spans="2:19" ht="15" customHeight="1" x14ac:dyDescent="0.45">
      <c r="Q14" s="47">
        <f>$Q$8+4/30*($Q$9-$Q$8)</f>
        <v>1607.7333333333333</v>
      </c>
      <c r="R14" s="47">
        <f>(Sp1_ZA+(Sp1_ZB-Sp1_ZA)*((($Q$14)-Sp1_BrgA)/Sp1_Lb)-Sup_Drop+Sp1_C/3*((($Q$14)-Sp1_BrgA)/Sp1_Lb)*(1-((($Q$14)-Sp1_BrgA)/Sp1_Lb))+(MIN(Bm1_Raise,Bm2_Raise))/12)-(INDEX(Clearance!$G$16:$G$114,MATCH($Q$14,Clearance!$E$16:$E$114,1))+INDEX(Clearance!$H$16:$H$114,MATCH($Q$14,Clearance!$E$16:$E$114,1))*(($Q$14)-INDEX(Clearance!$E$16:$E$114,MATCH($Q$14,Clearance!$E$16:$E$114,1)))+INDEX(Clearance!$I$16:$I$114,MATCH($Q$14,Clearance!$E$16:$E$114,1))*(($Q$14)-INDEX(Clearance!$E$16:$E$114,MATCH($Q$14,Clearance!$E$16:$E$114,1)))^2)</f>
        <v>19.547723242380275</v>
      </c>
    </row>
    <row r="15" spans="2:19" ht="15" customHeight="1" x14ac:dyDescent="0.45">
      <c r="Q15" s="47">
        <f>$Q$8+5/30*($Q$9-$Q$8)</f>
        <v>1611.2991666666667</v>
      </c>
      <c r="R15" s="47">
        <f>(Sp1_ZA+(Sp1_ZB-Sp1_ZA)*((($Q$15)-Sp1_BrgA)/Sp1_Lb)-Sup_Drop+Sp1_C/3*((($Q$15)-Sp1_BrgA)/Sp1_Lb)*(1-((($Q$15)-Sp1_BrgA)/Sp1_Lb))+(MIN(Bm1_Raise,Bm2_Raise))/12)-(INDEX(Clearance!$G$16:$G$114,MATCH($Q$15,Clearance!$E$16:$E$114,1))+INDEX(Clearance!$H$16:$H$114,MATCH($Q$15,Clearance!$E$16:$E$114,1))*(($Q$15)-INDEX(Clearance!$E$16:$E$114,MATCH($Q$15,Clearance!$E$16:$E$114,1)))+INDEX(Clearance!$I$16:$I$114,MATCH($Q$15,Clearance!$E$16:$E$114,1))*(($Q$15)-INDEX(Clearance!$E$16:$E$114,MATCH($Q$15,Clearance!$E$16:$E$114,1)))^2)</f>
        <v>20.061320063936829</v>
      </c>
    </row>
    <row r="16" spans="2:19" ht="15" customHeight="1" x14ac:dyDescent="0.45">
      <c r="Q16" s="47">
        <f>$Q$8+6/30*($Q$9-$Q$8)</f>
        <v>1614.865</v>
      </c>
      <c r="R16" s="47">
        <f>(Sp1_ZA+(Sp1_ZB-Sp1_ZA)*((($Q$16)-Sp1_BrgA)/Sp1_Lb)-Sup_Drop+Sp1_C/3*((($Q$16)-Sp1_BrgA)/Sp1_Lb)*(1-((($Q$16)-Sp1_BrgA)/Sp1_Lb))+(MIN(Bm1_Raise,Bm2_Raise))/12)-(INDEX(Clearance!$G$16:$G$114,MATCH($Q$16,Clearance!$E$16:$E$114,1))+INDEX(Clearance!$H$16:$H$114,MATCH($Q$16,Clearance!$E$16:$E$114,1))*(($Q$16)-INDEX(Clearance!$E$16:$E$114,MATCH($Q$16,Clearance!$E$16:$E$114,1)))+INDEX(Clearance!$I$16:$I$114,MATCH($Q$16,Clearance!$E$16:$E$114,1))*(($Q$16)-INDEX(Clearance!$E$16:$E$114,MATCH($Q$16,Clearance!$E$16:$E$114,1)))^2)</f>
        <v>20.589586678675147</v>
      </c>
    </row>
    <row r="17" spans="2:18" ht="15" customHeight="1" x14ac:dyDescent="0.45">
      <c r="Q17" s="47">
        <f>$Q$8+7/30*($Q$9-$Q$8)</f>
        <v>1618.4308333333333</v>
      </c>
      <c r="R17" s="47">
        <f>(Sp1_ZA+(Sp1_ZB-Sp1_ZA)*((($Q$17)-Sp1_BrgA)/Sp1_Lb)-Sup_Drop+Sp1_C/3*((($Q$17)-Sp1_BrgA)/Sp1_Lb)*(1-((($Q$17)-Sp1_BrgA)/Sp1_Lb))+(MIN(Bm1_Raise,Bm2_Raise))/12)-(INDEX(Clearance!$G$16:$G$114,MATCH($Q$17,Clearance!$E$16:$E$114,1))+INDEX(Clearance!$H$16:$H$114,MATCH($Q$17,Clearance!$E$16:$E$114,1))*(($Q$17)-INDEX(Clearance!$E$16:$E$114,MATCH($Q$17,Clearance!$E$16:$E$114,1)))+INDEX(Clearance!$I$16:$I$114,MATCH($Q$17,Clearance!$E$16:$E$114,1))*(($Q$17)-INDEX(Clearance!$E$16:$E$114,MATCH($Q$17,Clearance!$E$16:$E$114,1)))^2)</f>
        <v>21.126056304359345</v>
      </c>
    </row>
    <row r="18" spans="2:18" ht="15" customHeight="1" x14ac:dyDescent="0.45">
      <c r="Q18" s="47">
        <f>$Q$8+8/30*($Q$9-$Q$8)</f>
        <v>1621.9966666666667</v>
      </c>
      <c r="R18" s="47">
        <f>(Sp1_ZA+(Sp1_ZB-Sp1_ZA)*((($Q$18)-Sp1_BrgA)/Sp1_Lb)-Sup_Drop+Sp1_C/3*((($Q$18)-Sp1_BrgA)/Sp1_Lb)*(1-((($Q$18)-Sp1_BrgA)/Sp1_Lb))+(MIN(Bm1_Raise,Bm2_Raise))/12)-(INDEX(Clearance!$G$16:$G$114,MATCH($Q$18,Clearance!$E$16:$E$114,1))+INDEX(Clearance!$H$16:$H$114,MATCH($Q$18,Clearance!$E$16:$E$114,1))*(($Q$18)-INDEX(Clearance!$E$16:$E$114,MATCH($Q$18,Clearance!$E$16:$E$114,1)))+INDEX(Clearance!$I$16:$I$114,MATCH($Q$18,Clearance!$E$16:$E$114,1))*(($Q$18)-INDEX(Clearance!$E$16:$E$114,MATCH($Q$18,Clearance!$E$16:$E$114,1)))^2)</f>
        <v>21.405767006267851</v>
      </c>
    </row>
    <row r="19" spans="2:18" ht="15" customHeight="1" x14ac:dyDescent="0.45">
      <c r="Q19" s="47">
        <f>$Q$8+9/30*($Q$9-$Q$8)</f>
        <v>1625.5625</v>
      </c>
      <c r="R19" s="47">
        <f>(Sp1_ZA+(Sp1_ZB-Sp1_ZA)*((($Q$19)-Sp1_BrgA)/Sp1_Lb)-Sup_Drop+Sp1_C/3*((($Q$19)-Sp1_BrgA)/Sp1_Lb)*(1-((($Q$19)-Sp1_BrgA)/Sp1_Lb))+(MIN(Bm1_Raise,Bm2_Raise))/12)-(INDEX(Clearance!$G$16:$G$114,MATCH($Q$19,Clearance!$E$16:$E$114,1))+INDEX(Clearance!$H$16:$H$114,MATCH($Q$19,Clearance!$E$16:$E$114,1))*(($Q$19)-INDEX(Clearance!$E$16:$E$114,MATCH($Q$19,Clearance!$E$16:$E$114,1)))+INDEX(Clearance!$I$16:$I$114,MATCH($Q$19,Clearance!$E$16:$E$114,1))*(($Q$19)-INDEX(Clearance!$E$16:$E$114,MATCH($Q$19,Clearance!$E$16:$E$114,1)))^2)</f>
        <v>21.531973616708314</v>
      </c>
    </row>
    <row r="20" spans="2:18" ht="15" customHeight="1" x14ac:dyDescent="0.45">
      <c r="Q20" s="47">
        <f>$Q$8+10/30*($Q$9-$Q$8)</f>
        <v>1629.1283333333333</v>
      </c>
      <c r="R20" s="47">
        <f>(Sp1_ZA+(Sp1_ZB-Sp1_ZA)*((($Q$20)-Sp1_BrgA)/Sp1_Lb)-Sup_Drop+Sp1_C/3*((($Q$20)-Sp1_BrgA)/Sp1_Lb)*(1-((($Q$20)-Sp1_BrgA)/Sp1_Lb))+(MIN(Bm1_Raise,Bm2_Raise))/12)-(INDEX(Clearance!$G$16:$G$114,MATCH($Q$20,Clearance!$E$16:$E$114,1))+INDEX(Clearance!$H$16:$H$114,MATCH($Q$20,Clearance!$E$16:$E$114,1))*(($Q$20)-INDEX(Clearance!$E$16:$E$114,MATCH($Q$20,Clearance!$E$16:$E$114,1)))+INDEX(Clearance!$I$16:$I$114,MATCH($Q$20,Clearance!$E$16:$E$114,1))*(($Q$20)-INDEX(Clearance!$E$16:$E$114,MATCH($Q$20,Clearance!$E$16:$E$114,1)))^2)</f>
        <v>21.349258740129095</v>
      </c>
    </row>
    <row r="21" spans="2:18" ht="15" customHeight="1" x14ac:dyDescent="0.45">
      <c r="Q21" s="47">
        <f>$Q$8+11/30*($Q$9-$Q$8)</f>
        <v>1632.6941666666667</v>
      </c>
      <c r="R21" s="47">
        <f>(Sp1_ZA+(Sp1_ZB-Sp1_ZA)*((($Q$21)-Sp1_BrgA)/Sp1_Lb)-Sup_Drop+Sp1_C/3*((($Q$21)-Sp1_BrgA)/Sp1_Lb)*(1-((($Q$21)-Sp1_BrgA)/Sp1_Lb))+(MIN(Bm1_Raise,Bm2_Raise))/12)-(INDEX(Clearance!$G$16:$G$114,MATCH($Q$21,Clearance!$E$16:$E$114,1))+INDEX(Clearance!$H$16:$H$114,MATCH($Q$21,Clearance!$E$16:$E$114,1))*(($Q$21)-INDEX(Clearance!$E$16:$E$114,MATCH($Q$21,Clearance!$E$16:$E$114,1)))+INDEX(Clearance!$I$16:$I$114,MATCH($Q$21,Clearance!$E$16:$E$114,1))*(($Q$21)-INDEX(Clearance!$E$16:$E$114,MATCH($Q$21,Clearance!$E$16:$E$114,1)))^2)</f>
        <v>21.03021417654508</v>
      </c>
    </row>
    <row r="22" spans="2:18" ht="15" customHeight="1" x14ac:dyDescent="0.45">
      <c r="Q22" s="47">
        <f>$Q$8+12/30*($Q$9-$Q$8)</f>
        <v>1636.26</v>
      </c>
      <c r="R22" s="47">
        <f>(Sp1_ZA+(Sp1_ZB-Sp1_ZA)*((($Q$22)-Sp1_BrgA)/Sp1_Lb)-Sup_Drop+Sp1_C/3*((($Q$22)-Sp1_BrgA)/Sp1_Lb)*(1-((($Q$22)-Sp1_BrgA)/Sp1_Lb))+(MIN(Bm1_Raise,Bm2_Raise))/12)-(INDEX(Clearance!$G$16:$G$114,MATCH($Q$22,Clearance!$E$16:$E$114,1))+INDEX(Clearance!$H$16:$H$114,MATCH($Q$22,Clearance!$E$16:$E$114,1))*(($Q$22)-INDEX(Clearance!$E$16:$E$114,MATCH($Q$22,Clearance!$E$16:$E$114,1)))+INDEX(Clearance!$I$16:$I$114,MATCH($Q$22,Clearance!$E$16:$E$114,1))*(($Q$22)-INDEX(Clearance!$E$16:$E$114,MATCH($Q$22,Clearance!$E$16:$E$114,1)))^2)</f>
        <v>20.531659160290125</v>
      </c>
    </row>
    <row r="23" spans="2:18" ht="15" customHeight="1" x14ac:dyDescent="0.45">
      <c r="Q23" s="47">
        <f>$Q$8+13/30*($Q$9-$Q$8)</f>
        <v>1639.8258333333333</v>
      </c>
      <c r="R23" s="47">
        <f>(Sp1_ZA+(Sp1_ZB-Sp1_ZA)*((($Q$23)-Sp1_BrgA)/Sp1_Lb)-Sup_Drop+Sp1_C/3*((($Q$23)-Sp1_BrgA)/Sp1_Lb)*(1-((($Q$23)-Sp1_BrgA)/Sp1_Lb))+(MIN(Bm1_Raise,Bm2_Raise))/12)-(INDEX(Clearance!$G$16:$G$114,MATCH($Q$23,Clearance!$E$16:$E$114,1))+INDEX(Clearance!$H$16:$H$114,MATCH($Q$23,Clearance!$E$16:$E$114,1))*(($Q$23)-INDEX(Clearance!$E$16:$E$114,MATCH($Q$23,Clearance!$E$16:$E$114,1)))+INDEX(Clearance!$I$16:$I$114,MATCH($Q$23,Clearance!$E$16:$E$114,1))*(($Q$23)-INDEX(Clearance!$E$16:$E$114,MATCH($Q$23,Clearance!$E$16:$E$114,1)))^2)</f>
        <v>19.936046635826827</v>
      </c>
    </row>
    <row r="24" spans="2:18" ht="15" customHeight="1" x14ac:dyDescent="0.45">
      <c r="Q24" s="47">
        <f>$Q$8+14/30*($Q$9-$Q$8)</f>
        <v>1643.3916666666667</v>
      </c>
      <c r="R24" s="47">
        <f>(Sp1_ZA+(Sp1_ZB-Sp1_ZA)*((($Q$24)-Sp1_BrgA)/Sp1_Lb)-Sup_Drop+Sp1_C/3*((($Q$24)-Sp1_BrgA)/Sp1_Lb)*(1-((($Q$24)-Sp1_BrgA)/Sp1_Lb))+(MIN(Bm1_Raise,Bm2_Raise))/12)-(INDEX(Clearance!$G$16:$G$114,MATCH($Q$24,Clearance!$E$16:$E$114,1))+INDEX(Clearance!$H$16:$H$114,MATCH($Q$24,Clearance!$E$16:$E$114,1))*(($Q$24)-INDEX(Clearance!$E$16:$E$114,MATCH($Q$24,Clearance!$E$16:$E$114,1)))+INDEX(Clearance!$I$16:$I$114,MATCH($Q$24,Clearance!$E$16:$E$114,1))*(($Q$24)-INDEX(Clearance!$E$16:$E$114,MATCH($Q$24,Clearance!$E$16:$E$114,1)))^2)</f>
        <v>19.453952730166165</v>
      </c>
    </row>
    <row r="25" spans="2:18" ht="15" customHeight="1" x14ac:dyDescent="0.45">
      <c r="Q25" s="47">
        <f>$Q$8+15/30*($Q$9-$Q$8)</f>
        <v>1646.9575</v>
      </c>
      <c r="R25" s="47">
        <f>(Sp1_ZA+(Sp1_ZB-Sp1_ZA)*((($Q$25)-Sp1_BrgA)/Sp1_Lb)-Sup_Drop+Sp1_C/3*((($Q$25)-Sp1_BrgA)/Sp1_Lb)*(1-((($Q$25)-Sp1_BrgA)/Sp1_Lb))+(MIN(Bm1_Raise,Bm2_Raise))/12)-(INDEX(Clearance!$G$16:$G$114,MATCH($Q$25,Clearance!$E$16:$E$114,1))+INDEX(Clearance!$H$16:$H$114,MATCH($Q$25,Clearance!$E$16:$E$114,1))*(($Q$25)-INDEX(Clearance!$E$16:$E$114,MATCH($Q$25,Clearance!$E$16:$E$114,1)))+INDEX(Clearance!$I$16:$I$114,MATCH($Q$25,Clearance!$E$16:$E$114,1))*(($Q$25)-INDEX(Clearance!$E$16:$E$114,MATCH($Q$25,Clearance!$E$16:$E$114,1)))^2)</f>
        <v>19.478631240799682</v>
      </c>
    </row>
    <row r="26" spans="2:18" ht="15" customHeight="1" x14ac:dyDescent="0.45">
      <c r="Q26" s="47">
        <f>$Q$8+16/30*($Q$9-$Q$8)</f>
        <v>1650.5233333333333</v>
      </c>
      <c r="R26" s="47">
        <f>(Sp1_ZA+(Sp1_ZB-Sp1_ZA)*((($Q$26)-Sp1_BrgA)/Sp1_Lb)-Sup_Drop+Sp1_C/3*((($Q$26)-Sp1_BrgA)/Sp1_Lb)*(1-((($Q$26)-Sp1_BrgA)/Sp1_Lb))+(MIN(Bm1_Raise,Bm2_Raise))/12)-(INDEX(Clearance!$G$16:$G$114,MATCH($Q$26,Clearance!$E$16:$E$114,1))+INDEX(Clearance!$H$16:$H$114,MATCH($Q$26,Clearance!$E$16:$E$114,1))*(($Q$26)-INDEX(Clearance!$E$16:$E$114,MATCH($Q$26,Clearance!$E$16:$E$114,1)))+INDEX(Clearance!$I$16:$I$114,MATCH($Q$26,Clearance!$E$16:$E$114,1))*(($Q$26)-INDEX(Clearance!$E$16:$E$114,MATCH($Q$26,Clearance!$E$16:$E$114,1)))^2)</f>
        <v>19.245025108256705</v>
      </c>
    </row>
    <row r="27" spans="2:18" ht="15" customHeight="1" x14ac:dyDescent="0.45">
      <c r="Q27" s="47">
        <f>$Q$8+17/30*($Q$9-$Q$8)</f>
        <v>1654.0891666666666</v>
      </c>
      <c r="R27" s="47">
        <f>(Sp1_ZA+(Sp1_ZB-Sp1_ZA)*((($Q$27)-Sp1_BrgA)/Sp1_Lb)-Sup_Drop+Sp1_C/3*((($Q$27)-Sp1_BrgA)/Sp1_Lb)*(1-((($Q$27)-Sp1_BrgA)/Sp1_Lb))+(MIN(Bm1_Raise,Bm2_Raise))/12)-(INDEX(Clearance!$G$16:$G$114,MATCH($Q$27,Clearance!$E$16:$E$114,1))+INDEX(Clearance!$H$16:$H$114,MATCH($Q$27,Clearance!$E$16:$E$114,1))*(($Q$27)-INDEX(Clearance!$E$16:$E$114,MATCH($Q$27,Clearance!$E$16:$E$114,1)))+INDEX(Clearance!$I$16:$I$114,MATCH($Q$27,Clearance!$E$16:$E$114,1))*(($Q$27)-INDEX(Clearance!$E$16:$E$114,MATCH($Q$27,Clearance!$E$16:$E$114,1)))^2)</f>
        <v>19.017917290640106</v>
      </c>
    </row>
    <row r="28" spans="2:18" ht="15" customHeight="1" x14ac:dyDescent="0.45">
      <c r="Q28" s="47">
        <f>$Q$8+18/30*($Q$9-$Q$8)</f>
        <v>1657.655</v>
      </c>
      <c r="R28" s="47">
        <f>(Sp1_ZA+(Sp1_ZB-Sp1_ZA)*((($Q$28)-Sp1_BrgA)/Sp1_Lb)-Sup_Drop+Sp1_C/3*((($Q$28)-Sp1_BrgA)/Sp1_Lb)*(1-((($Q$28)-Sp1_BrgA)/Sp1_Lb))+(MIN(Bm1_Raise,Bm2_Raise))/12)-(INDEX(Clearance!$G$16:$G$114,MATCH($Q$28,Clearance!$E$16:$E$114,1))+INDEX(Clearance!$H$16:$H$114,MATCH($Q$28,Clearance!$E$16:$E$114,1))*(($Q$28)-INDEX(Clearance!$E$16:$E$114,MATCH($Q$28,Clearance!$E$16:$E$114,1)))+INDEX(Clearance!$I$16:$I$114,MATCH($Q$28,Clearance!$E$16:$E$114,1))*(($Q$28)-INDEX(Clearance!$E$16:$E$114,MATCH($Q$28,Clearance!$E$16:$E$114,1)))^2)</f>
        <v>18.91025855508785</v>
      </c>
    </row>
    <row r="29" spans="2:18" ht="15" customHeight="1" x14ac:dyDescent="0.45">
      <c r="Q29" s="47">
        <f>$Q$8+19/30*($Q$9-$Q$8)</f>
        <v>1661.2208333333333</v>
      </c>
      <c r="R29" s="47">
        <f>(Sp1_ZA+(Sp1_ZB-Sp1_ZA)*((($Q$29)-Sp1_BrgA)/Sp1_Lb)-Sup_Drop+Sp1_C/3*((($Q$29)-Sp1_BrgA)/Sp1_Lb)*(1-((($Q$29)-Sp1_BrgA)/Sp1_Lb))+(MIN(Bm1_Raise,Bm2_Raise))/12)-(INDEX(Clearance!$G$16:$G$114,MATCH($Q$29,Clearance!$E$16:$E$114,1))+INDEX(Clearance!$H$16:$H$114,MATCH($Q$29,Clearance!$E$16:$E$114,1))*(($Q$29)-INDEX(Clearance!$E$16:$E$114,MATCH($Q$29,Clearance!$E$16:$E$114,1)))+INDEX(Clearance!$I$16:$I$114,MATCH($Q$29,Clearance!$E$16:$E$114,1))*(($Q$29)-INDEX(Clearance!$E$16:$E$114,MATCH($Q$29,Clearance!$E$16:$E$114,1)))^2)</f>
        <v>18.856602581426056</v>
      </c>
    </row>
    <row r="30" spans="2:18" ht="29.45" customHeight="1" x14ac:dyDescent="0.45">
      <c r="B30" s="82" t="s">
        <v>1375</v>
      </c>
      <c r="C30" s="83"/>
      <c r="D30" s="83"/>
      <c r="E30" s="83"/>
      <c r="F30" s="83"/>
      <c r="G30" s="83"/>
      <c r="H30" s="83"/>
      <c r="I30" s="83"/>
      <c r="J30" s="83"/>
      <c r="K30" s="83"/>
      <c r="L30" s="83"/>
      <c r="M30" s="83"/>
      <c r="Q30" s="47">
        <f>$Q$8+20/30*($Q$9-$Q$8)</f>
        <v>1664.7866666666666</v>
      </c>
      <c r="R30" s="47">
        <f>(Sp1_ZA+(Sp1_ZB-Sp1_ZA)*((($Q$30)-Sp1_BrgA)/Sp1_Lb)-Sup_Drop+Sp1_C/3*((($Q$30)-Sp1_BrgA)/Sp1_Lb)*(1-((($Q$30)-Sp1_BrgA)/Sp1_Lb))+(MIN(Bm1_Raise,Bm2_Raise))/12)-(INDEX(Clearance!$G$16:$G$114,MATCH($Q$30,Clearance!$E$16:$E$114,1))+INDEX(Clearance!$H$16:$H$114,MATCH($Q$30,Clearance!$E$16:$E$114,1))*(($Q$30)-INDEX(Clearance!$E$16:$E$114,MATCH($Q$30,Clearance!$E$16:$E$114,1)))+INDEX(Clearance!$I$16:$I$114,MATCH($Q$30,Clearance!$E$16:$E$114,1))*(($Q$30)-INDEX(Clearance!$E$16:$E$114,MATCH($Q$30,Clearance!$E$16:$E$114,1)))^2)</f>
        <v>18.799411842040822</v>
      </c>
    </row>
    <row r="31" spans="2:18" ht="29.45" customHeight="1" x14ac:dyDescent="0.45">
      <c r="B31" s="85" t="str">
        <f>"Current: minimum "&amp;TEXT(Clr_Min,"0.0000")&amp;" ft at "&amp;TEXT(INT(ROUND(Clr_Sta*100,0)/10000),"0")&amp;"+"&amp;TEXT(MOD(ROUND(Clr_Sta*100,0),10000)/100,"00.00")&amp;" (required "&amp;TEXT(Rd_Req,"General")&amp;" ft). The XML covers "&amp;TEXT(Clr_Cover,"0.000")&amp;" of "&amp;TEXT(Prof_L,"0.000")&amp;" ft, so the status is """&amp;Clr_Status&amp;""" (no extrapolation)."</f>
        <v>Current: minimum 18.3616 ft at 16+99.46 (required 17 ft). The XML covers 207.232 of 212.250 ft, so the status is "Covered region only" (no extrapolation).</v>
      </c>
      <c r="C31" s="83"/>
      <c r="D31" s="83"/>
      <c r="E31" s="83"/>
      <c r="F31" s="83"/>
      <c r="G31" s="83"/>
      <c r="H31" s="83"/>
      <c r="I31" s="83"/>
      <c r="J31" s="83"/>
      <c r="K31" s="83"/>
      <c r="L31" s="83"/>
      <c r="M31" s="83"/>
      <c r="Q31" s="47">
        <f>$Q$8+21/30*($Q$9-$Q$8)</f>
        <v>1668.3525</v>
      </c>
      <c r="R31" s="47">
        <f>(Sp1_ZA+(Sp1_ZB-Sp1_ZA)*((($Q$31)-Sp1_BrgA)/Sp1_Lb)-Sup_Drop+Sp1_C/3*((($Q$31)-Sp1_BrgA)/Sp1_Lb)*(1-((($Q$31)-Sp1_BrgA)/Sp1_Lb))+(MIN(Bm1_Raise,Bm2_Raise))/12)-(INDEX(Clearance!$G$16:$G$114,MATCH($Q$31,Clearance!$E$16:$E$114,1))+INDEX(Clearance!$H$16:$H$114,MATCH($Q$31,Clearance!$E$16:$E$114,1))*(($Q$31)-INDEX(Clearance!$E$16:$E$114,MATCH($Q$31,Clearance!$E$16:$E$114,1)))+INDEX(Clearance!$I$16:$I$114,MATCH($Q$31,Clearance!$E$16:$E$114,1))*(($Q$31)-INDEX(Clearance!$E$16:$E$114,MATCH($Q$31,Clearance!$E$16:$E$114,1)))^2)</f>
        <v>18.756109878557119</v>
      </c>
    </row>
    <row r="32" spans="2:18" x14ac:dyDescent="0.45">
      <c r="Q32" s="47">
        <f>$Q$8+22/30*($Q$9-$Q$8)</f>
        <v>1671.9183333333333</v>
      </c>
      <c r="R32" s="47">
        <f>(Sp1_ZA+(Sp1_ZB-Sp1_ZA)*((($Q$32)-Sp1_BrgA)/Sp1_Lb)-Sup_Drop+Sp1_C/3*((($Q$32)-Sp1_BrgA)/Sp1_Lb)*(1-((($Q$32)-Sp1_BrgA)/Sp1_Lb))+(MIN(Bm1_Raise,Bm2_Raise))/12)-(INDEX(Clearance!$G$16:$G$114,MATCH($Q$32,Clearance!$E$16:$E$114,1))+INDEX(Clearance!$H$16:$H$114,MATCH($Q$32,Clearance!$E$16:$E$114,1))*(($Q$32)-INDEX(Clearance!$E$16:$E$114,MATCH($Q$32,Clearance!$E$16:$E$114,1)))+INDEX(Clearance!$I$16:$I$114,MATCH($Q$32,Clearance!$E$16:$E$114,1))*(($Q$32)-INDEX(Clearance!$E$16:$E$114,MATCH($Q$32,Clearance!$E$16:$E$114,1)))^2)</f>
        <v>18.755586310335577</v>
      </c>
    </row>
    <row r="33" spans="16:18" x14ac:dyDescent="0.45">
      <c r="Q33" s="47">
        <f>$Q$8+23/30*($Q$9-$Q$8)</f>
        <v>1675.4841666666666</v>
      </c>
      <c r="R33" s="47">
        <f>(Sp1_ZA+(Sp1_ZB-Sp1_ZA)*((($Q$33)-Sp1_BrgA)/Sp1_Lb)-Sup_Drop+Sp1_C/3*((($Q$33)-Sp1_BrgA)/Sp1_Lb)*(1-((($Q$33)-Sp1_BrgA)/Sp1_Lb))+(MIN(Bm1_Raise,Bm2_Raise))/12)-(INDEX(Clearance!$G$16:$G$114,MATCH($Q$33,Clearance!$E$16:$E$114,1))+INDEX(Clearance!$H$16:$H$114,MATCH($Q$33,Clearance!$E$16:$E$114,1))*(($Q$33)-INDEX(Clearance!$E$16:$E$114,MATCH($Q$33,Clearance!$E$16:$E$114,1)))+INDEX(Clearance!$I$16:$I$114,MATCH($Q$33,Clearance!$E$16:$E$114,1))*(($Q$33)-INDEX(Clearance!$E$16:$E$114,MATCH($Q$33,Clearance!$E$16:$E$114,1)))^2)</f>
        <v>18.738764189872938</v>
      </c>
    </row>
    <row r="34" spans="16:18" x14ac:dyDescent="0.45">
      <c r="Q34" s="47">
        <f>$Q$8+24/30*($Q$9-$Q$8)</f>
        <v>1679.05</v>
      </c>
      <c r="R34" s="47">
        <f>(Sp1_ZA+(Sp1_ZB-Sp1_ZA)*((($Q$34)-Sp1_BrgA)/Sp1_Lb)-Sup_Drop+Sp1_C/3*((($Q$34)-Sp1_BrgA)/Sp1_Lb)*(1-((($Q$34)-Sp1_BrgA)/Sp1_Lb))+(MIN(Bm1_Raise,Bm2_Raise))/12)-(INDEX(Clearance!$G$16:$G$114,MATCH($Q$34,Clearance!$E$16:$E$114,1))+INDEX(Clearance!$H$16:$H$114,MATCH($Q$34,Clearance!$E$16:$E$114,1))*(($Q$34)-INDEX(Clearance!$E$16:$E$114,MATCH($Q$34,Clearance!$E$16:$E$114,1)))+INDEX(Clearance!$I$16:$I$114,MATCH($Q$34,Clearance!$E$16:$E$114,1))*(($Q$34)-INDEX(Clearance!$E$16:$E$114,MATCH($Q$34,Clearance!$E$16:$E$114,1)))^2)</f>
        <v>18.719149840895305</v>
      </c>
    </row>
    <row r="35" spans="16:18" x14ac:dyDescent="0.45">
      <c r="Q35" s="47">
        <f>$Q$8+25/30*($Q$9-$Q$8)</f>
        <v>1682.6158333333333</v>
      </c>
      <c r="R35" s="47">
        <f>(Sp1_ZA+(Sp1_ZB-Sp1_ZA)*((($Q$35)-Sp1_BrgA)/Sp1_Lb)-Sup_Drop+Sp1_C/3*((($Q$35)-Sp1_BrgA)/Sp1_Lb)*(1-((($Q$35)-Sp1_BrgA)/Sp1_Lb))+(MIN(Bm1_Raise,Bm2_Raise))/12)-(INDEX(Clearance!$G$16:$G$114,MATCH($Q$35,Clearance!$E$16:$E$114,1))+INDEX(Clearance!$H$16:$H$114,MATCH($Q$35,Clearance!$E$16:$E$114,1))*(($Q$35)-INDEX(Clearance!$E$16:$E$114,MATCH($Q$35,Clearance!$E$16:$E$114,1)))+INDEX(Clearance!$I$16:$I$114,MATCH($Q$35,Clearance!$E$16:$E$114,1))*(($Q$35)-INDEX(Clearance!$E$16:$E$114,MATCH($Q$35,Clearance!$E$16:$E$114,1)))^2)</f>
        <v>18.653582008084378</v>
      </c>
    </row>
    <row r="36" spans="16:18" x14ac:dyDescent="0.45">
      <c r="Q36" s="47">
        <f>$Q$8+26/30*($Q$9-$Q$8)</f>
        <v>1686.1816666666666</v>
      </c>
      <c r="R36" s="47">
        <f>(Sp1_ZA+(Sp1_ZB-Sp1_ZA)*((($Q$36)-Sp1_BrgA)/Sp1_Lb)-Sup_Drop+Sp1_C/3*((($Q$36)-Sp1_BrgA)/Sp1_Lb)*(1-((($Q$36)-Sp1_BrgA)/Sp1_Lb))+(MIN(Bm1_Raise,Bm2_Raise))/12)-(INDEX(Clearance!$G$16:$G$114,MATCH($Q$36,Clearance!$E$16:$E$114,1))+INDEX(Clearance!$H$16:$H$114,MATCH($Q$36,Clearance!$E$16:$E$114,1))*(($Q$36)-INDEX(Clearance!$E$16:$E$114,MATCH($Q$36,Clearance!$E$16:$E$114,1)))+INDEX(Clearance!$I$16:$I$114,MATCH($Q$36,Clearance!$E$16:$E$114,1))*(($Q$36)-INDEX(Clearance!$E$16:$E$114,MATCH($Q$36,Clearance!$E$16:$E$114,1)))^2)</f>
        <v>18.576440808457885</v>
      </c>
    </row>
    <row r="37" spans="16:18" x14ac:dyDescent="0.45">
      <c r="Q37" s="47">
        <f>$Q$8+27/30*($Q$9-$Q$8)</f>
        <v>1689.7474999999999</v>
      </c>
      <c r="R37" s="47">
        <f>(Sp1_ZA+(Sp1_ZB-Sp1_ZA)*((($Q$37)-Sp1_BrgA)/Sp1_Lb)-Sup_Drop+Sp1_C/3*((($Q$37)-Sp1_BrgA)/Sp1_Lb)*(1-((($Q$37)-Sp1_BrgA)/Sp1_Lb))+(MIN(Bm1_Raise,Bm2_Raise))/12)-(INDEX(Clearance!$G$16:$G$114,MATCH($Q$37,Clearance!$E$16:$E$114,1))+INDEX(Clearance!$H$16:$H$114,MATCH($Q$37,Clearance!$E$16:$E$114,1))*(($Q$37)-INDEX(Clearance!$E$16:$E$114,MATCH($Q$37,Clearance!$E$16:$E$114,1)))+INDEX(Clearance!$I$16:$I$114,MATCH($Q$37,Clearance!$E$16:$E$114,1))*(($Q$37)-INDEX(Clearance!$E$16:$E$114,MATCH($Q$37,Clearance!$E$16:$E$114,1)))^2)</f>
        <v>18.544832468281641</v>
      </c>
    </row>
    <row r="38" spans="16:18" x14ac:dyDescent="0.45">
      <c r="Q38" s="47">
        <f>$Q$8+28/30*($Q$9-$Q$8)</f>
        <v>1693.3133333333333</v>
      </c>
      <c r="R38" s="47">
        <f>(Sp1_ZA+(Sp1_ZB-Sp1_ZA)*((($Q$38)-Sp1_BrgA)/Sp1_Lb)-Sup_Drop+Sp1_C/3*((($Q$38)-Sp1_BrgA)/Sp1_Lb)*(1-((($Q$38)-Sp1_BrgA)/Sp1_Lb))+(MIN(Bm1_Raise,Bm2_Raise))/12)-(INDEX(Clearance!$G$16:$G$114,MATCH($Q$38,Clearance!$E$16:$E$114,1))+INDEX(Clearance!$H$16:$H$114,MATCH($Q$38,Clearance!$E$16:$E$114,1))*(($Q$38)-INDEX(Clearance!$E$16:$E$114,MATCH($Q$38,Clearance!$E$16:$E$114,1)))+INDEX(Clearance!$I$16:$I$114,MATCH($Q$38,Clearance!$E$16:$E$114,1))*(($Q$38)-INDEX(Clearance!$E$16:$E$114,MATCH($Q$38,Clearance!$E$16:$E$114,1)))^2)</f>
        <v>18.461295262291806</v>
      </c>
    </row>
    <row r="39" spans="16:18" x14ac:dyDescent="0.45">
      <c r="Q39" s="47">
        <f>$Q$8+29/30*($Q$9-$Q$8)</f>
        <v>1696.8791666666666</v>
      </c>
      <c r="R39" s="47">
        <f>(Sp1_ZA+(Sp1_ZB-Sp1_ZA)*((($Q$39)-Sp1_BrgA)/Sp1_Lb)-Sup_Drop+Sp1_C/3*((($Q$39)-Sp1_BrgA)/Sp1_Lb)*(1-((($Q$39)-Sp1_BrgA)/Sp1_Lb))+(MIN(Bm1_Raise,Bm2_Raise))/12)-(INDEX(Clearance!$G$16:$G$114,MATCH($Q$39,Clearance!$E$16:$E$114,1))+INDEX(Clearance!$H$16:$H$114,MATCH($Q$39,Clearance!$E$16:$E$114,1))*(($Q$39)-INDEX(Clearance!$E$16:$E$114,MATCH($Q$39,Clearance!$E$16:$E$114,1)))+INDEX(Clearance!$I$16:$I$114,MATCH($Q$39,Clearance!$E$16:$E$114,1))*(($Q$39)-INDEX(Clearance!$E$16:$E$114,MATCH($Q$39,Clearance!$E$16:$E$114,1)))^2)</f>
        <v>18.452054993771835</v>
      </c>
    </row>
    <row r="40" spans="16:18" x14ac:dyDescent="0.45">
      <c r="Q40" s="47">
        <f>$Q$8+30/30*($Q$9-$Q$8)</f>
        <v>1700.4449999999999</v>
      </c>
      <c r="R40" s="47">
        <f>(Sp1_ZA+(Sp1_ZB-Sp1_ZA)*((($Q$40)-Sp1_BrgA)/Sp1_Lb)-Sup_Drop+Sp1_C/3*((($Q$40)-Sp1_BrgA)/Sp1_Lb)*(1-((($Q$40)-Sp1_BrgA)/Sp1_Lb))+(MIN(Bm1_Raise,Bm2_Raise))/12)-(INDEX(Clearance!$G$16:$G$114,MATCH($Q$40,Clearance!$E$16:$E$114,1))+INDEX(Clearance!$H$16:$H$114,MATCH($Q$40,Clearance!$E$16:$E$114,1))*(($Q$40)-INDEX(Clearance!$E$16:$E$114,MATCH($Q$40,Clearance!$E$16:$E$114,1)))+INDEX(Clearance!$I$16:$I$114,MATCH($Q$40,Clearance!$E$16:$E$114,1))*(($Q$40)-INDEX(Clearance!$E$16:$E$114,MATCH($Q$40,Clearance!$E$16:$E$114,1)))^2)</f>
        <v>18.422441803107869</v>
      </c>
    </row>
    <row r="42" spans="16:18" x14ac:dyDescent="0.45">
      <c r="P42" s="44" t="s">
        <v>1376</v>
      </c>
      <c r="Q42" s="47">
        <f>$Q$17</f>
        <v>1618.4308333333333</v>
      </c>
      <c r="R42" s="47">
        <f>MAX(R10:R40)</f>
        <v>21.531973616708314</v>
      </c>
    </row>
    <row r="44" spans="16:18" x14ac:dyDescent="0.45">
      <c r="P44" s="44" t="s">
        <v>1377</v>
      </c>
      <c r="Q44" s="47">
        <f>MAX(Sp2_Bm0,$Q$6)</f>
        <v>1700.6949999999999</v>
      </c>
    </row>
    <row r="45" spans="16:18" x14ac:dyDescent="0.45">
      <c r="P45" s="44" t="s">
        <v>1378</v>
      </c>
      <c r="Q45" s="47">
        <f>MIN(Sp2_Bm1,$Q$7)</f>
        <v>1800.4518860000001</v>
      </c>
    </row>
    <row r="46" spans="16:18" x14ac:dyDescent="0.45">
      <c r="P46" s="44" t="s">
        <v>1379</v>
      </c>
      <c r="Q46" s="47">
        <f>$Q$44+0/30*($Q$45-$Q$44)</f>
        <v>1700.6949999999999</v>
      </c>
      <c r="R46" s="47">
        <f>(Sp2_ZA+(Sp2_ZB-Sp2_ZA)*((($Q$46)-Sp2_BrgA)/Sp2_Lb)-Sup_Drop+Sp2_C/3*((($Q$46)-Sp2_BrgA)/Sp2_Lb)*(1-((($Q$46)-Sp2_BrgA)/Sp2_Lb))+(MIN(Bm1_Raise,Bm2_Raise))/12)-(INDEX(Clearance!$G$16:$G$114,MATCH($Q$46,Clearance!$E$16:$E$114,1))+INDEX(Clearance!$H$16:$H$114,MATCH($Q$46,Clearance!$E$16:$E$114,1))*(($Q$46)-INDEX(Clearance!$E$16:$E$114,MATCH($Q$46,Clearance!$E$16:$E$114,1)))+INDEX(Clearance!$I$16:$I$114,MATCH($Q$46,Clearance!$E$16:$E$114,1))*(($Q$46)-INDEX(Clearance!$E$16:$E$114,MATCH($Q$46,Clearance!$E$16:$E$114,1)))^2)</f>
        <v>18.435688362508792</v>
      </c>
    </row>
    <row r="47" spans="16:18" x14ac:dyDescent="0.45">
      <c r="Q47" s="47">
        <f>$Q$44+1/30*($Q$45-$Q$44)</f>
        <v>1704.0202295333333</v>
      </c>
      <c r="R47" s="47">
        <f>(Sp2_ZA+(Sp2_ZB-Sp2_ZA)*((($Q$47)-Sp2_BrgA)/Sp2_Lb)-Sup_Drop+Sp2_C/3*((($Q$47)-Sp2_BrgA)/Sp2_Lb)*(1-((($Q$47)-Sp2_BrgA)/Sp2_Lb))+(MIN(Bm1_Raise,Bm2_Raise))/12)-(INDEX(Clearance!$G$16:$G$114,MATCH($Q$47,Clearance!$E$16:$E$114,1))+INDEX(Clearance!$H$16:$H$114,MATCH($Q$47,Clearance!$E$16:$E$114,1))*(($Q$47)-INDEX(Clearance!$E$16:$E$114,MATCH($Q$47,Clearance!$E$16:$E$114,1)))+INDEX(Clearance!$I$16:$I$114,MATCH($Q$47,Clearance!$E$16:$E$114,1))*(($Q$47)-INDEX(Clearance!$E$16:$E$114,MATCH($Q$47,Clearance!$E$16:$E$114,1)))^2)</f>
        <v>18.503784193103925</v>
      </c>
    </row>
    <row r="48" spans="16:18" x14ac:dyDescent="0.45">
      <c r="Q48" s="47">
        <f>$Q$44+2/30*($Q$45-$Q$44)</f>
        <v>1707.3454590666665</v>
      </c>
      <c r="R48" s="47">
        <f>(Sp2_ZA+(Sp2_ZB-Sp2_ZA)*((($Q$48)-Sp2_BrgA)/Sp2_Lb)-Sup_Drop+Sp2_C/3*((($Q$48)-Sp2_BrgA)/Sp2_Lb)*(1-((($Q$48)-Sp2_BrgA)/Sp2_Lb))+(MIN(Bm1_Raise,Bm2_Raise))/12)-(INDEX(Clearance!$G$16:$G$114,MATCH($Q$48,Clearance!$E$16:$E$114,1))+INDEX(Clearance!$H$16:$H$114,MATCH($Q$48,Clearance!$E$16:$E$114,1))*(($Q$48)-INDEX(Clearance!$E$16:$E$114,MATCH($Q$48,Clearance!$E$16:$E$114,1)))+INDEX(Clearance!$I$16:$I$114,MATCH($Q$48,Clearance!$E$16:$E$114,1))*(($Q$48)-INDEX(Clearance!$E$16:$E$114,MATCH($Q$48,Clearance!$E$16:$E$114,1)))^2)</f>
        <v>18.523170934291933</v>
      </c>
    </row>
    <row r="49" spans="17:18" x14ac:dyDescent="0.45">
      <c r="Q49" s="47">
        <f>$Q$44+3/30*($Q$45-$Q$44)</f>
        <v>1710.6706885999999</v>
      </c>
      <c r="R49" s="47">
        <f>(Sp2_ZA+(Sp2_ZB-Sp2_ZA)*((($Q$49)-Sp2_BrgA)/Sp2_Lb)-Sup_Drop+Sp2_C/3*((($Q$49)-Sp2_BrgA)/Sp2_Lb)*(1-((($Q$49)-Sp2_BrgA)/Sp2_Lb))+(MIN(Bm1_Raise,Bm2_Raise))/12)-(INDEX(Clearance!$G$16:$G$114,MATCH($Q$49,Clearance!$E$16:$E$114,1))+INDEX(Clearance!$H$16:$H$114,MATCH($Q$49,Clearance!$E$16:$E$114,1))*(($Q$49)-INDEX(Clearance!$E$16:$E$114,MATCH($Q$49,Clearance!$E$16:$E$114,1)))+INDEX(Clearance!$I$16:$I$114,MATCH($Q$49,Clearance!$E$16:$E$114,1))*(($Q$49)-INDEX(Clearance!$E$16:$E$114,MATCH($Q$49,Clearance!$E$16:$E$114,1)))^2)</f>
        <v>18.604022231699062</v>
      </c>
    </row>
    <row r="50" spans="17:18" x14ac:dyDescent="0.45">
      <c r="Q50" s="47">
        <f>$Q$44+4/30*($Q$45-$Q$44)</f>
        <v>1713.9959181333334</v>
      </c>
      <c r="R50" s="47">
        <f>(Sp2_ZA+(Sp2_ZB-Sp2_ZA)*((($Q$50)-Sp2_BrgA)/Sp2_Lb)-Sup_Drop+Sp2_C/3*((($Q$50)-Sp2_BrgA)/Sp2_Lb)*(1-((($Q$50)-Sp2_BrgA)/Sp2_Lb))+(MIN(Bm1_Raise,Bm2_Raise))/12)-(INDEX(Clearance!$G$16:$G$114,MATCH($Q$50,Clearance!$E$16:$E$114,1))+INDEX(Clearance!$H$16:$H$114,MATCH($Q$50,Clearance!$E$16:$E$114,1))*(($Q$50)-INDEX(Clearance!$E$16:$E$114,MATCH($Q$50,Clearance!$E$16:$E$114,1)))+INDEX(Clearance!$I$16:$I$114,MATCH($Q$50,Clearance!$E$16:$E$114,1))*(($Q$50)-INDEX(Clearance!$E$16:$E$114,MATCH($Q$50,Clearance!$E$16:$E$114,1)))^2)</f>
        <v>18.628319094885512</v>
      </c>
    </row>
    <row r="51" spans="17:18" x14ac:dyDescent="0.45">
      <c r="Q51" s="47">
        <f>$Q$44+5/30*($Q$45-$Q$44)</f>
        <v>1717.3211476666665</v>
      </c>
      <c r="R51" s="47">
        <f>(Sp2_ZA+(Sp2_ZB-Sp2_ZA)*((($Q$51)-Sp2_BrgA)/Sp2_Lb)-Sup_Drop+Sp2_C/3*((($Q$51)-Sp2_BrgA)/Sp2_Lb)*(1-((($Q$51)-Sp2_BrgA)/Sp2_Lb))+(MIN(Bm1_Raise,Bm2_Raise))/12)-(INDEX(Clearance!$G$16:$G$114,MATCH($Q$51,Clearance!$E$16:$E$114,1))+INDEX(Clearance!$H$16:$H$114,MATCH($Q$51,Clearance!$E$16:$E$114,1))*(($Q$51)-INDEX(Clearance!$E$16:$E$114,MATCH($Q$51,Clearance!$E$16:$E$114,1)))+INDEX(Clearance!$I$16:$I$114,MATCH($Q$51,Clearance!$E$16:$E$114,1))*(($Q$51)-INDEX(Clearance!$E$16:$E$114,MATCH($Q$51,Clearance!$E$16:$E$114,1)))^2)</f>
        <v>18.652222062476898</v>
      </c>
    </row>
    <row r="52" spans="17:18" x14ac:dyDescent="0.45">
      <c r="Q52" s="47">
        <f>$Q$44+6/30*($Q$45-$Q$44)</f>
        <v>1720.6463772</v>
      </c>
      <c r="R52" s="47">
        <f>(Sp2_ZA+(Sp2_ZB-Sp2_ZA)*((($Q$52)-Sp2_BrgA)/Sp2_Lb)-Sup_Drop+Sp2_C/3*((($Q$52)-Sp2_BrgA)/Sp2_Lb)*(1-((($Q$52)-Sp2_BrgA)/Sp2_Lb))+(MIN(Bm1_Raise,Bm2_Raise))/12)-(INDEX(Clearance!$G$16:$G$114,MATCH($Q$52,Clearance!$E$16:$E$114,1))+INDEX(Clearance!$H$16:$H$114,MATCH($Q$52,Clearance!$E$16:$E$114,1))*(($Q$52)-INDEX(Clearance!$E$16:$E$114,MATCH($Q$52,Clearance!$E$16:$E$114,1)))+INDEX(Clearance!$I$16:$I$114,MATCH($Q$52,Clearance!$E$16:$E$114,1))*(($Q$52)-INDEX(Clearance!$E$16:$E$114,MATCH($Q$52,Clearance!$E$16:$E$114,1)))^2)</f>
        <v>18.675543173895388</v>
      </c>
    </row>
    <row r="53" spans="17:18" x14ac:dyDescent="0.45">
      <c r="Q53" s="47">
        <f>$Q$44+7/30*($Q$45-$Q$44)</f>
        <v>1723.9716067333334</v>
      </c>
      <c r="R53" s="47">
        <f>(Sp2_ZA+(Sp2_ZB-Sp2_ZA)*((($Q$53)-Sp2_BrgA)/Sp2_Lb)-Sup_Drop+Sp2_C/3*((($Q$53)-Sp2_BrgA)/Sp2_Lb)*(1-((($Q$53)-Sp2_BrgA)/Sp2_Lb))+(MIN(Bm1_Raise,Bm2_Raise))/12)-(INDEX(Clearance!$G$16:$G$114,MATCH($Q$53,Clearance!$E$16:$E$114,1))+INDEX(Clearance!$H$16:$H$114,MATCH($Q$53,Clearance!$E$16:$E$114,1))*(($Q$53)-INDEX(Clearance!$E$16:$E$114,MATCH($Q$53,Clearance!$E$16:$E$114,1)))+INDEX(Clearance!$I$16:$I$114,MATCH($Q$53,Clearance!$E$16:$E$114,1))*(($Q$53)-INDEX(Clearance!$E$16:$E$114,MATCH($Q$53,Clearance!$E$16:$E$114,1)))^2)</f>
        <v>18.719954534320202</v>
      </c>
    </row>
    <row r="54" spans="17:18" x14ac:dyDescent="0.45">
      <c r="Q54" s="47">
        <f>$Q$44+8/30*($Q$45-$Q$44)</f>
        <v>1727.2968362666666</v>
      </c>
      <c r="R54" s="47">
        <f>(Sp2_ZA+(Sp2_ZB-Sp2_ZA)*((($Q$54)-Sp2_BrgA)/Sp2_Lb)-Sup_Drop+Sp2_C/3*((($Q$54)-Sp2_BrgA)/Sp2_Lb)*(1-((($Q$54)-Sp2_BrgA)/Sp2_Lb))+(MIN(Bm1_Raise,Bm2_Raise))/12)-(INDEX(Clearance!$G$16:$G$114,MATCH($Q$54,Clearance!$E$16:$E$114,1))+INDEX(Clearance!$H$16:$H$114,MATCH($Q$54,Clearance!$E$16:$E$114,1))*(($Q$54)-INDEX(Clearance!$E$16:$E$114,MATCH($Q$54,Clearance!$E$16:$E$114,1)))+INDEX(Clearance!$I$16:$I$114,MATCH($Q$54,Clearance!$E$16:$E$114,1))*(($Q$54)-INDEX(Clearance!$E$16:$E$114,MATCH($Q$54,Clearance!$E$16:$E$114,1)))^2)</f>
        <v>18.767473342021432</v>
      </c>
    </row>
    <row r="55" spans="17:18" x14ac:dyDescent="0.45">
      <c r="Q55" s="47">
        <f>$Q$44+9/30*($Q$45-$Q$44)</f>
        <v>1730.6220658</v>
      </c>
      <c r="R55" s="47">
        <f>(Sp2_ZA+(Sp2_ZB-Sp2_ZA)*((($Q$55)-Sp2_BrgA)/Sp2_Lb)-Sup_Drop+Sp2_C/3*((($Q$55)-Sp2_BrgA)/Sp2_Lb)*(1-((($Q$55)-Sp2_BrgA)/Sp2_Lb))+(MIN(Bm1_Raise,Bm2_Raise))/12)-(INDEX(Clearance!$G$16:$G$114,MATCH($Q$55,Clearance!$E$16:$E$114,1))+INDEX(Clearance!$H$16:$H$114,MATCH($Q$55,Clearance!$E$16:$E$114,1))*(($Q$55)-INDEX(Clearance!$E$16:$E$114,MATCH($Q$55,Clearance!$E$16:$E$114,1)))+INDEX(Clearance!$I$16:$I$114,MATCH($Q$55,Clearance!$E$16:$E$114,1))*(($Q$55)-INDEX(Clearance!$E$16:$E$114,MATCH($Q$55,Clearance!$E$16:$E$114,1)))^2)</f>
        <v>18.814598254127606</v>
      </c>
    </row>
    <row r="56" spans="17:18" x14ac:dyDescent="0.45">
      <c r="Q56" s="47">
        <f>$Q$44+10/30*($Q$45-$Q$44)</f>
        <v>1733.9472953333334</v>
      </c>
      <c r="R56" s="47">
        <f>(Sp2_ZA+(Sp2_ZB-Sp2_ZA)*((($Q$56)-Sp2_BrgA)/Sp2_Lb)-Sup_Drop+Sp2_C/3*((($Q$56)-Sp2_BrgA)/Sp2_Lb)*(1-((($Q$56)-Sp2_BrgA)/Sp2_Lb))+(MIN(Bm1_Raise,Bm2_Raise))/12)-(INDEX(Clearance!$G$16:$G$114,MATCH($Q$56,Clearance!$E$16:$E$114,1))+INDEX(Clearance!$H$16:$H$114,MATCH($Q$56,Clearance!$E$16:$E$114,1))*(($Q$56)-INDEX(Clearance!$E$16:$E$114,MATCH($Q$56,Clearance!$E$16:$E$114,1)))+INDEX(Clearance!$I$16:$I$114,MATCH($Q$56,Clearance!$E$16:$E$114,1))*(($Q$56)-INDEX(Clearance!$E$16:$E$114,MATCH($Q$56,Clearance!$E$16:$E$114,1)))^2)</f>
        <v>18.859709074723444</v>
      </c>
    </row>
    <row r="57" spans="17:18" x14ac:dyDescent="0.45">
      <c r="Q57" s="47">
        <f>$Q$44+11/30*($Q$45-$Q$44)</f>
        <v>1737.2725248666666</v>
      </c>
      <c r="R57" s="47">
        <f>(Sp2_ZA+(Sp2_ZB-Sp2_ZA)*((($Q$57)-Sp2_BrgA)/Sp2_Lb)-Sup_Drop+Sp2_C/3*((($Q$57)-Sp2_BrgA)/Sp2_Lb)*(1-((($Q$57)-Sp2_BrgA)/Sp2_Lb))+(MIN(Bm1_Raise,Bm2_Raise))/12)-(INDEX(Clearance!$G$16:$G$114,MATCH($Q$57,Clearance!$E$16:$E$114,1))+INDEX(Clearance!$H$16:$H$114,MATCH($Q$57,Clearance!$E$16:$E$114,1))*(($Q$57)-INDEX(Clearance!$E$16:$E$114,MATCH($Q$57,Clearance!$E$16:$E$114,1)))+INDEX(Clearance!$I$16:$I$114,MATCH($Q$57,Clearance!$E$16:$E$114,1))*(($Q$57)-INDEX(Clearance!$E$16:$E$114,MATCH($Q$57,Clearance!$E$16:$E$114,1)))^2)</f>
        <v>18.896005885531622</v>
      </c>
    </row>
    <row r="58" spans="17:18" x14ac:dyDescent="0.45">
      <c r="Q58" s="47">
        <f>$Q$44+12/30*($Q$45-$Q$44)</f>
        <v>1740.5977544</v>
      </c>
      <c r="R58" s="47">
        <f>(Sp2_ZA+(Sp2_ZB-Sp2_ZA)*((($Q$58)-Sp2_BrgA)/Sp2_Lb)-Sup_Drop+Sp2_C/3*((($Q$58)-Sp2_BrgA)/Sp2_Lb)*(1-((($Q$58)-Sp2_BrgA)/Sp2_Lb))+(MIN(Bm1_Raise,Bm2_Raise))/12)-(INDEX(Clearance!$G$16:$G$114,MATCH($Q$58,Clearance!$E$16:$E$114,1))+INDEX(Clearance!$H$16:$H$114,MATCH($Q$58,Clearance!$E$16:$E$114,1))*(($Q$58)-INDEX(Clearance!$E$16:$E$114,MATCH($Q$58,Clearance!$E$16:$E$114,1)))+INDEX(Clearance!$I$16:$I$114,MATCH($Q$58,Clearance!$E$16:$E$114,1))*(($Q$58)-INDEX(Clearance!$E$16:$E$114,MATCH($Q$58,Clearance!$E$16:$E$114,1)))^2)</f>
        <v>18.942485818008119</v>
      </c>
    </row>
    <row r="59" spans="17:18" x14ac:dyDescent="0.45">
      <c r="Q59" s="47">
        <f>$Q$44+13/30*($Q$45-$Q$44)</f>
        <v>1743.9229839333334</v>
      </c>
      <c r="R59" s="47">
        <f>(Sp2_ZA+(Sp2_ZB-Sp2_ZA)*((($Q$59)-Sp2_BrgA)/Sp2_Lb)-Sup_Drop+Sp2_C/3*((($Q$59)-Sp2_BrgA)/Sp2_Lb)*(1-((($Q$59)-Sp2_BrgA)/Sp2_Lb))+(MIN(Bm1_Raise,Bm2_Raise))/12)-(INDEX(Clearance!$G$16:$G$114,MATCH($Q$59,Clearance!$E$16:$E$114,1))+INDEX(Clearance!$H$16:$H$114,MATCH($Q$59,Clearance!$E$16:$E$114,1))*(($Q$59)-INDEX(Clearance!$E$16:$E$114,MATCH($Q$59,Clearance!$E$16:$E$114,1)))+INDEX(Clearance!$I$16:$I$114,MATCH($Q$59,Clearance!$E$16:$E$114,1))*(($Q$59)-INDEX(Clearance!$E$16:$E$114,MATCH($Q$59,Clearance!$E$16:$E$114,1)))^2)</f>
        <v>18.988903799503959</v>
      </c>
    </row>
    <row r="60" spans="17:18" x14ac:dyDescent="0.45">
      <c r="Q60" s="47">
        <f>$Q$44+14/30*($Q$45-$Q$44)</f>
        <v>1747.2482134666666</v>
      </c>
      <c r="R60" s="47">
        <f>(Sp2_ZA+(Sp2_ZB-Sp2_ZA)*((($Q$60)-Sp2_BrgA)/Sp2_Lb)-Sup_Drop+Sp2_C/3*((($Q$60)-Sp2_BrgA)/Sp2_Lb)*(1-((($Q$60)-Sp2_BrgA)/Sp2_Lb))+(MIN(Bm1_Raise,Bm2_Raise))/12)-(INDEX(Clearance!$G$16:$G$114,MATCH($Q$60,Clearance!$E$16:$E$114,1))+INDEX(Clearance!$H$16:$H$114,MATCH($Q$60,Clearance!$E$16:$E$114,1))*(($Q$60)-INDEX(Clearance!$E$16:$E$114,MATCH($Q$60,Clearance!$E$16:$E$114,1)))+INDEX(Clearance!$I$16:$I$114,MATCH($Q$60,Clearance!$E$16:$E$114,1))*(($Q$60)-INDEX(Clearance!$E$16:$E$114,MATCH($Q$60,Clearance!$E$16:$E$114,1)))^2)</f>
        <v>19.105650895931102</v>
      </c>
    </row>
    <row r="61" spans="17:18" x14ac:dyDescent="0.45">
      <c r="Q61" s="47">
        <f>$Q$44+15/30*($Q$45-$Q$44)</f>
        <v>1750.573443</v>
      </c>
      <c r="R61" s="47">
        <f>(Sp2_ZA+(Sp2_ZB-Sp2_ZA)*((($Q$61)-Sp2_BrgA)/Sp2_Lb)-Sup_Drop+Sp2_C/3*((($Q$61)-Sp2_BrgA)/Sp2_Lb)*(1-((($Q$61)-Sp2_BrgA)/Sp2_Lb))+(MIN(Bm1_Raise,Bm2_Raise))/12)-(INDEX(Clearance!$G$16:$G$114,MATCH($Q$61,Clearance!$E$16:$E$114,1))+INDEX(Clearance!$H$16:$H$114,MATCH($Q$61,Clearance!$E$16:$E$114,1))*(($Q$61)-INDEX(Clearance!$E$16:$E$114,MATCH($Q$61,Clearance!$E$16:$E$114,1)))+INDEX(Clearance!$I$16:$I$114,MATCH($Q$61,Clearance!$E$16:$E$114,1))*(($Q$61)-INDEX(Clearance!$E$16:$E$114,MATCH($Q$61,Clearance!$E$16:$E$114,1)))^2)</f>
        <v>19.282794306529659</v>
      </c>
    </row>
    <row r="62" spans="17:18" x14ac:dyDescent="0.45">
      <c r="Q62" s="47">
        <f>$Q$44+16/30*($Q$45-$Q$44)</f>
        <v>1753.8986725333334</v>
      </c>
      <c r="R62" s="47">
        <f>(Sp2_ZA+(Sp2_ZB-Sp2_ZA)*((($Q$62)-Sp2_BrgA)/Sp2_Lb)-Sup_Drop+Sp2_C/3*((($Q$62)-Sp2_BrgA)/Sp2_Lb)*(1-((($Q$62)-Sp2_BrgA)/Sp2_Lb))+(MIN(Bm1_Raise,Bm2_Raise))/12)-(INDEX(Clearance!$G$16:$G$114,MATCH($Q$62,Clearance!$E$16:$E$114,1))+INDEX(Clearance!$H$16:$H$114,MATCH($Q$62,Clearance!$E$16:$E$114,1))*(($Q$62)-INDEX(Clearance!$E$16:$E$114,MATCH($Q$62,Clearance!$E$16:$E$114,1)))+INDEX(Clearance!$I$16:$I$114,MATCH($Q$62,Clearance!$E$16:$E$114,1))*(($Q$62)-INDEX(Clearance!$E$16:$E$114,MATCH($Q$62,Clearance!$E$16:$E$114,1)))^2)</f>
        <v>19.472197206288715</v>
      </c>
    </row>
    <row r="63" spans="17:18" x14ac:dyDescent="0.45">
      <c r="Q63" s="47">
        <f>$Q$44+17/30*($Q$45-$Q$44)</f>
        <v>1757.2239020666666</v>
      </c>
      <c r="R63" s="47">
        <f>(Sp2_ZA+(Sp2_ZB-Sp2_ZA)*((($Q$63)-Sp2_BrgA)/Sp2_Lb)-Sup_Drop+Sp2_C/3*((($Q$63)-Sp2_BrgA)/Sp2_Lb)*(1-((($Q$63)-Sp2_BrgA)/Sp2_Lb))+(MIN(Bm1_Raise,Bm2_Raise))/12)-(INDEX(Clearance!$G$16:$G$114,MATCH($Q$63,Clearance!$E$16:$E$114,1))+INDEX(Clearance!$H$16:$H$114,MATCH($Q$63,Clearance!$E$16:$E$114,1))*(($Q$63)-INDEX(Clearance!$E$16:$E$114,MATCH($Q$63,Clearance!$E$16:$E$114,1)))+INDEX(Clearance!$I$16:$I$114,MATCH($Q$63,Clearance!$E$16:$E$114,1))*(($Q$63)-INDEX(Clearance!$E$16:$E$114,MATCH($Q$63,Clearance!$E$16:$E$114,1)))^2)</f>
        <v>19.375695105082407</v>
      </c>
    </row>
    <row r="64" spans="17:18" x14ac:dyDescent="0.45">
      <c r="Q64" s="47">
        <f>$Q$44+18/30*($Q$45-$Q$44)</f>
        <v>1760.5491316</v>
      </c>
      <c r="R64" s="47">
        <f>(Sp2_ZA+(Sp2_ZB-Sp2_ZA)*((($Q$64)-Sp2_BrgA)/Sp2_Lb)-Sup_Drop+Sp2_C/3*((($Q$64)-Sp2_BrgA)/Sp2_Lb)*(1-((($Q$64)-Sp2_BrgA)/Sp2_Lb))+(MIN(Bm1_Raise,Bm2_Raise))/12)-(INDEX(Clearance!$G$16:$G$114,MATCH($Q$64,Clearance!$E$16:$E$114,1))+INDEX(Clearance!$H$16:$H$114,MATCH($Q$64,Clearance!$E$16:$E$114,1))*(($Q$64)-INDEX(Clearance!$E$16:$E$114,MATCH($Q$64,Clearance!$E$16:$E$114,1)))+INDEX(Clearance!$I$16:$I$114,MATCH($Q$64,Clearance!$E$16:$E$114,1))*(($Q$64)-INDEX(Clearance!$E$16:$E$114,MATCH($Q$64,Clearance!$E$16:$E$114,1)))^2)</f>
        <v>19.884463006180155</v>
      </c>
    </row>
    <row r="65" spans="16:18" x14ac:dyDescent="0.45">
      <c r="Q65" s="47">
        <f>$Q$44+19/30*($Q$45-$Q$44)</f>
        <v>1763.8743611333334</v>
      </c>
      <c r="R65" s="47">
        <f>(Sp2_ZA+(Sp2_ZB-Sp2_ZA)*((($Q$65)-Sp2_BrgA)/Sp2_Lb)-Sup_Drop+Sp2_C/3*((($Q$65)-Sp2_BrgA)/Sp2_Lb)*(1-((($Q$65)-Sp2_BrgA)/Sp2_Lb))+(MIN(Bm1_Raise,Bm2_Raise))/12)-(INDEX(Clearance!$G$16:$G$114,MATCH($Q$65,Clearance!$E$16:$E$114,1))+INDEX(Clearance!$H$16:$H$114,MATCH($Q$65,Clearance!$E$16:$E$114,1))*(($Q$65)-INDEX(Clearance!$E$16:$E$114,MATCH($Q$65,Clearance!$E$16:$E$114,1)))+INDEX(Clearance!$I$16:$I$114,MATCH($Q$65,Clearance!$E$16:$E$114,1))*(($Q$65)-INDEX(Clearance!$E$16:$E$114,MATCH($Q$65,Clearance!$E$16:$E$114,1)))^2)</f>
        <v>20.422555129922184</v>
      </c>
    </row>
    <row r="66" spans="16:18" x14ac:dyDescent="0.45">
      <c r="Q66" s="47">
        <f>$Q$44+20/30*($Q$45-$Q$44)</f>
        <v>1767.1995906666666</v>
      </c>
      <c r="R66" s="47">
        <f>(Sp2_ZA+(Sp2_ZB-Sp2_ZA)*((($Q$66)-Sp2_BrgA)/Sp2_Lb)-Sup_Drop+Sp2_C/3*((($Q$66)-Sp2_BrgA)/Sp2_Lb)*(1-((($Q$66)-Sp2_BrgA)/Sp2_Lb))+(MIN(Bm1_Raise,Bm2_Raise))/12)-(INDEX(Clearance!$G$16:$G$114,MATCH($Q$66,Clearance!$E$16:$E$114,1))+INDEX(Clearance!$H$16:$H$114,MATCH($Q$66,Clearance!$E$16:$E$114,1))*(($Q$66)-INDEX(Clearance!$E$16:$E$114,MATCH($Q$66,Clearance!$E$16:$E$114,1)))+INDEX(Clearance!$I$16:$I$114,MATCH($Q$66,Clearance!$E$16:$E$114,1))*(($Q$66)-INDEX(Clearance!$E$16:$E$114,MATCH($Q$66,Clearance!$E$16:$E$114,1)))^2)</f>
        <v>20.980619163976236</v>
      </c>
    </row>
    <row r="67" spans="16:18" x14ac:dyDescent="0.45">
      <c r="Q67" s="47">
        <f>$Q$44+21/30*($Q$45-$Q$44)</f>
        <v>1770.5248202</v>
      </c>
      <c r="R67" s="47">
        <f>(Sp2_ZA+(Sp2_ZB-Sp2_ZA)*((($Q$67)-Sp2_BrgA)/Sp2_Lb)-Sup_Drop+Sp2_C/3*((($Q$67)-Sp2_BrgA)/Sp2_Lb)*(1-((($Q$67)-Sp2_BrgA)/Sp2_Lb))+(MIN(Bm1_Raise,Bm2_Raise))/12)-(INDEX(Clearance!$G$16:$G$114,MATCH($Q$67,Clearance!$E$16:$E$114,1))+INDEX(Clearance!$H$16:$H$114,MATCH($Q$67,Clearance!$E$16:$E$114,1))*(($Q$67)-INDEX(Clearance!$E$16:$E$114,MATCH($Q$67,Clearance!$E$16:$E$114,1)))+INDEX(Clearance!$I$16:$I$114,MATCH($Q$67,Clearance!$E$16:$E$114,1))*(($Q$67)-INDEX(Clearance!$E$16:$E$114,MATCH($Q$67,Clearance!$E$16:$E$114,1)))^2)</f>
        <v>21.627542068644292</v>
      </c>
    </row>
    <row r="68" spans="16:18" x14ac:dyDescent="0.45">
      <c r="Q68" s="47">
        <f>$Q$44+22/30*($Q$45-$Q$44)</f>
        <v>1773.8500497333334</v>
      </c>
      <c r="R68" s="47">
        <f>(Sp2_ZA+(Sp2_ZB-Sp2_ZA)*((($Q$68)-Sp2_BrgA)/Sp2_Lb)-Sup_Drop+Sp2_C/3*((($Q$68)-Sp2_BrgA)/Sp2_Lb)*(1-((($Q$68)-Sp2_BrgA)/Sp2_Lb))+(MIN(Bm1_Raise,Bm2_Raise))/12)-(INDEX(Clearance!$G$16:$G$114,MATCH($Q$68,Clearance!$E$16:$E$114,1))+INDEX(Clearance!$H$16:$H$114,MATCH($Q$68,Clearance!$E$16:$E$114,1))*(($Q$68)-INDEX(Clearance!$E$16:$E$114,MATCH($Q$68,Clearance!$E$16:$E$114,1)))+INDEX(Clearance!$I$16:$I$114,MATCH($Q$68,Clearance!$E$16:$E$114,1))*(($Q$68)-INDEX(Clearance!$E$16:$E$114,MATCH($Q$68,Clearance!$E$16:$E$114,1)))^2)</f>
        <v>22.221777805161445</v>
      </c>
    </row>
    <row r="69" spans="16:18" x14ac:dyDescent="0.45">
      <c r="Q69" s="47">
        <f>$Q$44+23/30*($Q$45-$Q$44)</f>
        <v>1777.1752792666666</v>
      </c>
      <c r="R69" s="47">
        <f>(Sp2_ZA+(Sp2_ZB-Sp2_ZA)*((($Q$69)-Sp2_BrgA)/Sp2_Lb)-Sup_Drop+Sp2_C/3*((($Q$69)-Sp2_BrgA)/Sp2_Lb)*(1-((($Q$69)-Sp2_BrgA)/Sp2_Lb))+(MIN(Bm1_Raise,Bm2_Raise))/12)-(INDEX(Clearance!$G$16:$G$114,MATCH($Q$69,Clearance!$E$16:$E$114,1))+INDEX(Clearance!$H$16:$H$114,MATCH($Q$69,Clearance!$E$16:$E$114,1))*(($Q$69)-INDEX(Clearance!$E$16:$E$114,MATCH($Q$69,Clearance!$E$16:$E$114,1)))+INDEX(Clearance!$I$16:$I$114,MATCH($Q$69,Clearance!$E$16:$E$114,1))*(($Q$69)-INDEX(Clearance!$E$16:$E$114,MATCH($Q$69,Clearance!$E$16:$E$114,1)))^2)</f>
        <v>22.663146970117474</v>
      </c>
    </row>
    <row r="70" spans="16:18" x14ac:dyDescent="0.45">
      <c r="Q70" s="47">
        <f>$Q$44+24/30*($Q$45-$Q$44)</f>
        <v>1780.5005088</v>
      </c>
      <c r="R70" s="47">
        <f>(Sp2_ZA+(Sp2_ZB-Sp2_ZA)*((($Q$70)-Sp2_BrgA)/Sp2_Lb)-Sup_Drop+Sp2_C/3*((($Q$70)-Sp2_BrgA)/Sp2_Lb)*(1-((($Q$70)-Sp2_BrgA)/Sp2_Lb))+(MIN(Bm1_Raise,Bm2_Raise))/12)-(INDEX(Clearance!$G$16:$G$114,MATCH($Q$70,Clearance!$E$16:$E$114,1))+INDEX(Clearance!$H$16:$H$114,MATCH($Q$70,Clearance!$E$16:$E$114,1))*(($Q$70)-INDEX(Clearance!$E$16:$E$114,MATCH($Q$70,Clearance!$E$16:$E$114,1)))+INDEX(Clearance!$I$16:$I$114,MATCH($Q$70,Clearance!$E$16:$E$114,1))*(($Q$70)-INDEX(Clearance!$E$16:$E$114,MATCH($Q$70,Clearance!$E$16:$E$114,1)))^2)</f>
        <v>22.772332455868472</v>
      </c>
    </row>
    <row r="71" spans="16:18" x14ac:dyDescent="0.45">
      <c r="Q71" s="47">
        <f>$Q$44+25/30*($Q$45-$Q$44)</f>
        <v>1783.8257383333334</v>
      </c>
      <c r="R71" s="47">
        <f>(Sp2_ZA+(Sp2_ZB-Sp2_ZA)*((($Q$71)-Sp2_BrgA)/Sp2_Lb)-Sup_Drop+Sp2_C/3*((($Q$71)-Sp2_BrgA)/Sp2_Lb)*(1-((($Q$71)-Sp2_BrgA)/Sp2_Lb))+(MIN(Bm1_Raise,Bm2_Raise))/12)-(INDEX(Clearance!$G$16:$G$114,MATCH($Q$71,Clearance!$E$16:$E$114,1))+INDEX(Clearance!$H$16:$H$114,MATCH($Q$71,Clearance!$E$16:$E$114,1))*(($Q$71)-INDEX(Clearance!$E$16:$E$114,MATCH($Q$71,Clearance!$E$16:$E$114,1)))+INDEX(Clearance!$I$16:$I$114,MATCH($Q$71,Clearance!$E$16:$E$114,1))*(($Q$71)-INDEX(Clearance!$E$16:$E$114,MATCH($Q$71,Clearance!$E$16:$E$114,1)))^2)</f>
        <v>22.788102974955809</v>
      </c>
    </row>
    <row r="72" spans="16:18" x14ac:dyDescent="0.45">
      <c r="Q72" s="47">
        <f>$Q$44+26/30*($Q$45-$Q$44)</f>
        <v>1787.1509678666666</v>
      </c>
      <c r="R72" s="47">
        <f>(Sp2_ZA+(Sp2_ZB-Sp2_ZA)*((($Q$72)-Sp2_BrgA)/Sp2_Lb)-Sup_Drop+Sp2_C/3*((($Q$72)-Sp2_BrgA)/Sp2_Lb)*(1-((($Q$72)-Sp2_BrgA)/Sp2_Lb))+(MIN(Bm1_Raise,Bm2_Raise))/12)-(INDEX(Clearance!$G$16:$G$114,MATCH($Q$72,Clearance!$E$16:$E$114,1))+INDEX(Clearance!$H$16:$H$114,MATCH($Q$72,Clearance!$E$16:$E$114,1))*(($Q$72)-INDEX(Clearance!$E$16:$E$114,MATCH($Q$72,Clearance!$E$16:$E$114,1)))+INDEX(Clearance!$I$16:$I$114,MATCH($Q$72,Clearance!$E$16:$E$114,1))*(($Q$72)-INDEX(Clearance!$E$16:$E$114,MATCH($Q$72,Clearance!$E$16:$E$114,1)))^2)</f>
        <v>22.249562298318203</v>
      </c>
    </row>
    <row r="73" spans="16:18" x14ac:dyDescent="0.45">
      <c r="Q73" s="47">
        <f>$Q$44+27/30*($Q$45-$Q$44)</f>
        <v>1790.4761974</v>
      </c>
      <c r="R73" s="47">
        <f>(Sp2_ZA+(Sp2_ZB-Sp2_ZA)*((($Q$73)-Sp2_BrgA)/Sp2_Lb)-Sup_Drop+Sp2_C/3*((($Q$73)-Sp2_BrgA)/Sp2_Lb)*(1-((($Q$73)-Sp2_BrgA)/Sp2_Lb))+(MIN(Bm1_Raise,Bm2_Raise))/12)-(INDEX(Clearance!$G$16:$G$114,MATCH($Q$73,Clearance!$E$16:$E$114,1))+INDEX(Clearance!$H$16:$H$114,MATCH($Q$73,Clearance!$E$16:$E$114,1))*(($Q$73)-INDEX(Clearance!$E$16:$E$114,MATCH($Q$73,Clearance!$E$16:$E$114,1)))+INDEX(Clearance!$I$16:$I$114,MATCH($Q$73,Clearance!$E$16:$E$114,1))*(($Q$73)-INDEX(Clearance!$E$16:$E$114,MATCH($Q$73,Clearance!$E$16:$E$114,1)))^2)</f>
        <v>21.600376420020531</v>
      </c>
    </row>
    <row r="74" spans="16:18" x14ac:dyDescent="0.45">
      <c r="Q74" s="47">
        <f>$Q$44+28/30*($Q$45-$Q$44)</f>
        <v>1793.8014269333335</v>
      </c>
      <c r="R74" s="47">
        <f>(Sp2_ZA+(Sp2_ZB-Sp2_ZA)*((($Q$74)-Sp2_BrgA)/Sp2_Lb)-Sup_Drop+Sp2_C/3*((($Q$74)-Sp2_BrgA)/Sp2_Lb)*(1-((($Q$74)-Sp2_BrgA)/Sp2_Lb))+(MIN(Bm1_Raise,Bm2_Raise))/12)-(INDEX(Clearance!$G$16:$G$114,MATCH($Q$74,Clearance!$E$16:$E$114,1))+INDEX(Clearance!$H$16:$H$114,MATCH($Q$74,Clearance!$E$16:$E$114,1))*(($Q$74)-INDEX(Clearance!$E$16:$E$114,MATCH($Q$74,Clearance!$E$16:$E$114,1)))+INDEX(Clearance!$I$16:$I$114,MATCH($Q$74,Clearance!$E$16:$E$114,1))*(($Q$74)-INDEX(Clearance!$E$16:$E$114,MATCH($Q$74,Clearance!$E$16:$E$114,1)))^2)</f>
        <v>21.171081158635456</v>
      </c>
    </row>
    <row r="75" spans="16:18" x14ac:dyDescent="0.45">
      <c r="Q75" s="47">
        <f>$Q$44+29/30*($Q$45-$Q$44)</f>
        <v>1797.1266564666666</v>
      </c>
      <c r="R75" s="47">
        <f>(Sp2_ZA+(Sp2_ZB-Sp2_ZA)*((($Q$75)-Sp2_BrgA)/Sp2_Lb)-Sup_Drop+Sp2_C/3*((($Q$75)-Sp2_BrgA)/Sp2_Lb)*(1-((($Q$75)-Sp2_BrgA)/Sp2_Lb))+(MIN(Bm1_Raise,Bm2_Raise))/12)-(INDEX(Clearance!$G$16:$G$114,MATCH($Q$75,Clearance!$E$16:$E$114,1))+INDEX(Clearance!$H$16:$H$114,MATCH($Q$75,Clearance!$E$16:$E$114,1))*(($Q$75)-INDEX(Clearance!$E$16:$E$114,MATCH($Q$75,Clearance!$E$16:$E$114,1)))+INDEX(Clearance!$I$16:$I$114,MATCH($Q$75,Clearance!$E$16:$E$114,1))*(($Q$75)-INDEX(Clearance!$E$16:$E$114,MATCH($Q$75,Clearance!$E$16:$E$114,1)))^2)</f>
        <v>20.810253655684331</v>
      </c>
    </row>
    <row r="76" spans="16:18" x14ac:dyDescent="0.45">
      <c r="Q76" s="47">
        <f>$Q$44+30/30*($Q$45-$Q$44)</f>
        <v>1800.4518860000001</v>
      </c>
      <c r="R76" s="47">
        <f>(Sp2_ZA+(Sp2_ZB-Sp2_ZA)*((($Q$76)-Sp2_BrgA)/Sp2_Lb)-Sup_Drop+Sp2_C/3*((($Q$76)-Sp2_BrgA)/Sp2_Lb)*(1-((($Q$76)-Sp2_BrgA)/Sp2_Lb))+(MIN(Bm1_Raise,Bm2_Raise))/12)-(INDEX(Clearance!$G$16:$G$114,MATCH($Q$76,Clearance!$E$16:$E$114,1))+INDEX(Clearance!$H$16:$H$114,MATCH($Q$76,Clearance!$E$16:$E$114,1))*(($Q$76)-INDEX(Clearance!$E$16:$E$114,MATCH($Q$76,Clearance!$E$16:$E$114,1)))+INDEX(Clearance!$I$16:$I$114,MATCH($Q$76,Clearance!$E$16:$E$114,1))*(($Q$76)-INDEX(Clearance!$E$16:$E$114,MATCH($Q$76,Clearance!$E$16:$E$114,1)))^2)</f>
        <v>20.525175782317564</v>
      </c>
    </row>
    <row r="78" spans="16:18" x14ac:dyDescent="0.45">
      <c r="P78" s="44" t="s">
        <v>1380</v>
      </c>
      <c r="Q78" s="47">
        <f>$Q$53</f>
        <v>1723.9716067333334</v>
      </c>
      <c r="R78" s="47">
        <f>MAX(R46:R76)</f>
        <v>22.788102974955809</v>
      </c>
    </row>
    <row r="80" spans="16:18" x14ac:dyDescent="0.45">
      <c r="P80" s="44" t="s">
        <v>1381</v>
      </c>
      <c r="Q80" s="47">
        <f>Prof_Sta0</f>
        <v>1593.22</v>
      </c>
      <c r="R80" s="47">
        <f>Rd_Req</f>
        <v>17</v>
      </c>
    </row>
    <row r="81" spans="16:18" x14ac:dyDescent="0.45">
      <c r="Q81" s="47">
        <f>Prof_Sta1</f>
        <v>1805.47</v>
      </c>
      <c r="R81" s="47">
        <f>Rd_Req</f>
        <v>17</v>
      </c>
    </row>
    <row r="83" spans="16:18" x14ac:dyDescent="0.45">
      <c r="P83" s="44" t="str">
        <f>"required "&amp;TEXT(Rd_Req,"0.00")&amp;" ft"</f>
        <v>required 17.00 ft</v>
      </c>
      <c r="Q83" s="47">
        <f>Prof_Sta0+0.1*Prof_L</f>
        <v>1614.4449999999999</v>
      </c>
      <c r="R83" s="47">
        <f>Rd_Req</f>
        <v>17</v>
      </c>
    </row>
    <row r="85" spans="16:18" x14ac:dyDescent="0.45">
      <c r="P85" s="44" t="s">
        <v>1382</v>
      </c>
      <c r="Q85" s="47">
        <f>$Q$6</f>
        <v>1593.22</v>
      </c>
      <c r="R85" s="47">
        <f>0</f>
        <v>0</v>
      </c>
    </row>
    <row r="86" spans="16:18" x14ac:dyDescent="0.45">
      <c r="Q86" s="47">
        <f>$Q$6</f>
        <v>1593.22</v>
      </c>
      <c r="R86" s="47">
        <f>Rd_Req*0.5</f>
        <v>8.5</v>
      </c>
    </row>
    <row r="88" spans="16:18" x14ac:dyDescent="0.45">
      <c r="Q88" s="47">
        <f>$Q$7</f>
        <v>1800.4518860000001</v>
      </c>
      <c r="R88" s="47">
        <f>0</f>
        <v>0</v>
      </c>
    </row>
    <row r="89" spans="16:18" x14ac:dyDescent="0.45">
      <c r="Q89" s="47">
        <f>$Q$7</f>
        <v>1800.4518860000001</v>
      </c>
      <c r="R89" s="47">
        <f>Rd_Req*0.5</f>
        <v>8.5</v>
      </c>
    </row>
    <row r="91" spans="16:18" x14ac:dyDescent="0.45">
      <c r="P91" s="44" t="s">
        <v>1383</v>
      </c>
      <c r="Q91" s="47">
        <f>$Q$7</f>
        <v>1800.4518860000001</v>
      </c>
      <c r="R91" s="47">
        <f>Rd_Req*0.5</f>
        <v>8.5</v>
      </c>
    </row>
    <row r="93" spans="16:18" x14ac:dyDescent="0.45">
      <c r="P93" s="44" t="s">
        <v>1384</v>
      </c>
      <c r="Q93" s="47">
        <f>Clr_Sta</f>
        <v>1699.462329</v>
      </c>
      <c r="R93" s="47">
        <f>Clr_Min</f>
        <v>18.361569093606256</v>
      </c>
    </row>
    <row r="94" spans="16:18" x14ac:dyDescent="0.45">
      <c r="Q94" s="47">
        <f>Clr_Sta</f>
        <v>1699.462329</v>
      </c>
      <c r="R94" s="47">
        <f>Rd_Req-2</f>
        <v>15</v>
      </c>
    </row>
    <row r="96" spans="16:18" x14ac:dyDescent="0.45">
      <c r="P96" s="44" t="s">
        <v>1385</v>
      </c>
      <c r="Q96" s="47">
        <f>Clr_Sta</f>
        <v>1699.462329</v>
      </c>
      <c r="R96" s="47">
        <f>Clr_Min</f>
        <v>18.361569093606256</v>
      </c>
    </row>
    <row r="98" spans="16:18" x14ac:dyDescent="0.45">
      <c r="P98" s="44" t="str">
        <f>"min "&amp;TEXT(Clr_Min,"0.000")&amp;" ft @ "&amp;TEXT(INT(ROUND(Clr_Sta*100,0)/10000),"0")&amp;"+"&amp;TEXT(MOD(ROUND(Clr_Sta*100,0),10000)/100,"00.00")</f>
        <v>min 18.362 ft @ 16+99.46</v>
      </c>
      <c r="Q98" s="47">
        <f>Clr_Sta</f>
        <v>1699.462329</v>
      </c>
      <c r="R98" s="47">
        <f>Rd_Req-2</f>
        <v>15</v>
      </c>
    </row>
    <row r="100" spans="16:18" x14ac:dyDescent="0.45">
      <c r="P100" s="44" t="s">
        <v>802</v>
      </c>
      <c r="Q100" s="47">
        <f>Prof_Sta0-3</f>
        <v>1590.22</v>
      </c>
      <c r="R100" s="47">
        <f>0</f>
        <v>0</v>
      </c>
    </row>
    <row r="101" spans="16:18" x14ac:dyDescent="0.45">
      <c r="Q101" s="47">
        <f>Prof_Sta1+3</f>
        <v>1808.47</v>
      </c>
      <c r="R101" s="47">
        <f>MAX(MAX(R10:R40),MAX(R46:R76))+3</f>
        <v>25.788102974955809</v>
      </c>
    </row>
  </sheetData>
  <mergeCells count="5">
    <mergeCell ref="B3:M3"/>
    <mergeCell ref="B31:M31"/>
    <mergeCell ref="B8:M8"/>
    <mergeCell ref="B30:M30"/>
    <mergeCell ref="B4:M4"/>
  </mergeCells>
  <conditionalFormatting sqref="B3:M3">
    <cfRule type="expression" dxfId="16" priority="1">
      <formula>Inputs_Edited=0</formula>
    </cfRule>
    <cfRule type="expression" dxfId="15" priority="2">
      <formula>Inputs_Edited&gt;0</formula>
    </cfRule>
  </conditionalFormatting>
  <pageMargins left="0.75" right="0.75" top="1" bottom="1" header="0.5" footer="0.5"/>
  <pageSetup fitToHeight="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392B"/>
  </sheetPr>
  <dimension ref="A1:O25"/>
  <sheetViews>
    <sheetView showGridLines="0" workbookViewId="0"/>
  </sheetViews>
  <sheetFormatPr defaultRowHeight="14.25" x14ac:dyDescent="0.45"/>
  <cols>
    <col min="1" max="1" width="30" customWidth="1"/>
    <col min="2" max="2" width="10" customWidth="1"/>
    <col min="3" max="15" width="10.46484375" customWidth="1"/>
  </cols>
  <sheetData>
    <row r="1" spans="1:15" ht="17.649999999999999" x14ac:dyDescent="0.5">
      <c r="A1" s="15" t="s">
        <v>1386</v>
      </c>
      <c r="N1" s="37" t="str">
        <f>"JOB #: "&amp;TB_JobNo</f>
        <v xml:space="preserve">JOB #: </v>
      </c>
    </row>
    <row r="2" spans="1:15" x14ac:dyDescent="0.45">
      <c r="A2" s="8" t="s">
        <v>1387</v>
      </c>
      <c r="N2" s="37" t="str">
        <f>"PROJECT NAME: "&amp;TB_Project</f>
        <v>PROJECT NAME: D2 I-95 Pedestrian Bridge</v>
      </c>
    </row>
    <row r="3" spans="1:15" x14ac:dyDescent="0.45">
      <c r="N3" s="37" t="str">
        <f>"SUBJECT: "&amp;"FINISH GRADE ELEVATIONS"</f>
        <v>SUBJECT: FINISH GRADE ELEVATIONS</v>
      </c>
    </row>
    <row r="4" spans="1:15" x14ac:dyDescent="0.45">
      <c r="N4" s="37" t="str">
        <f>"CALCULATED BY: "&amp;TB_CalcBy&amp;"   "&amp;TB_CalcDate</f>
        <v xml:space="preserve">CALCULATED BY:    </v>
      </c>
    </row>
    <row r="5" spans="1:15" x14ac:dyDescent="0.45">
      <c r="N5" s="37" t="str">
        <f>"CHECKED BY: "&amp;TB_CheckBy&amp;"   "&amp;TB_CheckDate</f>
        <v xml:space="preserve">CHECKED BY:    </v>
      </c>
    </row>
    <row r="7" spans="1:15" x14ac:dyDescent="0.45">
      <c r="A7" s="6" t="s">
        <v>1388</v>
      </c>
    </row>
    <row r="8" spans="1:15" ht="30" customHeight="1" x14ac:dyDescent="0.45">
      <c r="A8" s="19" t="s">
        <v>1389</v>
      </c>
      <c r="B8" s="19" t="s">
        <v>1390</v>
      </c>
      <c r="C8" s="19" t="s">
        <v>1005</v>
      </c>
      <c r="D8" s="19" t="s">
        <v>1391</v>
      </c>
      <c r="E8" s="19" t="s">
        <v>1007</v>
      </c>
      <c r="F8" s="19" t="s">
        <v>1008</v>
      </c>
      <c r="G8" s="19" t="s">
        <v>1009</v>
      </c>
      <c r="H8" s="19" t="s">
        <v>1010</v>
      </c>
      <c r="I8" s="19" t="s">
        <v>1011</v>
      </c>
      <c r="J8" s="19" t="s">
        <v>1012</v>
      </c>
      <c r="K8" s="19" t="s">
        <v>1013</v>
      </c>
      <c r="L8" s="19" t="s">
        <v>1014</v>
      </c>
      <c r="M8" s="19" t="s">
        <v>1015</v>
      </c>
      <c r="N8" s="19" t="s">
        <v>1391</v>
      </c>
      <c r="O8" s="19" t="s">
        <v>1392</v>
      </c>
    </row>
    <row r="9" spans="1:15" x14ac:dyDescent="0.45">
      <c r="A9" s="70" t="s">
        <v>1393</v>
      </c>
      <c r="B9" s="71">
        <f>FGE!C17</f>
        <v>10.547499999999991</v>
      </c>
      <c r="C9" s="72" t="str">
        <f>FGE!E9</f>
        <v>15+93.22</v>
      </c>
      <c r="D9" s="72" t="str">
        <f>FGE!F9</f>
        <v>15+94.22</v>
      </c>
      <c r="E9" s="72" t="str">
        <f>FGE!G9</f>
        <v>16+04.77</v>
      </c>
      <c r="F9" s="72" t="str">
        <f>FGE!H9</f>
        <v>16+15.32</v>
      </c>
      <c r="G9" s="72" t="str">
        <f>FGE!I9</f>
        <v>16+25.86</v>
      </c>
      <c r="H9" s="72" t="str">
        <f>FGE!J9</f>
        <v>16+36.41</v>
      </c>
      <c r="I9" s="72" t="str">
        <f>FGE!K9</f>
        <v>16+46.96</v>
      </c>
      <c r="J9" s="72" t="str">
        <f>FGE!L9</f>
        <v>16+57.51</v>
      </c>
      <c r="K9" s="72" t="str">
        <f>FGE!M9</f>
        <v>16+68.05</v>
      </c>
      <c r="L9" s="72" t="str">
        <f>FGE!N9</f>
        <v>16+78.60</v>
      </c>
      <c r="M9" s="72" t="str">
        <f>FGE!O9</f>
        <v>16+89.15</v>
      </c>
      <c r="N9" s="72" t="str">
        <f>FGE!P9</f>
        <v>16+99.70</v>
      </c>
      <c r="O9" s="72" t="str">
        <f>FGE!Q9</f>
        <v>17+00.57</v>
      </c>
    </row>
    <row r="10" spans="1:15" x14ac:dyDescent="0.45">
      <c r="A10" s="73" t="s">
        <v>1394</v>
      </c>
      <c r="B10" s="74"/>
      <c r="C10" s="71">
        <f>FGE!E12</f>
        <v>47.525166666666671</v>
      </c>
      <c r="D10" s="71">
        <f>FGE!F12</f>
        <v>47.530165502251208</v>
      </c>
      <c r="E10" s="71">
        <f>FGE!G12</f>
        <v>47.582890720579108</v>
      </c>
      <c r="F10" s="71">
        <f>FGE!H12</f>
        <v>47.635615938907009</v>
      </c>
      <c r="G10" s="71">
        <f>FGE!I12</f>
        <v>47.688341157234909</v>
      </c>
      <c r="H10" s="71">
        <f>FGE!J12</f>
        <v>47.741066375562802</v>
      </c>
      <c r="I10" s="71">
        <f>FGE!K12</f>
        <v>47.793791593890703</v>
      </c>
      <c r="J10" s="71">
        <f>FGE!L12</f>
        <v>47.846516812218603</v>
      </c>
      <c r="K10" s="71">
        <f>FGE!M12</f>
        <v>47.899242030546503</v>
      </c>
      <c r="L10" s="71">
        <f>FGE!N12</f>
        <v>47.951967248874404</v>
      </c>
      <c r="M10" s="71">
        <f>FGE!O12</f>
        <v>48.004692467202304</v>
      </c>
      <c r="N10" s="71">
        <f>FGE!P12</f>
        <v>48.057417685530204</v>
      </c>
      <c r="O10" s="71">
        <f>FGE!Q12</f>
        <v>48.061791666666672</v>
      </c>
    </row>
    <row r="11" spans="1:15" x14ac:dyDescent="0.45">
      <c r="A11" s="73" t="s">
        <v>1395</v>
      </c>
      <c r="B11" s="74"/>
      <c r="C11" s="71">
        <f>FGE!E13</f>
        <v>47.575166666666668</v>
      </c>
      <c r="D11" s="71">
        <f>FGE!F13</f>
        <v>47.580165502251205</v>
      </c>
      <c r="E11" s="71">
        <f>FGE!G13</f>
        <v>47.632890720579105</v>
      </c>
      <c r="F11" s="71">
        <f>FGE!H13</f>
        <v>47.685615938907006</v>
      </c>
      <c r="G11" s="71">
        <f>FGE!I13</f>
        <v>47.738341157234906</v>
      </c>
      <c r="H11" s="71">
        <f>FGE!J13</f>
        <v>47.791066375562799</v>
      </c>
      <c r="I11" s="71">
        <f>FGE!K13</f>
        <v>47.8437915938907</v>
      </c>
      <c r="J11" s="71">
        <f>FGE!L13</f>
        <v>47.8965168122186</v>
      </c>
      <c r="K11" s="71">
        <f>FGE!M13</f>
        <v>47.9492420305465</v>
      </c>
      <c r="L11" s="71">
        <f>FGE!N13</f>
        <v>48.001967248874401</v>
      </c>
      <c r="M11" s="71">
        <f>FGE!O13</f>
        <v>48.054692467202301</v>
      </c>
      <c r="N11" s="71">
        <f>FGE!P13</f>
        <v>48.107417685530201</v>
      </c>
      <c r="O11" s="71">
        <f>FGE!Q13</f>
        <v>48.111791666666669</v>
      </c>
    </row>
    <row r="12" spans="1:15" x14ac:dyDescent="0.45">
      <c r="A12" s="73" t="s">
        <v>794</v>
      </c>
      <c r="B12" s="74"/>
      <c r="C12" s="71">
        <f>FGE!E14</f>
        <v>47.661000000000001</v>
      </c>
      <c r="D12" s="71">
        <f>FGE!F14</f>
        <v>47.665998835584539</v>
      </c>
      <c r="E12" s="71">
        <f>FGE!G14</f>
        <v>47.718724053912439</v>
      </c>
      <c r="F12" s="71">
        <f>FGE!H14</f>
        <v>47.771449272240339</v>
      </c>
      <c r="G12" s="71">
        <f>FGE!I14</f>
        <v>47.82417449056824</v>
      </c>
      <c r="H12" s="71">
        <f>FGE!J14</f>
        <v>47.876899708896133</v>
      </c>
      <c r="I12" s="71">
        <f>FGE!K14</f>
        <v>47.929624927224033</v>
      </c>
      <c r="J12" s="71">
        <f>FGE!L14</f>
        <v>47.982350145551933</v>
      </c>
      <c r="K12" s="71">
        <f>FGE!M14</f>
        <v>48.035075363879834</v>
      </c>
      <c r="L12" s="71">
        <f>FGE!N14</f>
        <v>48.087800582207734</v>
      </c>
      <c r="M12" s="71">
        <f>FGE!O14</f>
        <v>48.140525800535634</v>
      </c>
      <c r="N12" s="71">
        <f>FGE!P14</f>
        <v>48.193251018863535</v>
      </c>
      <c r="O12" s="71">
        <f>FGE!Q14</f>
        <v>48.197625000000002</v>
      </c>
    </row>
    <row r="13" spans="1:15" x14ac:dyDescent="0.45">
      <c r="A13" s="73" t="s">
        <v>1396</v>
      </c>
      <c r="B13" s="74"/>
      <c r="C13" s="71">
        <f>FGE!E15</f>
        <v>47.575166666666668</v>
      </c>
      <c r="D13" s="71">
        <f>FGE!F15</f>
        <v>47.580165502251205</v>
      </c>
      <c r="E13" s="71">
        <f>FGE!G15</f>
        <v>47.632890720579105</v>
      </c>
      <c r="F13" s="71">
        <f>FGE!H15</f>
        <v>47.685615938907006</v>
      </c>
      <c r="G13" s="71">
        <f>FGE!I15</f>
        <v>47.738341157234906</v>
      </c>
      <c r="H13" s="71">
        <f>FGE!J15</f>
        <v>47.791066375562799</v>
      </c>
      <c r="I13" s="71">
        <f>FGE!K15</f>
        <v>47.8437915938907</v>
      </c>
      <c r="J13" s="71">
        <f>FGE!L15</f>
        <v>47.8965168122186</v>
      </c>
      <c r="K13" s="71">
        <f>FGE!M15</f>
        <v>47.9492420305465</v>
      </c>
      <c r="L13" s="71">
        <f>FGE!N15</f>
        <v>48.001967248874401</v>
      </c>
      <c r="M13" s="71">
        <f>FGE!O15</f>
        <v>48.054692467202301</v>
      </c>
      <c r="N13" s="71">
        <f>FGE!P15</f>
        <v>48.107417685530201</v>
      </c>
      <c r="O13" s="71">
        <f>FGE!Q15</f>
        <v>48.111791666666669</v>
      </c>
    </row>
    <row r="14" spans="1:15" x14ac:dyDescent="0.45">
      <c r="A14" s="73" t="s">
        <v>1397</v>
      </c>
      <c r="B14" s="74"/>
      <c r="C14" s="71">
        <f>FGE!E16</f>
        <v>47.525166666666671</v>
      </c>
      <c r="D14" s="71">
        <f>FGE!F16</f>
        <v>47.530165502251208</v>
      </c>
      <c r="E14" s="71">
        <f>FGE!G16</f>
        <v>47.582890720579108</v>
      </c>
      <c r="F14" s="71">
        <f>FGE!H16</f>
        <v>47.635615938907009</v>
      </c>
      <c r="G14" s="71">
        <f>FGE!I16</f>
        <v>47.688341157234909</v>
      </c>
      <c r="H14" s="71">
        <f>FGE!J16</f>
        <v>47.741066375562802</v>
      </c>
      <c r="I14" s="71">
        <f>FGE!K16</f>
        <v>47.793791593890703</v>
      </c>
      <c r="J14" s="71">
        <f>FGE!L16</f>
        <v>47.846516812218603</v>
      </c>
      <c r="K14" s="71">
        <f>FGE!M16</f>
        <v>47.899242030546503</v>
      </c>
      <c r="L14" s="71">
        <f>FGE!N16</f>
        <v>47.951967248874404</v>
      </c>
      <c r="M14" s="71">
        <f>FGE!O16</f>
        <v>48.004692467202304</v>
      </c>
      <c r="N14" s="71">
        <f>FGE!P16</f>
        <v>48.057417685530204</v>
      </c>
      <c r="O14" s="71">
        <f>FGE!Q16</f>
        <v>48.061791666666672</v>
      </c>
    </row>
    <row r="15" spans="1:15" x14ac:dyDescent="0.45">
      <c r="A15" s="8" t="s">
        <v>1398</v>
      </c>
    </row>
    <row r="17" spans="1:15" x14ac:dyDescent="0.45">
      <c r="A17" s="6" t="s">
        <v>1399</v>
      </c>
    </row>
    <row r="18" spans="1:15" ht="30" customHeight="1" x14ac:dyDescent="0.45">
      <c r="A18" s="19" t="s">
        <v>1389</v>
      </c>
      <c r="B18" s="19" t="s">
        <v>1390</v>
      </c>
      <c r="C18" s="19" t="s">
        <v>1392</v>
      </c>
      <c r="D18" s="19" t="s">
        <v>1391</v>
      </c>
      <c r="E18" s="19" t="s">
        <v>1007</v>
      </c>
      <c r="F18" s="19" t="s">
        <v>1008</v>
      </c>
      <c r="G18" s="19" t="s">
        <v>1009</v>
      </c>
      <c r="H18" s="19" t="s">
        <v>1010</v>
      </c>
      <c r="I18" s="19" t="s">
        <v>1011</v>
      </c>
      <c r="J18" s="19" t="s">
        <v>1012</v>
      </c>
      <c r="K18" s="19" t="s">
        <v>1013</v>
      </c>
      <c r="L18" s="19" t="s">
        <v>1014</v>
      </c>
      <c r="M18" s="19" t="s">
        <v>1015</v>
      </c>
      <c r="N18" s="19" t="s">
        <v>1391</v>
      </c>
      <c r="O18" s="19" t="s">
        <v>1024</v>
      </c>
    </row>
    <row r="19" spans="1:15" x14ac:dyDescent="0.45">
      <c r="A19" s="70" t="s">
        <v>1393</v>
      </c>
      <c r="B19" s="71">
        <f>FGE!C30</f>
        <v>10.302500000000009</v>
      </c>
      <c r="C19" s="72" t="str">
        <f>FGE!E22</f>
        <v>17+00.57</v>
      </c>
      <c r="D19" s="72" t="str">
        <f>FGE!F22</f>
        <v>17+01.45</v>
      </c>
      <c r="E19" s="72" t="str">
        <f>FGE!G22</f>
        <v>17+11.75</v>
      </c>
      <c r="F19" s="72" t="str">
        <f>FGE!H22</f>
        <v>17+22.05</v>
      </c>
      <c r="G19" s="72" t="str">
        <f>FGE!I22</f>
        <v>17+32.35</v>
      </c>
      <c r="H19" s="72" t="str">
        <f>FGE!J22</f>
        <v>17+42.66</v>
      </c>
      <c r="I19" s="72" t="str">
        <f>FGE!K22</f>
        <v>17+52.96</v>
      </c>
      <c r="J19" s="72" t="str">
        <f>FGE!L22</f>
        <v>17+63.26</v>
      </c>
      <c r="K19" s="72" t="str">
        <f>FGE!M22</f>
        <v>17+73.56</v>
      </c>
      <c r="L19" s="72" t="str">
        <f>FGE!N22</f>
        <v>17+83.87</v>
      </c>
      <c r="M19" s="72" t="str">
        <f>FGE!O22</f>
        <v>17+94.17</v>
      </c>
      <c r="N19" s="72" t="str">
        <f>FGE!P22</f>
        <v>18+04.47</v>
      </c>
      <c r="O19" s="72" t="str">
        <f>FGE!Q22</f>
        <v>18+05.47</v>
      </c>
    </row>
    <row r="20" spans="1:15" x14ac:dyDescent="0.45">
      <c r="A20" s="73" t="s">
        <v>1394</v>
      </c>
      <c r="B20" s="74"/>
      <c r="C20" s="71">
        <f>FGE!E25</f>
        <v>48.061791666666672</v>
      </c>
      <c r="D20" s="71">
        <f>FGE!F25</f>
        <v>48.057415624006993</v>
      </c>
      <c r="E20" s="71">
        <f>FGE!G25</f>
        <v>48.005890847434067</v>
      </c>
      <c r="F20" s="71">
        <f>FGE!H25</f>
        <v>47.954366070861141</v>
      </c>
      <c r="G20" s="71">
        <f>FGE!I25</f>
        <v>47.902841294288216</v>
      </c>
      <c r="H20" s="71">
        <f>FGE!J25</f>
        <v>47.85131651771529</v>
      </c>
      <c r="I20" s="71">
        <f>FGE!K25</f>
        <v>47.799791741142364</v>
      </c>
      <c r="J20" s="71">
        <f>FGE!L25</f>
        <v>47.748266964569439</v>
      </c>
      <c r="K20" s="71">
        <f>FGE!M25</f>
        <v>47.696742187996506</v>
      </c>
      <c r="L20" s="71">
        <f>FGE!N25</f>
        <v>47.64521741142358</v>
      </c>
      <c r="M20" s="71">
        <f>FGE!O25</f>
        <v>47.593692634850655</v>
      </c>
      <c r="N20" s="71">
        <f>FGE!P25</f>
        <v>47.542167858277729</v>
      </c>
      <c r="O20" s="71">
        <f>FGE!Q25</f>
        <v>47.537166666666671</v>
      </c>
    </row>
    <row r="21" spans="1:15" x14ac:dyDescent="0.45">
      <c r="A21" s="73" t="s">
        <v>1400</v>
      </c>
      <c r="B21" s="74"/>
      <c r="C21" s="71">
        <f>FGE!E26</f>
        <v>48.111791666666669</v>
      </c>
      <c r="D21" s="71">
        <f>FGE!F26</f>
        <v>48.10741562400699</v>
      </c>
      <c r="E21" s="71">
        <f>FGE!G26</f>
        <v>48.055890847434064</v>
      </c>
      <c r="F21" s="71">
        <f>FGE!H26</f>
        <v>48.004366070861138</v>
      </c>
      <c r="G21" s="71">
        <f>FGE!I26</f>
        <v>47.952841294288213</v>
      </c>
      <c r="H21" s="71">
        <f>FGE!J26</f>
        <v>47.901316517715287</v>
      </c>
      <c r="I21" s="71">
        <f>FGE!K26</f>
        <v>47.849791741142361</v>
      </c>
      <c r="J21" s="71">
        <f>FGE!L26</f>
        <v>47.798266964569436</v>
      </c>
      <c r="K21" s="71">
        <f>FGE!M26</f>
        <v>47.746742187996503</v>
      </c>
      <c r="L21" s="71">
        <f>FGE!N26</f>
        <v>47.695217411423577</v>
      </c>
      <c r="M21" s="71">
        <f>FGE!O26</f>
        <v>47.643692634850652</v>
      </c>
      <c r="N21" s="71">
        <f>FGE!P26</f>
        <v>47.592167858277726</v>
      </c>
      <c r="O21" s="71">
        <f>FGE!Q26</f>
        <v>47.587166666666668</v>
      </c>
    </row>
    <row r="22" spans="1:15" x14ac:dyDescent="0.45">
      <c r="A22" s="73" t="s">
        <v>794</v>
      </c>
      <c r="B22" s="74"/>
      <c r="C22" s="71">
        <f>FGE!E27</f>
        <v>48.197625000000002</v>
      </c>
      <c r="D22" s="71">
        <f>FGE!F27</f>
        <v>48.193248957340323</v>
      </c>
      <c r="E22" s="71">
        <f>FGE!G27</f>
        <v>48.141724180767397</v>
      </c>
      <c r="F22" s="71">
        <f>FGE!H27</f>
        <v>48.090199404194472</v>
      </c>
      <c r="G22" s="71">
        <f>FGE!I27</f>
        <v>48.038674627621546</v>
      </c>
      <c r="H22" s="71">
        <f>FGE!J27</f>
        <v>47.987149851048621</v>
      </c>
      <c r="I22" s="71">
        <f>FGE!K27</f>
        <v>47.935625074475695</v>
      </c>
      <c r="J22" s="71">
        <f>FGE!L27</f>
        <v>47.884100297902769</v>
      </c>
      <c r="K22" s="71">
        <f>FGE!M27</f>
        <v>47.832575521329836</v>
      </c>
      <c r="L22" s="71">
        <f>FGE!N27</f>
        <v>47.781050744756911</v>
      </c>
      <c r="M22" s="71">
        <f>FGE!O27</f>
        <v>47.729525968183985</v>
      </c>
      <c r="N22" s="71">
        <f>FGE!P27</f>
        <v>47.67800119161106</v>
      </c>
      <c r="O22" s="71">
        <f>FGE!Q27</f>
        <v>47.673000000000002</v>
      </c>
    </row>
    <row r="23" spans="1:15" x14ac:dyDescent="0.45">
      <c r="A23" s="73" t="s">
        <v>1401</v>
      </c>
      <c r="B23" s="74"/>
      <c r="C23" s="71">
        <f>FGE!E28</f>
        <v>48.111791666666669</v>
      </c>
      <c r="D23" s="71">
        <f>FGE!F28</f>
        <v>48.10741562400699</v>
      </c>
      <c r="E23" s="71">
        <f>FGE!G28</f>
        <v>48.055890847434064</v>
      </c>
      <c r="F23" s="71">
        <f>FGE!H28</f>
        <v>48.004366070861138</v>
      </c>
      <c r="G23" s="71">
        <f>FGE!I28</f>
        <v>47.952841294288213</v>
      </c>
      <c r="H23" s="71">
        <f>FGE!J28</f>
        <v>47.901316517715287</v>
      </c>
      <c r="I23" s="71">
        <f>FGE!K28</f>
        <v>47.849791741142361</v>
      </c>
      <c r="J23" s="71">
        <f>FGE!L28</f>
        <v>47.798266964569436</v>
      </c>
      <c r="K23" s="71">
        <f>FGE!M28</f>
        <v>47.746742187996503</v>
      </c>
      <c r="L23" s="71">
        <f>FGE!N28</f>
        <v>47.695217411423577</v>
      </c>
      <c r="M23" s="71">
        <f>FGE!O28</f>
        <v>47.643692634850652</v>
      </c>
      <c r="N23" s="71">
        <f>FGE!P28</f>
        <v>47.592167858277726</v>
      </c>
      <c r="O23" s="71">
        <f>FGE!Q28</f>
        <v>47.587166666666668</v>
      </c>
    </row>
    <row r="24" spans="1:15" x14ac:dyDescent="0.45">
      <c r="A24" s="73" t="s">
        <v>1397</v>
      </c>
      <c r="B24" s="74"/>
      <c r="C24" s="71">
        <f>FGE!E29</f>
        <v>48.061791666666672</v>
      </c>
      <c r="D24" s="71">
        <f>FGE!F29</f>
        <v>48.057415624006993</v>
      </c>
      <c r="E24" s="71">
        <f>FGE!G29</f>
        <v>48.005890847434067</v>
      </c>
      <c r="F24" s="71">
        <f>FGE!H29</f>
        <v>47.954366070861141</v>
      </c>
      <c r="G24" s="71">
        <f>FGE!I29</f>
        <v>47.902841294288216</v>
      </c>
      <c r="H24" s="71">
        <f>FGE!J29</f>
        <v>47.85131651771529</v>
      </c>
      <c r="I24" s="71">
        <f>FGE!K29</f>
        <v>47.799791741142364</v>
      </c>
      <c r="J24" s="71">
        <f>FGE!L29</f>
        <v>47.748266964569439</v>
      </c>
      <c r="K24" s="71">
        <f>FGE!M29</f>
        <v>47.696742187996506</v>
      </c>
      <c r="L24" s="71">
        <f>FGE!N29</f>
        <v>47.64521741142358</v>
      </c>
      <c r="M24" s="71">
        <f>FGE!O29</f>
        <v>47.593692634850655</v>
      </c>
      <c r="N24" s="71">
        <f>FGE!P29</f>
        <v>47.542167858277729</v>
      </c>
      <c r="O24" s="71">
        <f>FGE!Q29</f>
        <v>47.537166666666671</v>
      </c>
    </row>
    <row r="25" spans="1:15" x14ac:dyDescent="0.45">
      <c r="A25" s="8" t="s">
        <v>1398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A96A3"/>
    <pageSetUpPr fitToPage="1"/>
  </sheetPr>
  <dimension ref="B1:S154"/>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1402</v>
      </c>
      <c r="P1" s="43" t="s">
        <v>785</v>
      </c>
    </row>
    <row r="2" spans="2:19" x14ac:dyDescent="0.45">
      <c r="B2" s="8" t="s">
        <v>1403</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ht="29.45" customHeight="1" x14ac:dyDescent="0.45">
      <c r="B4" s="85" t="s">
        <v>1404</v>
      </c>
      <c r="C4" s="83"/>
      <c r="D4" s="83"/>
      <c r="E4" s="83"/>
      <c r="F4" s="83"/>
      <c r="G4" s="83"/>
      <c r="H4" s="83"/>
      <c r="I4" s="83"/>
      <c r="J4" s="83"/>
      <c r="K4" s="83"/>
      <c r="L4" s="83"/>
      <c r="M4" s="83"/>
      <c r="P4" s="45" t="s">
        <v>1405</v>
      </c>
    </row>
    <row r="5" spans="2:19" ht="15" customHeight="1" x14ac:dyDescent="0.45">
      <c r="P5" s="46" t="s">
        <v>790</v>
      </c>
      <c r="Q5" s="46" t="s">
        <v>791</v>
      </c>
      <c r="R5" s="46" t="s">
        <v>792</v>
      </c>
      <c r="S5" s="46" t="s">
        <v>793</v>
      </c>
    </row>
    <row r="6" spans="2:19" ht="15" customHeight="1" x14ac:dyDescent="0.45">
      <c r="P6" s="44" t="s">
        <v>1032</v>
      </c>
      <c r="Q6" s="48">
        <f>MIN(FGE!$C$25,FGE!$C$26,FGE!$C$27,FGE!$C$28,FGE!$C$29)</f>
        <v>-6.7916666666666652</v>
      </c>
    </row>
    <row r="7" spans="2:19" ht="15" customHeight="1" x14ac:dyDescent="0.45">
      <c r="P7" s="44" t="s">
        <v>1033</v>
      </c>
      <c r="Q7" s="48">
        <f>MAX(FGE!$C$25,FGE!$C$26,FGE!$C$27,FGE!$C$28,FGE!$C$29)</f>
        <v>6.7916666666666652</v>
      </c>
    </row>
    <row r="8" spans="2:19" ht="15" customHeight="1" x14ac:dyDescent="0.45">
      <c r="P8" s="44" t="s">
        <v>1034</v>
      </c>
      <c r="Q8" s="47">
        <f>FGE!E21</f>
        <v>1700.57</v>
      </c>
      <c r="R8" s="47">
        <f>$Q$6</f>
        <v>-6.7916666666666652</v>
      </c>
    </row>
    <row r="9" spans="2:19" ht="15" customHeight="1" x14ac:dyDescent="0.45">
      <c r="Q9" s="47">
        <f>FGE!E21</f>
        <v>1700.57</v>
      </c>
      <c r="R9" s="47">
        <f>$Q$7</f>
        <v>6.7916666666666652</v>
      </c>
    </row>
    <row r="10" spans="2:19" ht="15" customHeight="1" x14ac:dyDescent="0.45"/>
    <row r="11" spans="2:19" ht="15" customHeight="1" x14ac:dyDescent="0.45">
      <c r="Q11" s="47">
        <f>FGE!F21</f>
        <v>1701.4449999999999</v>
      </c>
      <c r="R11" s="47">
        <f>$Q$6</f>
        <v>-6.7916666666666652</v>
      </c>
    </row>
    <row r="12" spans="2:19" ht="15" customHeight="1" x14ac:dyDescent="0.45">
      <c r="Q12" s="47">
        <f>FGE!F21</f>
        <v>1701.4449999999999</v>
      </c>
      <c r="R12" s="47">
        <f>$Q$7</f>
        <v>6.7916666666666652</v>
      </c>
    </row>
    <row r="13" spans="2:19" ht="15" customHeight="1" x14ac:dyDescent="0.45"/>
    <row r="14" spans="2:19" ht="15" customHeight="1" x14ac:dyDescent="0.45">
      <c r="Q14" s="47">
        <f>FGE!G21</f>
        <v>1711.7474999999999</v>
      </c>
      <c r="R14" s="47">
        <f>$Q$6</f>
        <v>-6.7916666666666652</v>
      </c>
    </row>
    <row r="15" spans="2:19" ht="15" customHeight="1" x14ac:dyDescent="0.45">
      <c r="Q15" s="47">
        <f>FGE!G21</f>
        <v>1711.7474999999999</v>
      </c>
      <c r="R15" s="47">
        <f>$Q$7</f>
        <v>6.7916666666666652</v>
      </c>
    </row>
    <row r="16" spans="2:19" ht="15" customHeight="1" x14ac:dyDescent="0.45"/>
    <row r="17" spans="2:18" ht="15" customHeight="1" x14ac:dyDescent="0.45">
      <c r="Q17" s="47">
        <f>FGE!H21</f>
        <v>1722.05</v>
      </c>
      <c r="R17" s="47">
        <f>$Q$6</f>
        <v>-6.7916666666666652</v>
      </c>
    </row>
    <row r="18" spans="2:18" ht="15" customHeight="1" x14ac:dyDescent="0.45">
      <c r="Q18" s="47">
        <f>FGE!H21</f>
        <v>1722.05</v>
      </c>
      <c r="R18" s="47">
        <f>$Q$7</f>
        <v>6.7916666666666652</v>
      </c>
    </row>
    <row r="19" spans="2:18" ht="15" customHeight="1" x14ac:dyDescent="0.45"/>
    <row r="20" spans="2:18" ht="15" customHeight="1" x14ac:dyDescent="0.45">
      <c r="Q20" s="47">
        <f>FGE!I21</f>
        <v>1732.3525</v>
      </c>
      <c r="R20" s="47">
        <f>$Q$6</f>
        <v>-6.7916666666666652</v>
      </c>
    </row>
    <row r="21" spans="2:18" ht="15" customHeight="1" x14ac:dyDescent="0.45">
      <c r="Q21" s="47">
        <f>FGE!I21</f>
        <v>1732.3525</v>
      </c>
      <c r="R21" s="47">
        <f>$Q$7</f>
        <v>6.7916666666666652</v>
      </c>
    </row>
    <row r="22" spans="2:18" ht="15" customHeight="1" x14ac:dyDescent="0.45"/>
    <row r="23" spans="2:18" ht="15" customHeight="1" x14ac:dyDescent="0.45">
      <c r="Q23" s="47">
        <f>FGE!J21</f>
        <v>1742.655</v>
      </c>
      <c r="R23" s="47">
        <f>$Q$6</f>
        <v>-6.7916666666666652</v>
      </c>
    </row>
    <row r="24" spans="2:18" ht="15" customHeight="1" x14ac:dyDescent="0.45">
      <c r="Q24" s="47">
        <f>FGE!J21</f>
        <v>1742.655</v>
      </c>
      <c r="R24" s="47">
        <f>$Q$7</f>
        <v>6.7916666666666652</v>
      </c>
    </row>
    <row r="25" spans="2:18" ht="15" customHeight="1" x14ac:dyDescent="0.45"/>
    <row r="26" spans="2:18" ht="15" customHeight="1" x14ac:dyDescent="0.45">
      <c r="Q26" s="47">
        <f>FGE!K21</f>
        <v>1752.9575</v>
      </c>
      <c r="R26" s="47">
        <f>$Q$6</f>
        <v>-6.7916666666666652</v>
      </c>
    </row>
    <row r="27" spans="2:18" ht="15" customHeight="1" x14ac:dyDescent="0.45">
      <c r="Q27" s="47">
        <f>FGE!K21</f>
        <v>1752.9575</v>
      </c>
      <c r="R27" s="47">
        <f>$Q$7</f>
        <v>6.7916666666666652</v>
      </c>
    </row>
    <row r="28" spans="2:18" ht="16.25" customHeight="1" x14ac:dyDescent="0.45">
      <c r="B28" s="82" t="s">
        <v>1406</v>
      </c>
      <c r="C28" s="83"/>
      <c r="D28" s="83"/>
      <c r="E28" s="83"/>
      <c r="F28" s="83"/>
      <c r="G28" s="83"/>
      <c r="H28" s="83"/>
      <c r="I28" s="83"/>
      <c r="J28" s="83"/>
      <c r="K28" s="83"/>
      <c r="L28" s="83"/>
      <c r="M28" s="83"/>
    </row>
    <row r="29" spans="2:18" ht="16.25" customHeight="1" x14ac:dyDescent="0.45">
      <c r="B29" s="85" t="s">
        <v>1407</v>
      </c>
      <c r="C29" s="83"/>
      <c r="D29" s="83"/>
      <c r="E29" s="83"/>
      <c r="F29" s="83"/>
      <c r="G29" s="83"/>
      <c r="H29" s="83"/>
      <c r="I29" s="83"/>
      <c r="J29" s="83"/>
      <c r="K29" s="83"/>
      <c r="L29" s="83"/>
      <c r="M29" s="83"/>
      <c r="Q29" s="47">
        <f>FGE!L21</f>
        <v>1763.26</v>
      </c>
      <c r="R29" s="47">
        <f>$Q$6</f>
        <v>-6.7916666666666652</v>
      </c>
    </row>
    <row r="30" spans="2:18" ht="16.25" customHeight="1" x14ac:dyDescent="0.45">
      <c r="B30" s="85" t="str">
        <f>"•  FFBW columns are the PGL extended; the deck ends "&amp;TEXT(Phys_DeckClr,"General")&amp;" in inside each FFBW."</f>
        <v>•  FFBW columns are the PGL extended; the deck ends 3 in inside each FFBW.</v>
      </c>
      <c r="C30" s="83"/>
      <c r="D30" s="83"/>
      <c r="E30" s="83"/>
      <c r="F30" s="83"/>
      <c r="G30" s="83"/>
      <c r="H30" s="83"/>
      <c r="I30" s="83"/>
      <c r="J30" s="83"/>
      <c r="K30" s="83"/>
      <c r="L30" s="83"/>
      <c r="M30" s="83"/>
      <c r="Q30" s="47">
        <f>FGE!L21</f>
        <v>1763.26</v>
      </c>
      <c r="R30" s="47">
        <f>$Q$7</f>
        <v>6.7916666666666652</v>
      </c>
    </row>
    <row r="31" spans="2:18" ht="16.25" customHeight="1" x14ac:dyDescent="0.45">
      <c r="B31" s="85" t="s">
        <v>1408</v>
      </c>
      <c r="C31" s="83"/>
      <c r="D31" s="83"/>
      <c r="E31" s="83"/>
      <c r="F31" s="83"/>
      <c r="G31" s="83"/>
      <c r="H31" s="83"/>
      <c r="I31" s="83"/>
      <c r="J31" s="83"/>
      <c r="K31" s="83"/>
      <c r="L31" s="83"/>
      <c r="M31" s="83"/>
    </row>
    <row r="32" spans="2:18" x14ac:dyDescent="0.45">
      <c r="Q32" s="47">
        <f>FGE!M21</f>
        <v>1773.5625</v>
      </c>
      <c r="R32" s="47">
        <f>$Q$6</f>
        <v>-6.7916666666666652</v>
      </c>
    </row>
    <row r="33" spans="16:18" x14ac:dyDescent="0.45">
      <c r="Q33" s="47">
        <f>FGE!M21</f>
        <v>1773.5625</v>
      </c>
      <c r="R33" s="47">
        <f>$Q$7</f>
        <v>6.7916666666666652</v>
      </c>
    </row>
    <row r="35" spans="16:18" x14ac:dyDescent="0.45">
      <c r="Q35" s="47">
        <f>FGE!N21</f>
        <v>1783.865</v>
      </c>
      <c r="R35" s="47">
        <f>$Q$6</f>
        <v>-6.7916666666666652</v>
      </c>
    </row>
    <row r="36" spans="16:18" x14ac:dyDescent="0.45">
      <c r="Q36" s="47">
        <f>FGE!N21</f>
        <v>1783.865</v>
      </c>
      <c r="R36" s="47">
        <f>$Q$7</f>
        <v>6.7916666666666652</v>
      </c>
    </row>
    <row r="38" spans="16:18" x14ac:dyDescent="0.45">
      <c r="Q38" s="47">
        <f>FGE!O21</f>
        <v>1794.1675</v>
      </c>
      <c r="R38" s="47">
        <f>$Q$6</f>
        <v>-6.7916666666666652</v>
      </c>
    </row>
    <row r="39" spans="16:18" x14ac:dyDescent="0.45">
      <c r="Q39" s="47">
        <f>FGE!O21</f>
        <v>1794.1675</v>
      </c>
      <c r="R39" s="47">
        <f>$Q$7</f>
        <v>6.7916666666666652</v>
      </c>
    </row>
    <row r="41" spans="16:18" x14ac:dyDescent="0.45">
      <c r="Q41" s="47">
        <f>FGE!P21</f>
        <v>1804.47</v>
      </c>
      <c r="R41" s="47">
        <f>$Q$6</f>
        <v>-6.7916666666666652</v>
      </c>
    </row>
    <row r="42" spans="16:18" x14ac:dyDescent="0.45">
      <c r="Q42" s="47">
        <f>FGE!P21</f>
        <v>1804.47</v>
      </c>
      <c r="R42" s="47">
        <f>$Q$7</f>
        <v>6.7916666666666652</v>
      </c>
    </row>
    <row r="44" spans="16:18" x14ac:dyDescent="0.45">
      <c r="Q44" s="47">
        <f>FGE!Q21</f>
        <v>1805.47</v>
      </c>
      <c r="R44" s="47">
        <f>$Q$6</f>
        <v>-6.7916666666666652</v>
      </c>
    </row>
    <row r="45" spans="16:18" x14ac:dyDescent="0.45">
      <c r="Q45" s="47">
        <f>FGE!Q21</f>
        <v>1805.47</v>
      </c>
      <c r="R45" s="47">
        <f>$Q$7</f>
        <v>6.7916666666666652</v>
      </c>
    </row>
    <row r="47" spans="16:18" x14ac:dyDescent="0.45">
      <c r="P47" s="44" t="str">
        <f>FGE!B25</f>
        <v>Left coping (deck edge)</v>
      </c>
      <c r="Q47" s="47">
        <f>FGE!E21</f>
        <v>1700.57</v>
      </c>
      <c r="R47" s="47">
        <f>FGE!$C$25</f>
        <v>-6.7916666666666652</v>
      </c>
    </row>
    <row r="48" spans="16:18" x14ac:dyDescent="0.45">
      <c r="Q48" s="47">
        <f>FGE!F21</f>
        <v>1701.4449999999999</v>
      </c>
      <c r="R48" s="47">
        <f>FGE!$C$25</f>
        <v>-6.7916666666666652</v>
      </c>
    </row>
    <row r="49" spans="16:18" x14ac:dyDescent="0.45">
      <c r="Q49" s="47">
        <f>FGE!G21</f>
        <v>1711.7474999999999</v>
      </c>
      <c r="R49" s="47">
        <f>FGE!$C$25</f>
        <v>-6.7916666666666652</v>
      </c>
    </row>
    <row r="50" spans="16:18" x14ac:dyDescent="0.45">
      <c r="Q50" s="47">
        <f>FGE!H21</f>
        <v>1722.05</v>
      </c>
      <c r="R50" s="47">
        <f>FGE!$C$25</f>
        <v>-6.7916666666666652</v>
      </c>
    </row>
    <row r="51" spans="16:18" x14ac:dyDescent="0.45">
      <c r="Q51" s="47">
        <f>FGE!I21</f>
        <v>1732.3525</v>
      </c>
      <c r="R51" s="47">
        <f>FGE!$C$25</f>
        <v>-6.7916666666666652</v>
      </c>
    </row>
    <row r="52" spans="16:18" x14ac:dyDescent="0.45">
      <c r="Q52" s="47">
        <f>FGE!J21</f>
        <v>1742.655</v>
      </c>
      <c r="R52" s="47">
        <f>FGE!$C$25</f>
        <v>-6.7916666666666652</v>
      </c>
    </row>
    <row r="53" spans="16:18" x14ac:dyDescent="0.45">
      <c r="Q53" s="47">
        <f>FGE!K21</f>
        <v>1752.9575</v>
      </c>
      <c r="R53" s="47">
        <f>FGE!$C$25</f>
        <v>-6.7916666666666652</v>
      </c>
    </row>
    <row r="54" spans="16:18" x14ac:dyDescent="0.45">
      <c r="Q54" s="47">
        <f>FGE!L21</f>
        <v>1763.26</v>
      </c>
      <c r="R54" s="47">
        <f>FGE!$C$25</f>
        <v>-6.7916666666666652</v>
      </c>
    </row>
    <row r="55" spans="16:18" x14ac:dyDescent="0.45">
      <c r="Q55" s="47">
        <f>FGE!M21</f>
        <v>1773.5625</v>
      </c>
      <c r="R55" s="47">
        <f>FGE!$C$25</f>
        <v>-6.7916666666666652</v>
      </c>
    </row>
    <row r="56" spans="16:18" x14ac:dyDescent="0.45">
      <c r="Q56" s="47">
        <f>FGE!N21</f>
        <v>1783.865</v>
      </c>
      <c r="R56" s="47">
        <f>FGE!$C$25</f>
        <v>-6.7916666666666652</v>
      </c>
    </row>
    <row r="57" spans="16:18" x14ac:dyDescent="0.45">
      <c r="Q57" s="47">
        <f>FGE!O21</f>
        <v>1794.1675</v>
      </c>
      <c r="R57" s="47">
        <f>FGE!$C$25</f>
        <v>-6.7916666666666652</v>
      </c>
    </row>
    <row r="58" spans="16:18" x14ac:dyDescent="0.45">
      <c r="Q58" s="47">
        <f>FGE!P21</f>
        <v>1804.47</v>
      </c>
      <c r="R58" s="47">
        <f>FGE!$C$25</f>
        <v>-6.7916666666666652</v>
      </c>
    </row>
    <row r="59" spans="16:18" x14ac:dyDescent="0.45">
      <c r="Q59" s="47">
        <f>FGE!Q21</f>
        <v>1805.47</v>
      </c>
      <c r="R59" s="47">
        <f>FGE!$C$25</f>
        <v>-6.7916666666666652</v>
      </c>
    </row>
    <row r="61" spans="16:18" x14ac:dyDescent="0.45">
      <c r="P61" s="44" t="str">
        <f>FGE!B25</f>
        <v>Left coping (deck edge)</v>
      </c>
      <c r="Q61" s="47">
        <f>FGE!E21-1.5</f>
        <v>1699.07</v>
      </c>
      <c r="R61" s="47">
        <f>FGE!$C$25</f>
        <v>-6.7916666666666652</v>
      </c>
    </row>
    <row r="63" spans="16:18" x14ac:dyDescent="0.45">
      <c r="P63" s="44" t="str">
        <f>FGE!B26</f>
        <v>CL Beam 2-1</v>
      </c>
      <c r="Q63" s="47">
        <f>FGE!E21</f>
        <v>1700.57</v>
      </c>
      <c r="R63" s="47">
        <f>FGE!$C$26</f>
        <v>-4.291666666666667</v>
      </c>
    </row>
    <row r="64" spans="16:18" x14ac:dyDescent="0.45">
      <c r="Q64" s="47">
        <f>FGE!F21</f>
        <v>1701.4449999999999</v>
      </c>
      <c r="R64" s="47">
        <f>FGE!$C$26</f>
        <v>-4.291666666666667</v>
      </c>
    </row>
    <row r="65" spans="16:18" x14ac:dyDescent="0.45">
      <c r="Q65" s="47">
        <f>FGE!G21</f>
        <v>1711.7474999999999</v>
      </c>
      <c r="R65" s="47">
        <f>FGE!$C$26</f>
        <v>-4.291666666666667</v>
      </c>
    </row>
    <row r="66" spans="16:18" x14ac:dyDescent="0.45">
      <c r="Q66" s="47">
        <f>FGE!H21</f>
        <v>1722.05</v>
      </c>
      <c r="R66" s="47">
        <f>FGE!$C$26</f>
        <v>-4.291666666666667</v>
      </c>
    </row>
    <row r="67" spans="16:18" x14ac:dyDescent="0.45">
      <c r="Q67" s="47">
        <f>FGE!I21</f>
        <v>1732.3525</v>
      </c>
      <c r="R67" s="47">
        <f>FGE!$C$26</f>
        <v>-4.291666666666667</v>
      </c>
    </row>
    <row r="68" spans="16:18" x14ac:dyDescent="0.45">
      <c r="Q68" s="47">
        <f>FGE!J21</f>
        <v>1742.655</v>
      </c>
      <c r="R68" s="47">
        <f>FGE!$C$26</f>
        <v>-4.291666666666667</v>
      </c>
    </row>
    <row r="69" spans="16:18" x14ac:dyDescent="0.45">
      <c r="Q69" s="47">
        <f>FGE!K21</f>
        <v>1752.9575</v>
      </c>
      <c r="R69" s="47">
        <f>FGE!$C$26</f>
        <v>-4.291666666666667</v>
      </c>
    </row>
    <row r="70" spans="16:18" x14ac:dyDescent="0.45">
      <c r="Q70" s="47">
        <f>FGE!L21</f>
        <v>1763.26</v>
      </c>
      <c r="R70" s="47">
        <f>FGE!$C$26</f>
        <v>-4.291666666666667</v>
      </c>
    </row>
    <row r="71" spans="16:18" x14ac:dyDescent="0.45">
      <c r="Q71" s="47">
        <f>FGE!M21</f>
        <v>1773.5625</v>
      </c>
      <c r="R71" s="47">
        <f>FGE!$C$26</f>
        <v>-4.291666666666667</v>
      </c>
    </row>
    <row r="72" spans="16:18" x14ac:dyDescent="0.45">
      <c r="Q72" s="47">
        <f>FGE!N21</f>
        <v>1783.865</v>
      </c>
      <c r="R72" s="47">
        <f>FGE!$C$26</f>
        <v>-4.291666666666667</v>
      </c>
    </row>
    <row r="73" spans="16:18" x14ac:dyDescent="0.45">
      <c r="Q73" s="47">
        <f>FGE!O21</f>
        <v>1794.1675</v>
      </c>
      <c r="R73" s="47">
        <f>FGE!$C$26</f>
        <v>-4.291666666666667</v>
      </c>
    </row>
    <row r="74" spans="16:18" x14ac:dyDescent="0.45">
      <c r="Q74" s="47">
        <f>FGE!P21</f>
        <v>1804.47</v>
      </c>
      <c r="R74" s="47">
        <f>FGE!$C$26</f>
        <v>-4.291666666666667</v>
      </c>
    </row>
    <row r="75" spans="16:18" x14ac:dyDescent="0.45">
      <c r="Q75" s="47">
        <f>FGE!Q21</f>
        <v>1805.47</v>
      </c>
      <c r="R75" s="47">
        <f>FGE!$C$26</f>
        <v>-4.291666666666667</v>
      </c>
    </row>
    <row r="77" spans="16:18" x14ac:dyDescent="0.45">
      <c r="P77" s="44" t="str">
        <f>FGE!B26</f>
        <v>CL Beam 2-1</v>
      </c>
      <c r="Q77" s="47">
        <f>FGE!E21-1.5</f>
        <v>1699.07</v>
      </c>
      <c r="R77" s="47">
        <f>FGE!$C$26</f>
        <v>-4.291666666666667</v>
      </c>
    </row>
    <row r="79" spans="16:18" x14ac:dyDescent="0.45">
      <c r="P79" s="44" t="str">
        <f>FGE!B27</f>
        <v>PGL</v>
      </c>
      <c r="Q79" s="47">
        <f>FGE!E21</f>
        <v>1700.57</v>
      </c>
      <c r="R79" s="47">
        <f>FGE!$C$27</f>
        <v>0</v>
      </c>
    </row>
    <row r="80" spans="16:18" x14ac:dyDescent="0.45">
      <c r="Q80" s="47">
        <f>FGE!F21</f>
        <v>1701.4449999999999</v>
      </c>
      <c r="R80" s="47">
        <f>FGE!$C$27</f>
        <v>0</v>
      </c>
    </row>
    <row r="81" spans="16:18" x14ac:dyDescent="0.45">
      <c r="Q81" s="47">
        <f>FGE!G21</f>
        <v>1711.7474999999999</v>
      </c>
      <c r="R81" s="47">
        <f>FGE!$C$27</f>
        <v>0</v>
      </c>
    </row>
    <row r="82" spans="16:18" x14ac:dyDescent="0.45">
      <c r="Q82" s="47">
        <f>FGE!H21</f>
        <v>1722.05</v>
      </c>
      <c r="R82" s="47">
        <f>FGE!$C$27</f>
        <v>0</v>
      </c>
    </row>
    <row r="83" spans="16:18" x14ac:dyDescent="0.45">
      <c r="Q83" s="47">
        <f>FGE!I21</f>
        <v>1732.3525</v>
      </c>
      <c r="R83" s="47">
        <f>FGE!$C$27</f>
        <v>0</v>
      </c>
    </row>
    <row r="84" spans="16:18" x14ac:dyDescent="0.45">
      <c r="Q84" s="47">
        <f>FGE!J21</f>
        <v>1742.655</v>
      </c>
      <c r="R84" s="47">
        <f>FGE!$C$27</f>
        <v>0</v>
      </c>
    </row>
    <row r="85" spans="16:18" x14ac:dyDescent="0.45">
      <c r="Q85" s="47">
        <f>FGE!K21</f>
        <v>1752.9575</v>
      </c>
      <c r="R85" s="47">
        <f>FGE!$C$27</f>
        <v>0</v>
      </c>
    </row>
    <row r="86" spans="16:18" x14ac:dyDescent="0.45">
      <c r="Q86" s="47">
        <f>FGE!L21</f>
        <v>1763.26</v>
      </c>
      <c r="R86" s="47">
        <f>FGE!$C$27</f>
        <v>0</v>
      </c>
    </row>
    <row r="87" spans="16:18" x14ac:dyDescent="0.45">
      <c r="Q87" s="47">
        <f>FGE!M21</f>
        <v>1773.5625</v>
      </c>
      <c r="R87" s="47">
        <f>FGE!$C$27</f>
        <v>0</v>
      </c>
    </row>
    <row r="88" spans="16:18" x14ac:dyDescent="0.45">
      <c r="Q88" s="47">
        <f>FGE!N21</f>
        <v>1783.865</v>
      </c>
      <c r="R88" s="47">
        <f>FGE!$C$27</f>
        <v>0</v>
      </c>
    </row>
    <row r="89" spans="16:18" x14ac:dyDescent="0.45">
      <c r="Q89" s="47">
        <f>FGE!O21</f>
        <v>1794.1675</v>
      </c>
      <c r="R89" s="47">
        <f>FGE!$C$27</f>
        <v>0</v>
      </c>
    </row>
    <row r="90" spans="16:18" x14ac:dyDescent="0.45">
      <c r="Q90" s="47">
        <f>FGE!P21</f>
        <v>1804.47</v>
      </c>
      <c r="R90" s="47">
        <f>FGE!$C$27</f>
        <v>0</v>
      </c>
    </row>
    <row r="91" spans="16:18" x14ac:dyDescent="0.45">
      <c r="Q91" s="47">
        <f>FGE!Q21</f>
        <v>1805.47</v>
      </c>
      <c r="R91" s="47">
        <f>FGE!$C$27</f>
        <v>0</v>
      </c>
    </row>
    <row r="93" spans="16:18" x14ac:dyDescent="0.45">
      <c r="P93" s="44" t="str">
        <f>FGE!B27</f>
        <v>PGL</v>
      </c>
      <c r="Q93" s="47">
        <f>FGE!E21-1.5</f>
        <v>1699.07</v>
      </c>
      <c r="R93" s="47">
        <f>FGE!$C$27</f>
        <v>0</v>
      </c>
    </row>
    <row r="95" spans="16:18" x14ac:dyDescent="0.45">
      <c r="P95" s="44" t="str">
        <f>FGE!B28</f>
        <v>CL Beam 2-2</v>
      </c>
      <c r="Q95" s="47">
        <f>FGE!E21</f>
        <v>1700.57</v>
      </c>
      <c r="R95" s="47">
        <f>FGE!$C$28</f>
        <v>4.291666666666667</v>
      </c>
    </row>
    <row r="96" spans="16:18" x14ac:dyDescent="0.45">
      <c r="Q96" s="47">
        <f>FGE!F21</f>
        <v>1701.4449999999999</v>
      </c>
      <c r="R96" s="47">
        <f>FGE!$C$28</f>
        <v>4.291666666666667</v>
      </c>
    </row>
    <row r="97" spans="16:18" x14ac:dyDescent="0.45">
      <c r="Q97" s="47">
        <f>FGE!G21</f>
        <v>1711.7474999999999</v>
      </c>
      <c r="R97" s="47">
        <f>FGE!$C$28</f>
        <v>4.291666666666667</v>
      </c>
    </row>
    <row r="98" spans="16:18" x14ac:dyDescent="0.45">
      <c r="Q98" s="47">
        <f>FGE!H21</f>
        <v>1722.05</v>
      </c>
      <c r="R98" s="47">
        <f>FGE!$C$28</f>
        <v>4.291666666666667</v>
      </c>
    </row>
    <row r="99" spans="16:18" x14ac:dyDescent="0.45">
      <c r="Q99" s="47">
        <f>FGE!I21</f>
        <v>1732.3525</v>
      </c>
      <c r="R99" s="47">
        <f>FGE!$C$28</f>
        <v>4.291666666666667</v>
      </c>
    </row>
    <row r="100" spans="16:18" x14ac:dyDescent="0.45">
      <c r="Q100" s="47">
        <f>FGE!J21</f>
        <v>1742.655</v>
      </c>
      <c r="R100" s="47">
        <f>FGE!$C$28</f>
        <v>4.291666666666667</v>
      </c>
    </row>
    <row r="101" spans="16:18" x14ac:dyDescent="0.45">
      <c r="Q101" s="47">
        <f>FGE!K21</f>
        <v>1752.9575</v>
      </c>
      <c r="R101" s="47">
        <f>FGE!$C$28</f>
        <v>4.291666666666667</v>
      </c>
    </row>
    <row r="102" spans="16:18" x14ac:dyDescent="0.45">
      <c r="Q102" s="47">
        <f>FGE!L21</f>
        <v>1763.26</v>
      </c>
      <c r="R102" s="47">
        <f>FGE!$C$28</f>
        <v>4.291666666666667</v>
      </c>
    </row>
    <row r="103" spans="16:18" x14ac:dyDescent="0.45">
      <c r="Q103" s="47">
        <f>FGE!M21</f>
        <v>1773.5625</v>
      </c>
      <c r="R103" s="47">
        <f>FGE!$C$28</f>
        <v>4.291666666666667</v>
      </c>
    </row>
    <row r="104" spans="16:18" x14ac:dyDescent="0.45">
      <c r="Q104" s="47">
        <f>FGE!N21</f>
        <v>1783.865</v>
      </c>
      <c r="R104" s="47">
        <f>FGE!$C$28</f>
        <v>4.291666666666667</v>
      </c>
    </row>
    <row r="105" spans="16:18" x14ac:dyDescent="0.45">
      <c r="Q105" s="47">
        <f>FGE!O21</f>
        <v>1794.1675</v>
      </c>
      <c r="R105" s="47">
        <f>FGE!$C$28</f>
        <v>4.291666666666667</v>
      </c>
    </row>
    <row r="106" spans="16:18" x14ac:dyDescent="0.45">
      <c r="Q106" s="47">
        <f>FGE!P21</f>
        <v>1804.47</v>
      </c>
      <c r="R106" s="47">
        <f>FGE!$C$28</f>
        <v>4.291666666666667</v>
      </c>
    </row>
    <row r="107" spans="16:18" x14ac:dyDescent="0.45">
      <c r="Q107" s="47">
        <f>FGE!Q21</f>
        <v>1805.47</v>
      </c>
      <c r="R107" s="47">
        <f>FGE!$C$28</f>
        <v>4.291666666666667</v>
      </c>
    </row>
    <row r="109" spans="16:18" x14ac:dyDescent="0.45">
      <c r="P109" s="44" t="str">
        <f>FGE!B28</f>
        <v>CL Beam 2-2</v>
      </c>
      <c r="Q109" s="47">
        <f>FGE!E21-1.5</f>
        <v>1699.07</v>
      </c>
      <c r="R109" s="47">
        <f>FGE!$C$28</f>
        <v>4.291666666666667</v>
      </c>
    </row>
    <row r="111" spans="16:18" x14ac:dyDescent="0.45">
      <c r="P111" s="44" t="str">
        <f>FGE!B29</f>
        <v>Right coping (deck edge)</v>
      </c>
      <c r="Q111" s="47">
        <f>FGE!E21</f>
        <v>1700.57</v>
      </c>
      <c r="R111" s="47">
        <f>FGE!$C$29</f>
        <v>6.7916666666666652</v>
      </c>
    </row>
    <row r="112" spans="16:18" x14ac:dyDescent="0.45">
      <c r="Q112" s="47">
        <f>FGE!F21</f>
        <v>1701.4449999999999</v>
      </c>
      <c r="R112" s="47">
        <f>FGE!$C$29</f>
        <v>6.7916666666666652</v>
      </c>
    </row>
    <row r="113" spans="16:18" x14ac:dyDescent="0.45">
      <c r="Q113" s="47">
        <f>FGE!G21</f>
        <v>1711.7474999999999</v>
      </c>
      <c r="R113" s="47">
        <f>FGE!$C$29</f>
        <v>6.7916666666666652</v>
      </c>
    </row>
    <row r="114" spans="16:18" x14ac:dyDescent="0.45">
      <c r="Q114" s="47">
        <f>FGE!H21</f>
        <v>1722.05</v>
      </c>
      <c r="R114" s="47">
        <f>FGE!$C$29</f>
        <v>6.7916666666666652</v>
      </c>
    </row>
    <row r="115" spans="16:18" x14ac:dyDescent="0.45">
      <c r="Q115" s="47">
        <f>FGE!I21</f>
        <v>1732.3525</v>
      </c>
      <c r="R115" s="47">
        <f>FGE!$C$29</f>
        <v>6.7916666666666652</v>
      </c>
    </row>
    <row r="116" spans="16:18" x14ac:dyDescent="0.45">
      <c r="Q116" s="47">
        <f>FGE!J21</f>
        <v>1742.655</v>
      </c>
      <c r="R116" s="47">
        <f>FGE!$C$29</f>
        <v>6.7916666666666652</v>
      </c>
    </row>
    <row r="117" spans="16:18" x14ac:dyDescent="0.45">
      <c r="Q117" s="47">
        <f>FGE!K21</f>
        <v>1752.9575</v>
      </c>
      <c r="R117" s="47">
        <f>FGE!$C$29</f>
        <v>6.7916666666666652</v>
      </c>
    </row>
    <row r="118" spans="16:18" x14ac:dyDescent="0.45">
      <c r="Q118" s="47">
        <f>FGE!L21</f>
        <v>1763.26</v>
      </c>
      <c r="R118" s="47">
        <f>FGE!$C$29</f>
        <v>6.7916666666666652</v>
      </c>
    </row>
    <row r="119" spans="16:18" x14ac:dyDescent="0.45">
      <c r="Q119" s="47">
        <f>FGE!M21</f>
        <v>1773.5625</v>
      </c>
      <c r="R119" s="47">
        <f>FGE!$C$29</f>
        <v>6.7916666666666652</v>
      </c>
    </row>
    <row r="120" spans="16:18" x14ac:dyDescent="0.45">
      <c r="Q120" s="47">
        <f>FGE!N21</f>
        <v>1783.865</v>
      </c>
      <c r="R120" s="47">
        <f>FGE!$C$29</f>
        <v>6.7916666666666652</v>
      </c>
    </row>
    <row r="121" spans="16:18" x14ac:dyDescent="0.45">
      <c r="Q121" s="47">
        <f>FGE!O21</f>
        <v>1794.1675</v>
      </c>
      <c r="R121" s="47">
        <f>FGE!$C$29</f>
        <v>6.7916666666666652</v>
      </c>
    </row>
    <row r="122" spans="16:18" x14ac:dyDescent="0.45">
      <c r="Q122" s="47">
        <f>FGE!P21</f>
        <v>1804.47</v>
      </c>
      <c r="R122" s="47">
        <f>FGE!$C$29</f>
        <v>6.7916666666666652</v>
      </c>
    </row>
    <row r="123" spans="16:18" x14ac:dyDescent="0.45">
      <c r="Q123" s="47">
        <f>FGE!Q21</f>
        <v>1805.47</v>
      </c>
      <c r="R123" s="47">
        <f>FGE!$C$29</f>
        <v>6.7916666666666652</v>
      </c>
    </row>
    <row r="125" spans="16:18" x14ac:dyDescent="0.45">
      <c r="P125" s="44" t="str">
        <f>FGE!B29</f>
        <v>Right coping (deck edge)</v>
      </c>
      <c r="Q125" s="47">
        <f>FGE!E21-1.5</f>
        <v>1699.07</v>
      </c>
      <c r="R125" s="47">
        <f>FGE!$C$29</f>
        <v>6.7916666666666652</v>
      </c>
    </row>
    <row r="127" spans="16:18" x14ac:dyDescent="0.45">
      <c r="P127" s="44" t="str">
        <f>"CL Pier  "&amp;FGE!E22</f>
        <v>CL Pier  17+00.57</v>
      </c>
      <c r="Q127" s="47">
        <f>FGE!E21</f>
        <v>1700.57</v>
      </c>
      <c r="R127" s="47">
        <f>$Q$6</f>
        <v>-6.7916666666666652</v>
      </c>
    </row>
    <row r="129" spans="16:18" x14ac:dyDescent="0.45">
      <c r="P129" s="44" t="str">
        <f>"CL Brg  "&amp;FGE!F22</f>
        <v>CL Brg  17+01.45</v>
      </c>
      <c r="Q129" s="47">
        <f>FGE!F21</f>
        <v>1701.4449999999999</v>
      </c>
      <c r="R129" s="47">
        <f>$Q$7</f>
        <v>6.7916666666666652</v>
      </c>
    </row>
    <row r="131" spans="16:18" x14ac:dyDescent="0.45">
      <c r="P131" s="44" t="str">
        <f>"1  "&amp;FGE!G22</f>
        <v>1  17+11.75</v>
      </c>
      <c r="Q131" s="47">
        <f>FGE!G21</f>
        <v>1711.7474999999999</v>
      </c>
      <c r="R131" s="47">
        <f>$Q$7</f>
        <v>6.7916666666666652</v>
      </c>
    </row>
    <row r="133" spans="16:18" x14ac:dyDescent="0.45">
      <c r="P133" s="44" t="str">
        <f>"2  "&amp;FGE!H22</f>
        <v>2  17+22.05</v>
      </c>
      <c r="Q133" s="47">
        <f>FGE!H21</f>
        <v>1722.05</v>
      </c>
      <c r="R133" s="47">
        <f>$Q$7</f>
        <v>6.7916666666666652</v>
      </c>
    </row>
    <row r="135" spans="16:18" x14ac:dyDescent="0.45">
      <c r="P135" s="44" t="str">
        <f>"3  "&amp;FGE!I22</f>
        <v>3  17+32.35</v>
      </c>
      <c r="Q135" s="47">
        <f>FGE!I21</f>
        <v>1732.3525</v>
      </c>
      <c r="R135" s="47">
        <f>$Q$7</f>
        <v>6.7916666666666652</v>
      </c>
    </row>
    <row r="137" spans="16:18" x14ac:dyDescent="0.45">
      <c r="P137" s="44" t="str">
        <f>"4  "&amp;FGE!J22</f>
        <v>4  17+42.66</v>
      </c>
      <c r="Q137" s="47">
        <f>FGE!J21</f>
        <v>1742.655</v>
      </c>
      <c r="R137" s="47">
        <f>$Q$7</f>
        <v>6.7916666666666652</v>
      </c>
    </row>
    <row r="139" spans="16:18" x14ac:dyDescent="0.45">
      <c r="P139" s="44" t="str">
        <f>"5  "&amp;FGE!K22</f>
        <v>5  17+52.96</v>
      </c>
      <c r="Q139" s="47">
        <f>FGE!K21</f>
        <v>1752.9575</v>
      </c>
      <c r="R139" s="47">
        <f>$Q$7</f>
        <v>6.7916666666666652</v>
      </c>
    </row>
    <row r="141" spans="16:18" x14ac:dyDescent="0.45">
      <c r="P141" s="44" t="str">
        <f>"6  "&amp;FGE!L22</f>
        <v>6  17+63.26</v>
      </c>
      <c r="Q141" s="47">
        <f>FGE!L21</f>
        <v>1763.26</v>
      </c>
      <c r="R141" s="47">
        <f>$Q$7</f>
        <v>6.7916666666666652</v>
      </c>
    </row>
    <row r="143" spans="16:18" x14ac:dyDescent="0.45">
      <c r="P143" s="44" t="str">
        <f>"7  "&amp;FGE!M22</f>
        <v>7  17+73.56</v>
      </c>
      <c r="Q143" s="47">
        <f>FGE!M21</f>
        <v>1773.5625</v>
      </c>
      <c r="R143" s="47">
        <f>$Q$7</f>
        <v>6.7916666666666652</v>
      </c>
    </row>
    <row r="145" spans="16:18" x14ac:dyDescent="0.45">
      <c r="P145" s="44" t="str">
        <f>"8  "&amp;FGE!N22</f>
        <v>8  17+83.87</v>
      </c>
      <c r="Q145" s="47">
        <f>FGE!N21</f>
        <v>1783.865</v>
      </c>
      <c r="R145" s="47">
        <f>$Q$7</f>
        <v>6.7916666666666652</v>
      </c>
    </row>
    <row r="147" spans="16:18" x14ac:dyDescent="0.45">
      <c r="P147" s="44" t="str">
        <f>"9  "&amp;FGE!O22</f>
        <v>9  17+94.17</v>
      </c>
      <c r="Q147" s="47">
        <f>FGE!O21</f>
        <v>1794.1675</v>
      </c>
      <c r="R147" s="47">
        <f>$Q$7</f>
        <v>6.7916666666666652</v>
      </c>
    </row>
    <row r="149" spans="16:18" x14ac:dyDescent="0.45">
      <c r="P149" s="44" t="str">
        <f>"CL Brg  "&amp;FGE!P22</f>
        <v>CL Brg  18+04.47</v>
      </c>
      <c r="Q149" s="47">
        <f>FGE!P21</f>
        <v>1804.47</v>
      </c>
      <c r="R149" s="47">
        <f>$Q$7</f>
        <v>6.7916666666666652</v>
      </c>
    </row>
    <row r="151" spans="16:18" x14ac:dyDescent="0.45">
      <c r="P151" s="44" t="str">
        <f>"FFBW EB 2  "&amp;FGE!Q22</f>
        <v>FFBW EB 2  18+05.47</v>
      </c>
      <c r="Q151" s="47">
        <f>FGE!Q21</f>
        <v>1805.47</v>
      </c>
      <c r="R151" s="47">
        <f>$Q$6</f>
        <v>-6.7916666666666652</v>
      </c>
    </row>
    <row r="153" spans="16:18" x14ac:dyDescent="0.45">
      <c r="P153" s="44" t="s">
        <v>802</v>
      </c>
      <c r="Q153" s="47">
        <f>FGE!E21-16</f>
        <v>1684.57</v>
      </c>
      <c r="R153" s="47">
        <f>$Q$6-3.2</f>
        <v>-9.9916666666666654</v>
      </c>
    </row>
    <row r="154" spans="16:18" x14ac:dyDescent="0.45">
      <c r="Q154" s="47">
        <f>FGE!Q21+2</f>
        <v>1807.47</v>
      </c>
      <c r="R154" s="47">
        <f>$Q$7+3.2</f>
        <v>9.9916666666666654</v>
      </c>
    </row>
  </sheetData>
  <mergeCells count="6">
    <mergeCell ref="B28:M28"/>
    <mergeCell ref="B3:M3"/>
    <mergeCell ref="B31:M31"/>
    <mergeCell ref="B30:M30"/>
    <mergeCell ref="B4:M4"/>
    <mergeCell ref="B29:M29"/>
  </mergeCells>
  <conditionalFormatting sqref="B3:M3">
    <cfRule type="expression" dxfId="14" priority="1">
      <formula>Inputs_Edited=0</formula>
    </cfRule>
    <cfRule type="expression" dxfId="13" priority="2">
      <formula>Inputs_Edited&gt;0</formula>
    </cfRule>
  </conditionalFormatting>
  <pageMargins left="0.75" right="0.75" top="1" bottom="1" header="0.5" footer="0.5"/>
  <pageSetup fitToHeight="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392B"/>
  </sheetPr>
  <dimension ref="A1:K14"/>
  <sheetViews>
    <sheetView showGridLines="0" workbookViewId="0"/>
  </sheetViews>
  <sheetFormatPr defaultRowHeight="14.25" x14ac:dyDescent="0.45"/>
  <cols>
    <col min="1" max="2" width="10" customWidth="1"/>
    <col min="3" max="5" width="13" customWidth="1"/>
    <col min="6" max="7" width="17" customWidth="1"/>
    <col min="8" max="8" width="18" customWidth="1"/>
    <col min="9" max="9" width="12" customWidth="1"/>
  </cols>
  <sheetData>
    <row r="1" spans="1:11" ht="17.649999999999999" x14ac:dyDescent="0.5">
      <c r="A1" s="15" t="s">
        <v>1409</v>
      </c>
      <c r="K1" s="37" t="str">
        <f>"JOB #: "&amp;TB_JobNo</f>
        <v xml:space="preserve">JOB #: </v>
      </c>
    </row>
    <row r="2" spans="1:11" x14ac:dyDescent="0.45">
      <c r="A2" s="8" t="s">
        <v>1410</v>
      </c>
      <c r="K2" s="37" t="str">
        <f>"PROJECT NAME: "&amp;TB_Project</f>
        <v>PROJECT NAME: D2 I-95 Pedestrian Bridge</v>
      </c>
    </row>
    <row r="3" spans="1:11" x14ac:dyDescent="0.45">
      <c r="K3" s="37" t="str">
        <f>"SUBJECT: "&amp;"BUILD-UP &amp; DEFLECTION DATA TABLE FOR PRESTRESSED I-BEAMS"</f>
        <v>SUBJECT: BUILD-UP &amp; DEFLECTION DATA TABLE FOR PRESTRESSED I-BEAMS</v>
      </c>
    </row>
    <row r="4" spans="1:11" x14ac:dyDescent="0.45">
      <c r="K4" s="37" t="str">
        <f>"CALCULATED BY: "&amp;TB_CalcBy&amp;"   "&amp;TB_CalcDate</f>
        <v xml:space="preserve">CALCULATED BY:    </v>
      </c>
    </row>
    <row r="5" spans="1:11" x14ac:dyDescent="0.45">
      <c r="A5" s="8" t="s">
        <v>1411</v>
      </c>
      <c r="K5" s="37" t="str">
        <f>"CHECKED BY: "&amp;TB_CheckBy&amp;"   "&amp;TB_CheckDate</f>
        <v xml:space="preserve">CHECKED BY:    </v>
      </c>
    </row>
    <row r="7" spans="1:11" ht="45" customHeight="1" x14ac:dyDescent="0.45">
      <c r="A7" s="91" t="s">
        <v>1389</v>
      </c>
      <c r="B7" s="93"/>
      <c r="C7" s="91" t="s">
        <v>1412</v>
      </c>
      <c r="D7" s="92"/>
      <c r="E7" s="93"/>
      <c r="F7" s="91" t="s">
        <v>1413</v>
      </c>
      <c r="G7" s="91" t="s">
        <v>1414</v>
      </c>
      <c r="H7" s="91" t="s">
        <v>1415</v>
      </c>
      <c r="I7" s="91" t="s">
        <v>1416</v>
      </c>
    </row>
    <row r="8" spans="1:11" ht="30" customHeight="1" x14ac:dyDescent="0.45">
      <c r="A8" s="19" t="s">
        <v>1417</v>
      </c>
      <c r="B8" s="19" t="s">
        <v>1418</v>
      </c>
      <c r="C8" s="19" t="s">
        <v>1419</v>
      </c>
      <c r="D8" s="19" t="s">
        <v>1420</v>
      </c>
      <c r="E8" s="19" t="s">
        <v>1421</v>
      </c>
      <c r="F8" s="94"/>
      <c r="G8" s="94"/>
      <c r="H8" s="94"/>
      <c r="I8" s="94"/>
    </row>
    <row r="9" spans="1:11" x14ac:dyDescent="0.45">
      <c r="A9" s="42" t="s">
        <v>1007</v>
      </c>
      <c r="B9" s="42" t="s">
        <v>881</v>
      </c>
      <c r="C9" s="75">
        <f>'Camber &amp; Haunch'!C38</f>
        <v>1.5471714630549798</v>
      </c>
      <c r="D9" s="75">
        <f>'Camber &amp; Haunch'!D38</f>
        <v>1.422578719048289</v>
      </c>
      <c r="E9" s="75">
        <f>'Camber &amp; Haunch'!E38</f>
        <v>1.5471714630549798</v>
      </c>
      <c r="F9" s="75">
        <f>MC1_Drel</f>
        <v>1.3711621824106019</v>
      </c>
      <c r="G9" s="75">
        <f>MC1_D120</f>
        <v>3.3554492587274489</v>
      </c>
      <c r="H9" s="75">
        <f>ABS(MC1_Dnc)</f>
        <v>2.4716060425989741</v>
      </c>
      <c r="I9" s="72" t="str">
        <f>'Camber &amp; Haunch'!H38</f>
        <v>Case 1</v>
      </c>
    </row>
    <row r="10" spans="1:11" x14ac:dyDescent="0.45">
      <c r="A10" s="42" t="s">
        <v>1007</v>
      </c>
      <c r="B10" s="42" t="s">
        <v>882</v>
      </c>
      <c r="C10" s="75">
        <f>'Camber &amp; Haunch'!C39</f>
        <v>1.5471714630549798</v>
      </c>
      <c r="D10" s="75">
        <f>'Camber &amp; Haunch'!D39</f>
        <v>1.422578719048289</v>
      </c>
      <c r="E10" s="75">
        <f>'Camber &amp; Haunch'!E39</f>
        <v>1.5471714630549798</v>
      </c>
      <c r="F10" s="75">
        <f>MC1_Drel</f>
        <v>1.3711621824106019</v>
      </c>
      <c r="G10" s="75">
        <f>MC1_D120</f>
        <v>3.3554492587274489</v>
      </c>
      <c r="H10" s="75">
        <f>ABS(MC1_Dnc)</f>
        <v>2.4716060425989741</v>
      </c>
      <c r="I10" s="72" t="str">
        <f>'Camber &amp; Haunch'!H39</f>
        <v>Case 1</v>
      </c>
    </row>
    <row r="11" spans="1:11" x14ac:dyDescent="0.45">
      <c r="A11" s="42" t="s">
        <v>1008</v>
      </c>
      <c r="B11" s="42" t="s">
        <v>883</v>
      </c>
      <c r="C11" s="75">
        <f>'Camber &amp; Haunch'!C40</f>
        <v>1.5471714630549798</v>
      </c>
      <c r="D11" s="75">
        <f>'Camber &amp; Haunch'!D40</f>
        <v>0.97999999999996135</v>
      </c>
      <c r="E11" s="75">
        <f>'Camber &amp; Haunch'!E40</f>
        <v>1.5471714630549798</v>
      </c>
      <c r="F11" s="75">
        <f>MC2_Drel</f>
        <v>1.4647225816175331</v>
      </c>
      <c r="G11" s="75">
        <f>MC2_D120</f>
        <v>3.5081217611761781</v>
      </c>
      <c r="H11" s="75">
        <f>ABS(MC2_Dnc)</f>
        <v>2.2498277075689281</v>
      </c>
      <c r="I11" s="72" t="str">
        <f>'Camber &amp; Haunch'!H40</f>
        <v>Case 1</v>
      </c>
    </row>
    <row r="12" spans="1:11" x14ac:dyDescent="0.45">
      <c r="A12" s="42" t="s">
        <v>1008</v>
      </c>
      <c r="B12" s="42" t="s">
        <v>884</v>
      </c>
      <c r="C12" s="75">
        <f>'Camber &amp; Haunch'!C41</f>
        <v>1.5471714630549798</v>
      </c>
      <c r="D12" s="75">
        <f>'Camber &amp; Haunch'!D41</f>
        <v>0.97999999999996135</v>
      </c>
      <c r="E12" s="75">
        <f>'Camber &amp; Haunch'!E41</f>
        <v>1.5471714630549798</v>
      </c>
      <c r="F12" s="75">
        <f>MC2_Drel</f>
        <v>1.4647225816175331</v>
      </c>
      <c r="G12" s="75">
        <f>MC2_D120</f>
        <v>3.5081217611761781</v>
      </c>
      <c r="H12" s="75">
        <f>ABS(MC2_Dnc)</f>
        <v>2.2498277075689281</v>
      </c>
      <c r="I12" s="72" t="str">
        <f>'Camber &amp; Haunch'!H41</f>
        <v>Case 1</v>
      </c>
    </row>
    <row r="14" spans="1:11" x14ac:dyDescent="0.45">
      <c r="A14" s="8" t="s">
        <v>1422</v>
      </c>
    </row>
  </sheetData>
  <mergeCells count="6">
    <mergeCell ref="A7:B7"/>
    <mergeCell ref="G7:G8"/>
    <mergeCell ref="H7:H8"/>
    <mergeCell ref="F7:F8"/>
    <mergeCell ref="I7:I8"/>
    <mergeCell ref="C7:E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A96A3"/>
    <pageSetUpPr fitToPage="1"/>
  </sheetPr>
  <dimension ref="B1:S116"/>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1423</v>
      </c>
      <c r="P1" s="43" t="s">
        <v>785</v>
      </c>
    </row>
    <row r="2" spans="2:19" x14ac:dyDescent="0.45">
      <c r="B2" s="8" t="s">
        <v>1424</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x14ac:dyDescent="0.45">
      <c r="B4" s="86" t="s">
        <v>102</v>
      </c>
      <c r="C4" s="86" t="s">
        <v>699</v>
      </c>
      <c r="D4" s="87"/>
      <c r="E4" s="87"/>
      <c r="F4" s="87"/>
      <c r="G4" s="87"/>
      <c r="H4" s="86" t="s">
        <v>700</v>
      </c>
      <c r="I4" s="87"/>
      <c r="J4" s="87"/>
      <c r="K4" s="86" t="s">
        <v>701</v>
      </c>
      <c r="L4" s="87"/>
      <c r="M4" s="87"/>
      <c r="P4" s="45" t="s">
        <v>970</v>
      </c>
    </row>
    <row r="5" spans="2:19" ht="28.45" customHeight="1" x14ac:dyDescent="0.45">
      <c r="B5" s="85" t="s">
        <v>1425</v>
      </c>
      <c r="C5" s="85" t="s">
        <v>1426</v>
      </c>
      <c r="D5" s="83"/>
      <c r="E5" s="83"/>
      <c r="F5" s="83"/>
      <c r="G5" s="83"/>
      <c r="H5" s="85" t="s">
        <v>994</v>
      </c>
      <c r="I5" s="83"/>
      <c r="J5" s="83"/>
      <c r="K5" s="85" t="s">
        <v>211</v>
      </c>
      <c r="L5" s="83"/>
      <c r="M5" s="83"/>
      <c r="P5" s="46" t="s">
        <v>790</v>
      </c>
      <c r="Q5" s="46" t="s">
        <v>791</v>
      </c>
      <c r="R5" s="46" t="s">
        <v>792</v>
      </c>
      <c r="S5" s="46" t="s">
        <v>793</v>
      </c>
    </row>
    <row r="6" spans="2:19" ht="28.45" customHeight="1" x14ac:dyDescent="0.45">
      <c r="B6" s="85" t="s">
        <v>1427</v>
      </c>
      <c r="C6" s="85" t="s">
        <v>1428</v>
      </c>
      <c r="D6" s="83"/>
      <c r="E6" s="83"/>
      <c r="F6" s="83"/>
      <c r="G6" s="83"/>
      <c r="H6" s="85" t="s">
        <v>553</v>
      </c>
      <c r="I6" s="83"/>
      <c r="J6" s="83"/>
      <c r="K6" s="85" t="s">
        <v>211</v>
      </c>
      <c r="L6" s="83"/>
      <c r="M6" s="83"/>
      <c r="P6" s="44" t="s">
        <v>973</v>
      </c>
      <c r="Q6" s="44">
        <f>40</f>
        <v>40</v>
      </c>
    </row>
    <row r="7" spans="2:19" ht="28.45" customHeight="1" x14ac:dyDescent="0.45">
      <c r="B7" s="85" t="s">
        <v>1429</v>
      </c>
      <c r="C7" s="85" t="s">
        <v>1430</v>
      </c>
      <c r="D7" s="83"/>
      <c r="E7" s="83"/>
      <c r="F7" s="83"/>
      <c r="G7" s="83"/>
      <c r="H7" s="85" t="s">
        <v>556</v>
      </c>
      <c r="I7" s="83"/>
      <c r="J7" s="83"/>
      <c r="K7" s="85" t="s">
        <v>211</v>
      </c>
      <c r="L7" s="83"/>
      <c r="M7" s="83"/>
      <c r="P7" s="44" t="s">
        <v>974</v>
      </c>
      <c r="Q7" s="47">
        <f>Sp2_Bm0+0/40*(Sp2_Bm1-Sp2_Bm0)</f>
        <v>1700.6949999999999</v>
      </c>
      <c r="R7" s="47">
        <f>((IF(Prof_Mode="parabolic",Prof_Z0+Prof_G1*(($Q$7)-Prof_Sta0)+Prof_Kq*(($Q$7)-Prof_Sta0)^2,IF(($Q$7)&lt;=Prof_PISta,Prof_Z0+Prof_G1*(($Q$7)-Prof_Sta0),Prof_PIZ+Prof_G2*(($Q$7)-Prof_PISta)))+Bm1_dCL-Deck_T)-((Sp2_ZA+(Sp2_ZB-Sp2_ZA)*(($Q$7)-Sp2_BrgA)/Sp2_Lb)-Sup_Drop+Bm_D+Bm1_Raise/12))*$Q$6</f>
        <v>5.1572382101832659</v>
      </c>
    </row>
    <row r="8" spans="2:19" ht="28.45" customHeight="1" x14ac:dyDescent="0.45">
      <c r="B8" s="85" t="s">
        <v>1431</v>
      </c>
      <c r="C8" s="85" t="s">
        <v>1432</v>
      </c>
      <c r="D8" s="83"/>
      <c r="E8" s="83"/>
      <c r="F8" s="83"/>
      <c r="G8" s="83"/>
      <c r="H8" s="85" t="s">
        <v>559</v>
      </c>
      <c r="I8" s="83"/>
      <c r="J8" s="83"/>
      <c r="K8" s="85" t="s">
        <v>211</v>
      </c>
      <c r="L8" s="83"/>
      <c r="M8" s="83"/>
      <c r="Q8" s="47">
        <f>Sp2_Bm0+1/40*(Sp2_Bm1-Sp2_Bm0)</f>
        <v>1703.308125</v>
      </c>
      <c r="R8" s="47">
        <f>((IF(Prof_Mode="parabolic",Prof_Z0+Prof_G1*(($Q$8)-Prof_Sta0)+Prof_Kq*(($Q$8)-Prof_Sta0)^2,IF(($Q$8)&lt;=Prof_PISta,Prof_Z0+Prof_G1*(($Q$8)-Prof_Sta0),Prof_PIZ+Prof_G2*(($Q$8)-Prof_PISta)))+Bm1_dCL-Deck_T)-((Sp2_ZA+(Sp2_ZB-Sp2_ZA)*(($Q$8)-Sp2_BrgA)/Sp2_Lb)-Sup_Drop+Bm_D+Bm1_Raise/12))*$Q$6</f>
        <v>5.1572382101832659</v>
      </c>
    </row>
    <row r="9" spans="2:19" ht="15.2" customHeight="1" x14ac:dyDescent="0.45">
      <c r="B9" s="85" t="s">
        <v>1433</v>
      </c>
      <c r="C9" s="85" t="s">
        <v>1434</v>
      </c>
      <c r="D9" s="83"/>
      <c r="E9" s="83"/>
      <c r="F9" s="83"/>
      <c r="G9" s="83"/>
      <c r="H9" s="85" t="s">
        <v>1435</v>
      </c>
      <c r="I9" s="83"/>
      <c r="J9" s="83"/>
      <c r="K9" s="85" t="s">
        <v>713</v>
      </c>
      <c r="L9" s="83"/>
      <c r="M9" s="83"/>
      <c r="Q9" s="47">
        <f>Sp2_Bm0+2/40*(Sp2_Bm1-Sp2_Bm0)</f>
        <v>1705.9212499999999</v>
      </c>
      <c r="R9" s="47">
        <f>((IF(Prof_Mode="parabolic",Prof_Z0+Prof_G1*(($Q$9)-Prof_Sta0)+Prof_Kq*(($Q$9)-Prof_Sta0)^2,IF(($Q$9)&lt;=Prof_PISta,Prof_Z0+Prof_G1*(($Q$9)-Prof_Sta0),Prof_PIZ+Prof_G2*(($Q$9)-Prof_PISta)))+Bm1_dCL-Deck_T)-((Sp2_ZA+(Sp2_ZB-Sp2_ZA)*(($Q$9)-Sp2_BrgA)/Sp2_Lb)-Sup_Drop+Bm_D+Bm1_Raise/12))*$Q$6</f>
        <v>5.1572382101835501</v>
      </c>
    </row>
    <row r="10" spans="2:19" x14ac:dyDescent="0.45">
      <c r="Q10" s="47">
        <f>Sp2_Bm0+3/40*(Sp2_Bm1-Sp2_Bm0)</f>
        <v>1708.534375</v>
      </c>
      <c r="R10" s="47">
        <f>((IF(Prof_Mode="parabolic",Prof_Z0+Prof_G1*(($Q$10)-Prof_Sta0)+Prof_Kq*(($Q$10)-Prof_Sta0)^2,IF(($Q$10)&lt;=Prof_PISta,Prof_Z0+Prof_G1*(($Q$10)-Prof_Sta0),Prof_PIZ+Prof_G2*(($Q$10)-Prof_PISta)))+Bm1_dCL-Deck_T)-((Sp2_ZA+(Sp2_ZB-Sp2_ZA)*(($Q$10)-Sp2_BrgA)/Sp2_Lb)-Sup_Drop+Bm_D+Bm1_Raise/12))*$Q$6</f>
        <v>5.1572382101832659</v>
      </c>
    </row>
    <row r="11" spans="2:19" ht="15" customHeight="1" x14ac:dyDescent="0.45">
      <c r="Q11" s="47">
        <f>Sp2_Bm0+4/40*(Sp2_Bm1-Sp2_Bm0)</f>
        <v>1711.1475</v>
      </c>
      <c r="R11" s="47">
        <f>((IF(Prof_Mode="parabolic",Prof_Z0+Prof_G1*(($Q$11)-Prof_Sta0)+Prof_Kq*(($Q$11)-Prof_Sta0)^2,IF(($Q$11)&lt;=Prof_PISta,Prof_Z0+Prof_G1*(($Q$11)-Prof_Sta0),Prof_PIZ+Prof_G2*(($Q$11)-Prof_PISta)))+Bm1_dCL-Deck_T)-((Sp2_ZA+(Sp2_ZB-Sp2_ZA)*(($Q$11)-Sp2_BrgA)/Sp2_Lb)-Sup_Drop+Bm_D+Bm1_Raise/12))*$Q$6</f>
        <v>5.1572382101835501</v>
      </c>
    </row>
    <row r="12" spans="2:19" ht="15" customHeight="1" x14ac:dyDescent="0.45">
      <c r="Q12" s="47">
        <f>Sp2_Bm0+5/40*(Sp2_Bm1-Sp2_Bm0)</f>
        <v>1713.7606249999999</v>
      </c>
      <c r="R12" s="47">
        <f>((IF(Prof_Mode="parabolic",Prof_Z0+Prof_G1*(($Q$12)-Prof_Sta0)+Prof_Kq*(($Q$12)-Prof_Sta0)^2,IF(($Q$12)&lt;=Prof_PISta,Prof_Z0+Prof_G1*(($Q$12)-Prof_Sta0),Prof_PIZ+Prof_G2*(($Q$12)-Prof_PISta)))+Bm1_dCL-Deck_T)-((Sp2_ZA+(Sp2_ZB-Sp2_ZA)*(($Q$12)-Sp2_BrgA)/Sp2_Lb)-Sup_Drop+Bm_D+Bm1_Raise/12))*$Q$6</f>
        <v>5.1572382101832659</v>
      </c>
    </row>
    <row r="13" spans="2:19" ht="15" customHeight="1" x14ac:dyDescent="0.45">
      <c r="Q13" s="47">
        <f>Sp2_Bm0+6/40*(Sp2_Bm1-Sp2_Bm0)</f>
        <v>1716.37375</v>
      </c>
      <c r="R13" s="47">
        <f>((IF(Prof_Mode="parabolic",Prof_Z0+Prof_G1*(($Q$13)-Prof_Sta0)+Prof_Kq*(($Q$13)-Prof_Sta0)^2,IF(($Q$13)&lt;=Prof_PISta,Prof_Z0+Prof_G1*(($Q$13)-Prof_Sta0),Prof_PIZ+Prof_G2*(($Q$13)-Prof_PISta)))+Bm1_dCL-Deck_T)-((Sp2_ZA+(Sp2_ZB-Sp2_ZA)*(($Q$13)-Sp2_BrgA)/Sp2_Lb)-Sup_Drop+Bm_D+Bm1_Raise/12))*$Q$6</f>
        <v>5.1572382101835501</v>
      </c>
    </row>
    <row r="14" spans="2:19" ht="29.45" customHeight="1" x14ac:dyDescent="0.45">
      <c r="B14" s="85" t="s">
        <v>1436</v>
      </c>
      <c r="C14" s="83"/>
      <c r="D14" s="83"/>
      <c r="E14" s="83"/>
      <c r="F14" s="83"/>
      <c r="G14" s="83"/>
      <c r="H14" s="83"/>
      <c r="I14" s="83"/>
      <c r="J14" s="83"/>
      <c r="K14" s="83"/>
      <c r="L14" s="83"/>
      <c r="M14" s="83"/>
      <c r="Q14" s="47">
        <f>Sp2_Bm0+7/40*(Sp2_Bm1-Sp2_Bm0)</f>
        <v>1718.9868750000001</v>
      </c>
      <c r="R14" s="47">
        <f>((IF(Prof_Mode="parabolic",Prof_Z0+Prof_G1*(($Q$14)-Prof_Sta0)+Prof_Kq*(($Q$14)-Prof_Sta0)^2,IF(($Q$14)&lt;=Prof_PISta,Prof_Z0+Prof_G1*(($Q$14)-Prof_Sta0),Prof_PIZ+Prof_G2*(($Q$14)-Prof_PISta)))+Bm1_dCL-Deck_T)-((Sp2_ZA+(Sp2_ZB-Sp2_ZA)*(($Q$14)-Sp2_BrgA)/Sp2_Lb)-Sup_Drop+Bm_D+Bm1_Raise/12))*$Q$6</f>
        <v>5.1572382101832659</v>
      </c>
    </row>
    <row r="15" spans="2:19" ht="15" customHeight="1" x14ac:dyDescent="0.45">
      <c r="Q15" s="47">
        <f>Sp2_Bm0+8/40*(Sp2_Bm1-Sp2_Bm0)</f>
        <v>1721.6</v>
      </c>
      <c r="R15" s="47">
        <f>((IF(Prof_Mode="parabolic",Prof_Z0+Prof_G1*(($Q$15)-Prof_Sta0)+Prof_Kq*(($Q$15)-Prof_Sta0)^2,IF(($Q$15)&lt;=Prof_PISta,Prof_Z0+Prof_G1*(($Q$15)-Prof_Sta0),Prof_PIZ+Prof_G2*(($Q$15)-Prof_PISta)))+Bm1_dCL-Deck_T)-((Sp2_ZA+(Sp2_ZB-Sp2_ZA)*(($Q$15)-Sp2_BrgA)/Sp2_Lb)-Sup_Drop+Bm_D+Bm1_Raise/12))*$Q$6</f>
        <v>5.1572382101832659</v>
      </c>
    </row>
    <row r="16" spans="2:19" ht="15" customHeight="1" x14ac:dyDescent="0.45">
      <c r="Q16" s="47">
        <f>Sp2_Bm0+9/40*(Sp2_Bm1-Sp2_Bm0)</f>
        <v>1724.213125</v>
      </c>
      <c r="R16" s="47">
        <f>((IF(Prof_Mode="parabolic",Prof_Z0+Prof_G1*(($Q$16)-Prof_Sta0)+Prof_Kq*(($Q$16)-Prof_Sta0)^2,IF(($Q$16)&lt;=Prof_PISta,Prof_Z0+Prof_G1*(($Q$16)-Prof_Sta0),Prof_PIZ+Prof_G2*(($Q$16)-Prof_PISta)))+Bm1_dCL-Deck_T)-((Sp2_ZA+(Sp2_ZB-Sp2_ZA)*(($Q$16)-Sp2_BrgA)/Sp2_Lb)-Sup_Drop+Bm_D+Bm1_Raise/12))*$Q$6</f>
        <v>5.1572382101835501</v>
      </c>
    </row>
    <row r="17" spans="2:18" ht="15" customHeight="1" x14ac:dyDescent="0.45">
      <c r="Q17" s="47">
        <f>Sp2_Bm0+10/40*(Sp2_Bm1-Sp2_Bm0)</f>
        <v>1726.8262500000001</v>
      </c>
      <c r="R17" s="47">
        <f>((IF(Prof_Mode="parabolic",Prof_Z0+Prof_G1*(($Q$17)-Prof_Sta0)+Prof_Kq*(($Q$17)-Prof_Sta0)^2,IF(($Q$17)&lt;=Prof_PISta,Prof_Z0+Prof_G1*(($Q$17)-Prof_Sta0),Prof_PIZ+Prof_G2*(($Q$17)-Prof_PISta)))+Bm1_dCL-Deck_T)-((Sp2_ZA+(Sp2_ZB-Sp2_ZA)*(($Q$17)-Sp2_BrgA)/Sp2_Lb)-Sup_Drop+Bm_D+Bm1_Raise/12))*$Q$6</f>
        <v>5.1572382101832659</v>
      </c>
    </row>
    <row r="18" spans="2:18" ht="15" customHeight="1" x14ac:dyDescent="0.45">
      <c r="Q18" s="47">
        <f>Sp2_Bm0+11/40*(Sp2_Bm1-Sp2_Bm0)</f>
        <v>1729.4393749999999</v>
      </c>
      <c r="R18" s="47">
        <f>((IF(Prof_Mode="parabolic",Prof_Z0+Prof_G1*(($Q$18)-Prof_Sta0)+Prof_Kq*(($Q$18)-Prof_Sta0)^2,IF(($Q$18)&lt;=Prof_PISta,Prof_Z0+Prof_G1*(($Q$18)-Prof_Sta0),Prof_PIZ+Prof_G2*(($Q$18)-Prof_PISta)))+Bm1_dCL-Deck_T)-((Sp2_ZA+(Sp2_ZB-Sp2_ZA)*(($Q$18)-Sp2_BrgA)/Sp2_Lb)-Sup_Drop+Bm_D+Bm1_Raise/12))*$Q$6</f>
        <v>5.1572382101835501</v>
      </c>
    </row>
    <row r="19" spans="2:18" ht="15" customHeight="1" x14ac:dyDescent="0.45">
      <c r="Q19" s="47">
        <f>Sp2_Bm0+12/40*(Sp2_Bm1-Sp2_Bm0)</f>
        <v>1732.0525</v>
      </c>
      <c r="R19" s="47">
        <f>((IF(Prof_Mode="parabolic",Prof_Z0+Prof_G1*(($Q$19)-Prof_Sta0)+Prof_Kq*(($Q$19)-Prof_Sta0)^2,IF(($Q$19)&lt;=Prof_PISta,Prof_Z0+Prof_G1*(($Q$19)-Prof_Sta0),Prof_PIZ+Prof_G2*(($Q$19)-Prof_PISta)))+Bm1_dCL-Deck_T)-((Sp2_ZA+(Sp2_ZB-Sp2_ZA)*(($Q$19)-Sp2_BrgA)/Sp2_Lb)-Sup_Drop+Bm_D+Bm1_Raise/12))*$Q$6</f>
        <v>5.1572382101832659</v>
      </c>
    </row>
    <row r="20" spans="2:18" ht="15" customHeight="1" x14ac:dyDescent="0.45">
      <c r="Q20" s="47">
        <f>Sp2_Bm0+13/40*(Sp2_Bm1-Sp2_Bm0)</f>
        <v>1734.6656249999999</v>
      </c>
      <c r="R20" s="47">
        <f>((IF(Prof_Mode="parabolic",Prof_Z0+Prof_G1*(($Q$20)-Prof_Sta0)+Prof_Kq*(($Q$20)-Prof_Sta0)^2,IF(($Q$20)&lt;=Prof_PISta,Prof_Z0+Prof_G1*(($Q$20)-Prof_Sta0),Prof_PIZ+Prof_G2*(($Q$20)-Prof_PISta)))+Bm1_dCL-Deck_T)-((Sp2_ZA+(Sp2_ZB-Sp2_ZA)*(($Q$20)-Sp2_BrgA)/Sp2_Lb)-Sup_Drop+Bm_D+Bm1_Raise/12))*$Q$6</f>
        <v>5.1572382101832659</v>
      </c>
    </row>
    <row r="21" spans="2:18" ht="15" customHeight="1" x14ac:dyDescent="0.45">
      <c r="Q21" s="47">
        <f>Sp2_Bm0+14/40*(Sp2_Bm1-Sp2_Bm0)</f>
        <v>1737.2787499999999</v>
      </c>
      <c r="R21" s="47">
        <f>((IF(Prof_Mode="parabolic",Prof_Z0+Prof_G1*(($Q$21)-Prof_Sta0)+Prof_Kq*(($Q$21)-Prof_Sta0)^2,IF(($Q$21)&lt;=Prof_PISta,Prof_Z0+Prof_G1*(($Q$21)-Prof_Sta0),Prof_PIZ+Prof_G2*(($Q$21)-Prof_PISta)))+Bm1_dCL-Deck_T)-((Sp2_ZA+(Sp2_ZB-Sp2_ZA)*(($Q$21)-Sp2_BrgA)/Sp2_Lb)-Sup_Drop+Bm_D+Bm1_Raise/12))*$Q$6</f>
        <v>5.1572382101832659</v>
      </c>
    </row>
    <row r="22" spans="2:18" ht="15" customHeight="1" x14ac:dyDescent="0.45">
      <c r="Q22" s="47">
        <f>Sp2_Bm0+15/40*(Sp2_Bm1-Sp2_Bm0)</f>
        <v>1739.891875</v>
      </c>
      <c r="R22" s="47">
        <f>((IF(Prof_Mode="parabolic",Prof_Z0+Prof_G1*(($Q$22)-Prof_Sta0)+Prof_Kq*(($Q$22)-Prof_Sta0)^2,IF(($Q$22)&lt;=Prof_PISta,Prof_Z0+Prof_G1*(($Q$22)-Prof_Sta0),Prof_PIZ+Prof_G2*(($Q$22)-Prof_PISta)))+Bm1_dCL-Deck_T)-((Sp2_ZA+(Sp2_ZB-Sp2_ZA)*(($Q$22)-Sp2_BrgA)/Sp2_Lb)-Sup_Drop+Bm_D+Bm1_Raise/12))*$Q$6</f>
        <v>5.1572382101832659</v>
      </c>
    </row>
    <row r="23" spans="2:18" ht="15" customHeight="1" x14ac:dyDescent="0.45">
      <c r="Q23" s="47">
        <f>Sp2_Bm0+16/40*(Sp2_Bm1-Sp2_Bm0)</f>
        <v>1742.5049999999999</v>
      </c>
      <c r="R23" s="47">
        <f>((IF(Prof_Mode="parabolic",Prof_Z0+Prof_G1*(($Q$23)-Prof_Sta0)+Prof_Kq*(($Q$23)-Prof_Sta0)^2,IF(($Q$23)&lt;=Prof_PISta,Prof_Z0+Prof_G1*(($Q$23)-Prof_Sta0),Prof_PIZ+Prof_G2*(($Q$23)-Prof_PISta)))+Bm1_dCL-Deck_T)-((Sp2_ZA+(Sp2_ZB-Sp2_ZA)*(($Q$23)-Sp2_BrgA)/Sp2_Lb)-Sup_Drop+Bm_D+Bm1_Raise/12))*$Q$6</f>
        <v>5.1572382101835501</v>
      </c>
    </row>
    <row r="24" spans="2:18" ht="15" customHeight="1" x14ac:dyDescent="0.45">
      <c r="Q24" s="47">
        <f>Sp2_Bm0+17/40*(Sp2_Bm1-Sp2_Bm0)</f>
        <v>1745.118125</v>
      </c>
      <c r="R24" s="47">
        <f>((IF(Prof_Mode="parabolic",Prof_Z0+Prof_G1*(($Q$24)-Prof_Sta0)+Prof_Kq*(($Q$24)-Prof_Sta0)^2,IF(($Q$24)&lt;=Prof_PISta,Prof_Z0+Prof_G1*(($Q$24)-Prof_Sta0),Prof_PIZ+Prof_G2*(($Q$24)-Prof_PISta)))+Bm1_dCL-Deck_T)-((Sp2_ZA+(Sp2_ZB-Sp2_ZA)*(($Q$24)-Sp2_BrgA)/Sp2_Lb)-Sup_Drop+Bm_D+Bm1_Raise/12))*$Q$6</f>
        <v>5.1572382101832659</v>
      </c>
    </row>
    <row r="25" spans="2:18" ht="15" customHeight="1" x14ac:dyDescent="0.45">
      <c r="Q25" s="47">
        <f>Sp2_Bm0+18/40*(Sp2_Bm1-Sp2_Bm0)</f>
        <v>1747.73125</v>
      </c>
      <c r="R25" s="47">
        <f>((IF(Prof_Mode="parabolic",Prof_Z0+Prof_G1*(($Q$25)-Prof_Sta0)+Prof_Kq*(($Q$25)-Prof_Sta0)^2,IF(($Q$25)&lt;=Prof_PISta,Prof_Z0+Prof_G1*(($Q$25)-Prof_Sta0),Prof_PIZ+Prof_G2*(($Q$25)-Prof_PISta)))+Bm1_dCL-Deck_T)-((Sp2_ZA+(Sp2_ZB-Sp2_ZA)*(($Q$25)-Sp2_BrgA)/Sp2_Lb)-Sup_Drop+Bm_D+Bm1_Raise/12))*$Q$6</f>
        <v>5.1572382101835501</v>
      </c>
    </row>
    <row r="26" spans="2:18" ht="15" customHeight="1" x14ac:dyDescent="0.45">
      <c r="Q26" s="47">
        <f>Sp2_Bm0+19/40*(Sp2_Bm1-Sp2_Bm0)</f>
        <v>1750.3443749999999</v>
      </c>
      <c r="R26" s="47">
        <f>((IF(Prof_Mode="parabolic",Prof_Z0+Prof_G1*(($Q$26)-Prof_Sta0)+Prof_Kq*(($Q$26)-Prof_Sta0)^2,IF(($Q$26)&lt;=Prof_PISta,Prof_Z0+Prof_G1*(($Q$26)-Prof_Sta0),Prof_PIZ+Prof_G2*(($Q$26)-Prof_PISta)))+Bm1_dCL-Deck_T)-((Sp2_ZA+(Sp2_ZB-Sp2_ZA)*(($Q$26)-Sp2_BrgA)/Sp2_Lb)-Sup_Drop+Bm_D+Bm1_Raise/12))*$Q$6</f>
        <v>5.1572382101832659</v>
      </c>
    </row>
    <row r="27" spans="2:18" ht="15" customHeight="1" x14ac:dyDescent="0.45">
      <c r="Q27" s="47">
        <f>Sp2_Bm0+20/40*(Sp2_Bm1-Sp2_Bm0)</f>
        <v>1752.9575</v>
      </c>
      <c r="R27" s="47">
        <f>((IF(Prof_Mode="parabolic",Prof_Z0+Prof_G1*(($Q$27)-Prof_Sta0)+Prof_Kq*(($Q$27)-Prof_Sta0)^2,IF(($Q$27)&lt;=Prof_PISta,Prof_Z0+Prof_G1*(($Q$27)-Prof_Sta0),Prof_PIZ+Prof_G2*(($Q$27)-Prof_PISta)))+Bm1_dCL-Deck_T)-((Sp2_ZA+(Sp2_ZB-Sp2_ZA)*(($Q$27)-Sp2_BrgA)/Sp2_Lb)-Sup_Drop+Bm_D+Bm1_Raise/12))*$Q$6</f>
        <v>5.1572382101832659</v>
      </c>
    </row>
    <row r="28" spans="2:18" ht="15" customHeight="1" x14ac:dyDescent="0.45">
      <c r="Q28" s="47">
        <f>Sp2_Bm0+21/40*(Sp2_Bm1-Sp2_Bm0)</f>
        <v>1755.5706250000001</v>
      </c>
      <c r="R28" s="47">
        <f>((IF(Prof_Mode="parabolic",Prof_Z0+Prof_G1*(($Q$28)-Prof_Sta0)+Prof_Kq*(($Q$28)-Prof_Sta0)^2,IF(($Q$28)&lt;=Prof_PISta,Prof_Z0+Prof_G1*(($Q$28)-Prof_Sta0),Prof_PIZ+Prof_G2*(($Q$28)-Prof_PISta)))+Bm1_dCL-Deck_T)-((Sp2_ZA+(Sp2_ZB-Sp2_ZA)*(($Q$28)-Sp2_BrgA)/Sp2_Lb)-Sup_Drop+Bm_D+Bm1_Raise/12))*$Q$6</f>
        <v>5.1572382101832659</v>
      </c>
    </row>
    <row r="29" spans="2:18" ht="15" customHeight="1" x14ac:dyDescent="0.45">
      <c r="Q29" s="47">
        <f>Sp2_Bm0+22/40*(Sp2_Bm1-Sp2_Bm0)</f>
        <v>1758.1837499999999</v>
      </c>
      <c r="R29" s="47">
        <f>((IF(Prof_Mode="parabolic",Prof_Z0+Prof_G1*(($Q$29)-Prof_Sta0)+Prof_Kq*(($Q$29)-Prof_Sta0)^2,IF(($Q$29)&lt;=Prof_PISta,Prof_Z0+Prof_G1*(($Q$29)-Prof_Sta0),Prof_PIZ+Prof_G2*(($Q$29)-Prof_PISta)))+Bm1_dCL-Deck_T)-((Sp2_ZA+(Sp2_ZB-Sp2_ZA)*(($Q$29)-Sp2_BrgA)/Sp2_Lb)-Sup_Drop+Bm_D+Bm1_Raise/12))*$Q$6</f>
        <v>5.1572382101832659</v>
      </c>
    </row>
    <row r="30" spans="2:18" ht="15" customHeight="1" x14ac:dyDescent="0.45">
      <c r="Q30" s="47">
        <f>Sp2_Bm0+23/40*(Sp2_Bm1-Sp2_Bm0)</f>
        <v>1760.796875</v>
      </c>
      <c r="R30" s="47">
        <f>((IF(Prof_Mode="parabolic",Prof_Z0+Prof_G1*(($Q$30)-Prof_Sta0)+Prof_Kq*(($Q$30)-Prof_Sta0)^2,IF(($Q$30)&lt;=Prof_PISta,Prof_Z0+Prof_G1*(($Q$30)-Prof_Sta0),Prof_PIZ+Prof_G2*(($Q$30)-Prof_PISta)))+Bm1_dCL-Deck_T)-((Sp2_ZA+(Sp2_ZB-Sp2_ZA)*(($Q$30)-Sp2_BrgA)/Sp2_Lb)-Sup_Drop+Bm_D+Bm1_Raise/12))*$Q$6</f>
        <v>5.1572382101832659</v>
      </c>
    </row>
    <row r="31" spans="2:18" ht="15" customHeight="1" x14ac:dyDescent="0.45">
      <c r="Q31" s="47">
        <f>Sp2_Bm0+24/40*(Sp2_Bm1-Sp2_Bm0)</f>
        <v>1763.41</v>
      </c>
      <c r="R31" s="47">
        <f>((IF(Prof_Mode="parabolic",Prof_Z0+Prof_G1*(($Q$31)-Prof_Sta0)+Prof_Kq*(($Q$31)-Prof_Sta0)^2,IF(($Q$31)&lt;=Prof_PISta,Prof_Z0+Prof_G1*(($Q$31)-Prof_Sta0),Prof_PIZ+Prof_G2*(($Q$31)-Prof_PISta)))+Bm1_dCL-Deck_T)-((Sp2_ZA+(Sp2_ZB-Sp2_ZA)*(($Q$31)-Sp2_BrgA)/Sp2_Lb)-Sup_Drop+Bm_D+Bm1_Raise/12))*$Q$6</f>
        <v>5.1572382101832659</v>
      </c>
    </row>
    <row r="32" spans="2:18" ht="16.25" customHeight="1" x14ac:dyDescent="0.45">
      <c r="B32" s="82" t="s">
        <v>1437</v>
      </c>
      <c r="C32" s="83"/>
      <c r="D32" s="83"/>
      <c r="E32" s="83"/>
      <c r="F32" s="83"/>
      <c r="G32" s="83"/>
      <c r="H32" s="83"/>
      <c r="I32" s="83"/>
      <c r="J32" s="83"/>
      <c r="K32" s="83"/>
      <c r="L32" s="83"/>
      <c r="M32" s="83"/>
      <c r="Q32" s="47">
        <f>Sp2_Bm0+25/40*(Sp2_Bm1-Sp2_Bm0)</f>
        <v>1766.0231249999999</v>
      </c>
      <c r="R32" s="47">
        <f>((IF(Prof_Mode="parabolic",Prof_Z0+Prof_G1*(($Q$32)-Prof_Sta0)+Prof_Kq*(($Q$32)-Prof_Sta0)^2,IF(($Q$32)&lt;=Prof_PISta,Prof_Z0+Prof_G1*(($Q$32)-Prof_Sta0),Prof_PIZ+Prof_G2*(($Q$32)-Prof_PISta)))+Bm1_dCL-Deck_T)-((Sp2_ZA+(Sp2_ZB-Sp2_ZA)*(($Q$32)-Sp2_BrgA)/Sp2_Lb)-Sup_Drop+Bm_D+Bm1_Raise/12))*$Q$6</f>
        <v>5.1572382101835501</v>
      </c>
    </row>
    <row r="33" spans="17:18" x14ac:dyDescent="0.45">
      <c r="Q33" s="47">
        <f>Sp2_Bm0+26/40*(Sp2_Bm1-Sp2_Bm0)</f>
        <v>1768.63625</v>
      </c>
      <c r="R33" s="47">
        <f>((IF(Prof_Mode="parabolic",Prof_Z0+Prof_G1*(($Q$33)-Prof_Sta0)+Prof_Kq*(($Q$33)-Prof_Sta0)^2,IF(($Q$33)&lt;=Prof_PISta,Prof_Z0+Prof_G1*(($Q$33)-Prof_Sta0),Prof_PIZ+Prof_G2*(($Q$33)-Prof_PISta)))+Bm1_dCL-Deck_T)-((Sp2_ZA+(Sp2_ZB-Sp2_ZA)*(($Q$33)-Sp2_BrgA)/Sp2_Lb)-Sup_Drop+Bm_D+Bm1_Raise/12))*$Q$6</f>
        <v>5.1572382101832659</v>
      </c>
    </row>
    <row r="34" spans="17:18" x14ac:dyDescent="0.45">
      <c r="Q34" s="47">
        <f>Sp2_Bm0+27/40*(Sp2_Bm1-Sp2_Bm0)</f>
        <v>1771.2493750000001</v>
      </c>
      <c r="R34" s="47">
        <f>((IF(Prof_Mode="parabolic",Prof_Z0+Prof_G1*(($Q$34)-Prof_Sta0)+Prof_Kq*(($Q$34)-Prof_Sta0)^2,IF(($Q$34)&lt;=Prof_PISta,Prof_Z0+Prof_G1*(($Q$34)-Prof_Sta0),Prof_PIZ+Prof_G2*(($Q$34)-Prof_PISta)))+Bm1_dCL-Deck_T)-((Sp2_ZA+(Sp2_ZB-Sp2_ZA)*(($Q$34)-Sp2_BrgA)/Sp2_Lb)-Sup_Drop+Bm_D+Bm1_Raise/12))*$Q$6</f>
        <v>5.1572382101835501</v>
      </c>
    </row>
    <row r="35" spans="17:18" x14ac:dyDescent="0.45">
      <c r="Q35" s="47">
        <f>Sp2_Bm0+28/40*(Sp2_Bm1-Sp2_Bm0)</f>
        <v>1773.8625</v>
      </c>
      <c r="R35" s="47">
        <f>((IF(Prof_Mode="parabolic",Prof_Z0+Prof_G1*(($Q$35)-Prof_Sta0)+Prof_Kq*(($Q$35)-Prof_Sta0)^2,IF(($Q$35)&lt;=Prof_PISta,Prof_Z0+Prof_G1*(($Q$35)-Prof_Sta0),Prof_PIZ+Prof_G2*(($Q$35)-Prof_PISta)))+Bm1_dCL-Deck_T)-((Sp2_ZA+(Sp2_ZB-Sp2_ZA)*(($Q$35)-Sp2_BrgA)/Sp2_Lb)-Sup_Drop+Bm_D+Bm1_Raise/12))*$Q$6</f>
        <v>5.1572382101832659</v>
      </c>
    </row>
    <row r="36" spans="17:18" x14ac:dyDescent="0.45">
      <c r="Q36" s="47">
        <f>Sp2_Bm0+29/40*(Sp2_Bm1-Sp2_Bm0)</f>
        <v>1776.475625</v>
      </c>
      <c r="R36" s="47">
        <f>((IF(Prof_Mode="parabolic",Prof_Z0+Prof_G1*(($Q$36)-Prof_Sta0)+Prof_Kq*(($Q$36)-Prof_Sta0)^2,IF(($Q$36)&lt;=Prof_PISta,Prof_Z0+Prof_G1*(($Q$36)-Prof_Sta0),Prof_PIZ+Prof_G2*(($Q$36)-Prof_PISta)))+Bm1_dCL-Deck_T)-((Sp2_ZA+(Sp2_ZB-Sp2_ZA)*(($Q$36)-Sp2_BrgA)/Sp2_Lb)-Sup_Drop+Bm_D+Bm1_Raise/12))*$Q$6</f>
        <v>5.1572382101832659</v>
      </c>
    </row>
    <row r="37" spans="17:18" x14ac:dyDescent="0.45">
      <c r="Q37" s="47">
        <f>Sp2_Bm0+30/40*(Sp2_Bm1-Sp2_Bm0)</f>
        <v>1779.0887499999999</v>
      </c>
      <c r="R37" s="47">
        <f>((IF(Prof_Mode="parabolic",Prof_Z0+Prof_G1*(($Q$37)-Prof_Sta0)+Prof_Kq*(($Q$37)-Prof_Sta0)^2,IF(($Q$37)&lt;=Prof_PISta,Prof_Z0+Prof_G1*(($Q$37)-Prof_Sta0),Prof_PIZ+Prof_G2*(($Q$37)-Prof_PISta)))+Bm1_dCL-Deck_T)-((Sp2_ZA+(Sp2_ZB-Sp2_ZA)*(($Q$37)-Sp2_BrgA)/Sp2_Lb)-Sup_Drop+Bm_D+Bm1_Raise/12))*$Q$6</f>
        <v>5.1572382101832659</v>
      </c>
    </row>
    <row r="38" spans="17:18" x14ac:dyDescent="0.45">
      <c r="Q38" s="47">
        <f>Sp2_Bm0+31/40*(Sp2_Bm1-Sp2_Bm0)</f>
        <v>1781.701875</v>
      </c>
      <c r="R38" s="47">
        <f>((IF(Prof_Mode="parabolic",Prof_Z0+Prof_G1*(($Q$38)-Prof_Sta0)+Prof_Kq*(($Q$38)-Prof_Sta0)^2,IF(($Q$38)&lt;=Prof_PISta,Prof_Z0+Prof_G1*(($Q$38)-Prof_Sta0),Prof_PIZ+Prof_G2*(($Q$38)-Prof_PISta)))+Bm1_dCL-Deck_T)-((Sp2_ZA+(Sp2_ZB-Sp2_ZA)*(($Q$38)-Sp2_BrgA)/Sp2_Lb)-Sup_Drop+Bm_D+Bm1_Raise/12))*$Q$6</f>
        <v>5.1572382101832659</v>
      </c>
    </row>
    <row r="39" spans="17:18" x14ac:dyDescent="0.45">
      <c r="Q39" s="47">
        <f>Sp2_Bm0+32/40*(Sp2_Bm1-Sp2_Bm0)</f>
        <v>1784.3150000000001</v>
      </c>
      <c r="R39" s="47">
        <f>((IF(Prof_Mode="parabolic",Prof_Z0+Prof_G1*(($Q$39)-Prof_Sta0)+Prof_Kq*(($Q$39)-Prof_Sta0)^2,IF(($Q$39)&lt;=Prof_PISta,Prof_Z0+Prof_G1*(($Q$39)-Prof_Sta0),Prof_PIZ+Prof_G2*(($Q$39)-Prof_PISta)))+Bm1_dCL-Deck_T)-((Sp2_ZA+(Sp2_ZB-Sp2_ZA)*(($Q$39)-Sp2_BrgA)/Sp2_Lb)-Sup_Drop+Bm_D+Bm1_Raise/12))*$Q$6</f>
        <v>5.1572382101832659</v>
      </c>
    </row>
    <row r="40" spans="17:18" x14ac:dyDescent="0.45">
      <c r="Q40" s="47">
        <f>Sp2_Bm0+33/40*(Sp2_Bm1-Sp2_Bm0)</f>
        <v>1786.9281249999999</v>
      </c>
      <c r="R40" s="47">
        <f>((IF(Prof_Mode="parabolic",Prof_Z0+Prof_G1*(($Q$40)-Prof_Sta0)+Prof_Kq*(($Q$40)-Prof_Sta0)^2,IF(($Q$40)&lt;=Prof_PISta,Prof_Z0+Prof_G1*(($Q$40)-Prof_Sta0),Prof_PIZ+Prof_G2*(($Q$40)-Prof_PISta)))+Bm1_dCL-Deck_T)-((Sp2_ZA+(Sp2_ZB-Sp2_ZA)*(($Q$40)-Sp2_BrgA)/Sp2_Lb)-Sup_Drop+Bm_D+Bm1_Raise/12))*$Q$6</f>
        <v>5.1572382101832659</v>
      </c>
    </row>
    <row r="41" spans="17:18" x14ac:dyDescent="0.45">
      <c r="Q41" s="47">
        <f>Sp2_Bm0+34/40*(Sp2_Bm1-Sp2_Bm0)</f>
        <v>1789.54125</v>
      </c>
      <c r="R41" s="47">
        <f>((IF(Prof_Mode="parabolic",Prof_Z0+Prof_G1*(($Q$41)-Prof_Sta0)+Prof_Kq*(($Q$41)-Prof_Sta0)^2,IF(($Q$41)&lt;=Prof_PISta,Prof_Z0+Prof_G1*(($Q$41)-Prof_Sta0),Prof_PIZ+Prof_G2*(($Q$41)-Prof_PISta)))+Bm1_dCL-Deck_T)-((Sp2_ZA+(Sp2_ZB-Sp2_ZA)*(($Q$41)-Sp2_BrgA)/Sp2_Lb)-Sup_Drop+Bm_D+Bm1_Raise/12))*$Q$6</f>
        <v>5.1572382101832659</v>
      </c>
    </row>
    <row r="42" spans="17:18" x14ac:dyDescent="0.45">
      <c r="Q42" s="47">
        <f>Sp2_Bm0+35/40*(Sp2_Bm1-Sp2_Bm0)</f>
        <v>1792.1543750000001</v>
      </c>
      <c r="R42" s="47">
        <f>((IF(Prof_Mode="parabolic",Prof_Z0+Prof_G1*(($Q$42)-Prof_Sta0)+Prof_Kq*(($Q$42)-Prof_Sta0)^2,IF(($Q$42)&lt;=Prof_PISta,Prof_Z0+Prof_G1*(($Q$42)-Prof_Sta0),Prof_PIZ+Prof_G2*(($Q$42)-Prof_PISta)))+Bm1_dCL-Deck_T)-((Sp2_ZA+(Sp2_ZB-Sp2_ZA)*(($Q$42)-Sp2_BrgA)/Sp2_Lb)-Sup_Drop+Bm_D+Bm1_Raise/12))*$Q$6</f>
        <v>5.1572382101832659</v>
      </c>
    </row>
    <row r="43" spans="17:18" x14ac:dyDescent="0.45">
      <c r="Q43" s="47">
        <f>Sp2_Bm0+36/40*(Sp2_Bm1-Sp2_Bm0)</f>
        <v>1794.7674999999999</v>
      </c>
      <c r="R43" s="47">
        <f>((IF(Prof_Mode="parabolic",Prof_Z0+Prof_G1*(($Q$43)-Prof_Sta0)+Prof_Kq*(($Q$43)-Prof_Sta0)^2,IF(($Q$43)&lt;=Prof_PISta,Prof_Z0+Prof_G1*(($Q$43)-Prof_Sta0),Prof_PIZ+Prof_G2*(($Q$43)-Prof_PISta)))+Bm1_dCL-Deck_T)-((Sp2_ZA+(Sp2_ZB-Sp2_ZA)*(($Q$43)-Sp2_BrgA)/Sp2_Lb)-Sup_Drop+Bm_D+Bm1_Raise/12))*$Q$6</f>
        <v>5.1572382101832659</v>
      </c>
    </row>
    <row r="44" spans="17:18" x14ac:dyDescent="0.45">
      <c r="Q44" s="47">
        <f>Sp2_Bm0+37/40*(Sp2_Bm1-Sp2_Bm0)</f>
        <v>1797.380625</v>
      </c>
      <c r="R44" s="47">
        <f>((IF(Prof_Mode="parabolic",Prof_Z0+Prof_G1*(($Q$44)-Prof_Sta0)+Prof_Kq*(($Q$44)-Prof_Sta0)^2,IF(($Q$44)&lt;=Prof_PISta,Prof_Z0+Prof_G1*(($Q$44)-Prof_Sta0),Prof_PIZ+Prof_G2*(($Q$44)-Prof_PISta)))+Bm1_dCL-Deck_T)-((Sp2_ZA+(Sp2_ZB-Sp2_ZA)*(($Q$44)-Sp2_BrgA)/Sp2_Lb)-Sup_Drop+Bm_D+Bm1_Raise/12))*$Q$6</f>
        <v>5.1572382101832659</v>
      </c>
    </row>
    <row r="45" spans="17:18" x14ac:dyDescent="0.45">
      <c r="Q45" s="47">
        <f>Sp2_Bm0+38/40*(Sp2_Bm1-Sp2_Bm0)</f>
        <v>1799.9937500000001</v>
      </c>
      <c r="R45" s="47">
        <f>((IF(Prof_Mode="parabolic",Prof_Z0+Prof_G1*(($Q$45)-Prof_Sta0)+Prof_Kq*(($Q$45)-Prof_Sta0)^2,IF(($Q$45)&lt;=Prof_PISta,Prof_Z0+Prof_G1*(($Q$45)-Prof_Sta0),Prof_PIZ+Prof_G2*(($Q$45)-Prof_PISta)))+Bm1_dCL-Deck_T)-((Sp2_ZA+(Sp2_ZB-Sp2_ZA)*(($Q$45)-Sp2_BrgA)/Sp2_Lb)-Sup_Drop+Bm_D+Bm1_Raise/12))*$Q$6</f>
        <v>5.1572382101832659</v>
      </c>
    </row>
    <row r="46" spans="17:18" x14ac:dyDescent="0.45">
      <c r="Q46" s="47">
        <f>Sp2_Bm0+39/40*(Sp2_Bm1-Sp2_Bm0)</f>
        <v>1802.6068749999999</v>
      </c>
      <c r="R46" s="47">
        <f>((IF(Prof_Mode="parabolic",Prof_Z0+Prof_G1*(($Q$46)-Prof_Sta0)+Prof_Kq*(($Q$46)-Prof_Sta0)^2,IF(($Q$46)&lt;=Prof_PISta,Prof_Z0+Prof_G1*(($Q$46)-Prof_Sta0),Prof_PIZ+Prof_G2*(($Q$46)-Prof_PISta)))+Bm1_dCL-Deck_T)-((Sp2_ZA+(Sp2_ZB-Sp2_ZA)*(($Q$46)-Sp2_BrgA)/Sp2_Lb)-Sup_Drop+Bm_D+Bm1_Raise/12))*$Q$6</f>
        <v>5.1572382101832659</v>
      </c>
    </row>
    <row r="47" spans="17:18" x14ac:dyDescent="0.45">
      <c r="Q47" s="47">
        <f>Sp2_Bm0+40/40*(Sp2_Bm1-Sp2_Bm0)</f>
        <v>1805.22</v>
      </c>
      <c r="R47" s="47">
        <f>((IF(Prof_Mode="parabolic",Prof_Z0+Prof_G1*(($Q$47)-Prof_Sta0)+Prof_Kq*(($Q$47)-Prof_Sta0)^2,IF(($Q$47)&lt;=Prof_PISta,Prof_Z0+Prof_G1*(($Q$47)-Prof_Sta0),Prof_PIZ+Prof_G2*(($Q$47)-Prof_PISta)))+Bm1_dCL-Deck_T)-((Sp2_ZA+(Sp2_ZB-Sp2_ZA)*(($Q$47)-Sp2_BrgA)/Sp2_Lb)-Sup_Drop+Bm_D+Bm1_Raise/12))*$Q$6</f>
        <v>5.1572382101832659</v>
      </c>
    </row>
    <row r="49" spans="16:19" x14ac:dyDescent="0.45">
      <c r="P49" s="44" t="s">
        <v>978</v>
      </c>
      <c r="Q49" s="47">
        <f>Sp2_Bm0+0/40*(Sp2_Bm1-Sp2_Bm0)</f>
        <v>1700.6949999999999</v>
      </c>
      <c r="R49" s="47">
        <f>(((Sp2_ZA+(Sp2_ZB-Sp2_ZA)*((($Q$49)-Sp2_BrgA)/Sp2_Lb)-Sup_Drop+Sp2_C/3*((($Q$49)-Sp2_BrgA)/Sp2_Lb)*(1-((($Q$49)-Sp2_BrgA)/Sp2_Lb))+(Bm1_Raise)/12)+Bm_D)-((Sp2_ZA+(Sp2_ZB-Sp2_ZA)*(($Q$49)-Sp2_BrgA)/Sp2_Lb)-Sup_Drop+Bm_D+Bm1_Raise/12))*$Q$6</f>
        <v>-5.5452594049256732E-2</v>
      </c>
      <c r="S49" s="47">
        <f>((IF(Prof_Mode="parabolic",Prof_Z0+Prof_G1*(($Q$49)-Prof_Sta0)+Prof_Kq*(($Q$49)-Prof_Sta0)^2,IF(($Q$49)&lt;=Prof_PISta,Prof_Z0+Prof_G1*(($Q$49)-Prof_Sta0),Prof_PIZ+Prof_G2*(($Q$49)-Prof_PISta)))+Bm1_dCL-Deck_T)-((Sp2_ZA+(Sp2_ZB-Sp2_ZA)*((($Q$49)-Sp2_BrgA)/Sp2_Lb)-Sup_Drop+Sp2_C/3*((($Q$49)-Sp2_BrgA)/Sp2_Lb)*(1-((($Q$49)-Sp2_BrgA)/Sp2_Lb))+(Bm1_Raise)/12)+Bm_D))*$Q$6</f>
        <v>5.2126908042325226</v>
      </c>
    </row>
    <row r="50" spans="16:19" x14ac:dyDescent="0.45">
      <c r="Q50" s="47">
        <f>Sp2_Bm0+1/40*(Sp2_Bm1-Sp2_Bm0)</f>
        <v>1703.308125</v>
      </c>
      <c r="R50" s="47">
        <f>(((Sp2_ZA+(Sp2_ZB-Sp2_ZA)*((($Q$50)-Sp2_BrgA)/Sp2_Lb)-Sup_Drop+Sp2_C/3*((($Q$50)-Sp2_BrgA)/Sp2_Lb)*(1-((($Q$50)-Sp2_BrgA)/Sp2_Lb))+(Bm1_Raise)/12)+Bm_D)-((Sp2_ZA+(Sp2_ZB-Sp2_ZA)*(($Q$50)-Sp2_BrgA)/Sp2_Lb)-Sup_Drop+Bm_D+Bm1_Raise/12))*$Q$6</f>
        <v>0.13428475936336781</v>
      </c>
      <c r="S50" s="47">
        <f>((IF(Prof_Mode="parabolic",Prof_Z0+Prof_G1*(($Q$50)-Prof_Sta0)+Prof_Kq*(($Q$50)-Prof_Sta0)^2,IF(($Q$50)&lt;=Prof_PISta,Prof_Z0+Prof_G1*(($Q$50)-Prof_Sta0),Prof_PIZ+Prof_G2*(($Q$50)-Prof_PISta)))+Bm1_dCL-Deck_T)-((Sp2_ZA+(Sp2_ZB-Sp2_ZA)*((($Q$50)-Sp2_BrgA)/Sp2_Lb)-Sup_Drop+Sp2_C/3*((($Q$50)-Sp2_BrgA)/Sp2_Lb)*(1-((($Q$50)-Sp2_BrgA)/Sp2_Lb))+(Bm1_Raise)/12)+Bm_D))*$Q$6</f>
        <v>5.0229534508198981</v>
      </c>
    </row>
    <row r="51" spans="16:19" x14ac:dyDescent="0.45">
      <c r="Q51" s="47">
        <f>Sp2_Bm0+2/40*(Sp2_Bm1-Sp2_Bm0)</f>
        <v>1705.9212499999999</v>
      </c>
      <c r="R51" s="47">
        <f>(((Sp2_ZA+(Sp2_ZB-Sp2_ZA)*((($Q$51)-Sp2_BrgA)/Sp2_Lb)-Sup_Drop+Sp2_C/3*((($Q$51)-Sp2_BrgA)/Sp2_Lb)*(1-((($Q$51)-Sp2_BrgA)/Sp2_Lb))+(Bm1_Raise)/12)+Bm_D)-((Sp2_ZA+(Sp2_ZB-Sp2_ZA)*(($Q$51)-Sp2_BrgA)/Sp2_Lb)-Sup_Drop+Bm_D+Bm1_Raise/12))*$Q$6</f>
        <v>0.31429199208844238</v>
      </c>
      <c r="S51" s="47">
        <f>((IF(Prof_Mode="parabolic",Prof_Z0+Prof_G1*(($Q$51)-Prof_Sta0)+Prof_Kq*(($Q$51)-Prof_Sta0)^2,IF(($Q$51)&lt;=Prof_PISta,Prof_Z0+Prof_G1*(($Q$51)-Prof_Sta0),Prof_PIZ+Prof_G2*(($Q$51)-Prof_PISta)))+Bm1_dCL-Deck_T)-((Sp2_ZA+(Sp2_ZB-Sp2_ZA)*((($Q$51)-Sp2_BrgA)/Sp2_Lb)-Sup_Drop+Sp2_C/3*((($Q$51)-Sp2_BrgA)/Sp2_Lb)*(1-((($Q$51)-Sp2_BrgA)/Sp2_Lb))+(Bm1_Raise)/12)+Bm_D))*$Q$6</f>
        <v>4.8429462180951077</v>
      </c>
    </row>
    <row r="52" spans="16:19" x14ac:dyDescent="0.45">
      <c r="Q52" s="47">
        <f>Sp2_Bm0+3/40*(Sp2_Bm1-Sp2_Bm0)</f>
        <v>1708.534375</v>
      </c>
      <c r="R52" s="47">
        <f>(((Sp2_ZA+(Sp2_ZB-Sp2_ZA)*((($Q$52)-Sp2_BrgA)/Sp2_Lb)-Sup_Drop+Sp2_C/3*((($Q$52)-Sp2_BrgA)/Sp2_Lb)*(1-((($Q$52)-Sp2_BrgA)/Sp2_Lb))+(Bm1_Raise)/12)+Bm_D)-((Sp2_ZA+(Sp2_ZB-Sp2_ZA)*(($Q$52)-Sp2_BrgA)/Sp2_Lb)-Sup_Drop+Bm_D+Bm1_Raise/12))*$Q$6</f>
        <v>0.48456910412539855</v>
      </c>
      <c r="S52" s="47">
        <f>((IF(Prof_Mode="parabolic",Prof_Z0+Prof_G1*(($Q$52)-Prof_Sta0)+Prof_Kq*(($Q$52)-Prof_Sta0)^2,IF(($Q$52)&lt;=Prof_PISta,Prof_Z0+Prof_G1*(($Q$52)-Prof_Sta0),Prof_PIZ+Prof_G2*(($Q$52)-Prof_PISta)))+Bm1_dCL-Deck_T)-((Sp2_ZA+(Sp2_ZB-Sp2_ZA)*((($Q$52)-Sp2_BrgA)/Sp2_Lb)-Sup_Drop+Sp2_C/3*((($Q$52)-Sp2_BrgA)/Sp2_Lb)*(1-((($Q$52)-Sp2_BrgA)/Sp2_Lb))+(Bm1_Raise)/12)+Bm_D))*$Q$6</f>
        <v>4.6726691060578673</v>
      </c>
    </row>
    <row r="53" spans="16:19" x14ac:dyDescent="0.45">
      <c r="Q53" s="47">
        <f>Sp2_Bm0+4/40*(Sp2_Bm1-Sp2_Bm0)</f>
        <v>1711.1475</v>
      </c>
      <c r="R53" s="47">
        <f>(((Sp2_ZA+(Sp2_ZB-Sp2_ZA)*((($Q$53)-Sp2_BrgA)/Sp2_Lb)-Sup_Drop+Sp2_C/3*((($Q$53)-Sp2_BrgA)/Sp2_Lb)*(1-((($Q$53)-Sp2_BrgA)/Sp2_Lb))+(Bm1_Raise)/12)+Bm_D)-((Sp2_ZA+(Sp2_ZB-Sp2_ZA)*(($Q$53)-Sp2_BrgA)/Sp2_Lb)-Sup_Drop+Bm_D+Bm1_Raise/12))*$Q$6</f>
        <v>0.64511609547452053</v>
      </c>
      <c r="S53" s="47">
        <f>((IF(Prof_Mode="parabolic",Prof_Z0+Prof_G1*(($Q$53)-Prof_Sta0)+Prof_Kq*(($Q$53)-Prof_Sta0)^2,IF(($Q$53)&lt;=Prof_PISta,Prof_Z0+Prof_G1*(($Q$53)-Prof_Sta0),Prof_PIZ+Prof_G2*(($Q$53)-Prof_PISta)))+Bm1_dCL-Deck_T)-((Sp2_ZA+(Sp2_ZB-Sp2_ZA)*((($Q$53)-Sp2_BrgA)/Sp2_Lb)-Sup_Drop+Sp2_C/3*((($Q$53)-Sp2_BrgA)/Sp2_Lb)*(1-((($Q$53)-Sp2_BrgA)/Sp2_Lb))+(Bm1_Raise)/12)+Bm_D))*$Q$6</f>
        <v>4.5121221147090296</v>
      </c>
    </row>
    <row r="54" spans="16:19" x14ac:dyDescent="0.45">
      <c r="Q54" s="47">
        <f>Sp2_Bm0+5/40*(Sp2_Bm1-Sp2_Bm0)</f>
        <v>1713.7606249999999</v>
      </c>
      <c r="R54" s="47">
        <f>(((Sp2_ZA+(Sp2_ZB-Sp2_ZA)*((($Q$54)-Sp2_BrgA)/Sp2_Lb)-Sup_Drop+Sp2_C/3*((($Q$54)-Sp2_BrgA)/Sp2_Lb)*(1-((($Q$54)-Sp2_BrgA)/Sp2_Lb))+(Bm1_Raise)/12)+Bm_D)-((Sp2_ZA+(Sp2_ZB-Sp2_ZA)*(($Q$54)-Sp2_BrgA)/Sp2_Lb)-Sup_Drop+Bm_D+Bm1_Raise/12))*$Q$6</f>
        <v>0.79593296613580833</v>
      </c>
      <c r="S54" s="47">
        <f>((IF(Prof_Mode="parabolic",Prof_Z0+Prof_G1*(($Q$54)-Prof_Sta0)+Prof_Kq*(($Q$54)-Prof_Sta0)^2,IF(($Q$54)&lt;=Prof_PISta,Prof_Z0+Prof_G1*(($Q$54)-Prof_Sta0),Prof_PIZ+Prof_G2*(($Q$54)-Prof_PISta)))+Bm1_dCL-Deck_T)-((Sp2_ZA+(Sp2_ZB-Sp2_ZA)*((($Q$54)-Sp2_BrgA)/Sp2_Lb)-Sup_Drop+Sp2_C/3*((($Q$54)-Sp2_BrgA)/Sp2_Lb)*(1-((($Q$54)-Sp2_BrgA)/Sp2_Lb))+(Bm1_Raise)/12)+Bm_D))*$Q$6</f>
        <v>4.3613052440474576</v>
      </c>
    </row>
    <row r="55" spans="16:19" x14ac:dyDescent="0.45">
      <c r="Q55" s="47">
        <f>Sp2_Bm0+6/40*(Sp2_Bm1-Sp2_Bm0)</f>
        <v>1716.37375</v>
      </c>
      <c r="R55" s="47">
        <f>(((Sp2_ZA+(Sp2_ZB-Sp2_ZA)*((($Q$55)-Sp2_BrgA)/Sp2_Lb)-Sup_Drop+Sp2_C/3*((($Q$55)-Sp2_BrgA)/Sp2_Lb)*(1-((($Q$55)-Sp2_BrgA)/Sp2_Lb))+(Bm1_Raise)/12)+Bm_D)-((Sp2_ZA+(Sp2_ZB-Sp2_ZA)*(($Q$55)-Sp2_BrgA)/Sp2_Lb)-Sup_Drop+Bm_D+Bm1_Raise/12))*$Q$6</f>
        <v>0.93701971610926194</v>
      </c>
      <c r="S55" s="47">
        <f>((IF(Prof_Mode="parabolic",Prof_Z0+Prof_G1*(($Q$55)-Prof_Sta0)+Prof_Kq*(($Q$55)-Prof_Sta0)^2,IF(($Q$55)&lt;=Prof_PISta,Prof_Z0+Prof_G1*(($Q$55)-Prof_Sta0),Prof_PIZ+Prof_G2*(($Q$55)-Prof_PISta)))+Bm1_dCL-Deck_T)-((Sp2_ZA+(Sp2_ZB-Sp2_ZA)*((($Q$55)-Sp2_BrgA)/Sp2_Lb)-Sup_Drop+Sp2_C/3*((($Q$55)-Sp2_BrgA)/Sp2_Lb)*(1-((($Q$55)-Sp2_BrgA)/Sp2_Lb))+(Bm1_Raise)/12)+Bm_D))*$Q$6</f>
        <v>4.2202184940742882</v>
      </c>
    </row>
    <row r="56" spans="16:19" x14ac:dyDescent="0.45">
      <c r="Q56" s="47">
        <f>Sp2_Bm0+7/40*(Sp2_Bm1-Sp2_Bm0)</f>
        <v>1718.9868750000001</v>
      </c>
      <c r="R56" s="47">
        <f>(((Sp2_ZA+(Sp2_ZB-Sp2_ZA)*((($Q$56)-Sp2_BrgA)/Sp2_Lb)-Sup_Drop+Sp2_C/3*((($Q$56)-Sp2_BrgA)/Sp2_Lb)*(1-((($Q$56)-Sp2_BrgA)/Sp2_Lb))+(Bm1_Raise)/12)+Bm_D)-((Sp2_ZA+(Sp2_ZB-Sp2_ZA)*(($Q$56)-Sp2_BrgA)/Sp2_Lb)-Sup_Drop+Bm_D+Bm1_Raise/12))*$Q$6</f>
        <v>1.0683763453951656</v>
      </c>
      <c r="S56" s="47">
        <f>((IF(Prof_Mode="parabolic",Prof_Z0+Prof_G1*(($Q$56)-Prof_Sta0)+Prof_Kq*(($Q$56)-Prof_Sta0)^2,IF(($Q$56)&lt;=Prof_PISta,Prof_Z0+Prof_G1*(($Q$56)-Prof_Sta0),Prof_PIZ+Prof_G2*(($Q$56)-Prof_PISta)))+Bm1_dCL-Deck_T)-((Sp2_ZA+(Sp2_ZB-Sp2_ZA)*((($Q$56)-Sp2_BrgA)/Sp2_Lb)-Sup_Drop+Sp2_C/3*((($Q$56)-Sp2_BrgA)/Sp2_Lb)*(1-((($Q$56)-Sp2_BrgA)/Sp2_Lb))+(Bm1_Raise)/12)+Bm_D))*$Q$6</f>
        <v>4.0888618647881003</v>
      </c>
    </row>
    <row r="57" spans="16:19" x14ac:dyDescent="0.45">
      <c r="Q57" s="47">
        <f>Sp2_Bm0+8/40*(Sp2_Bm1-Sp2_Bm0)</f>
        <v>1721.6</v>
      </c>
      <c r="R57" s="47">
        <f>(((Sp2_ZA+(Sp2_ZB-Sp2_ZA)*((($Q$57)-Sp2_BrgA)/Sp2_Lb)-Sup_Drop+Sp2_C/3*((($Q$57)-Sp2_BrgA)/Sp2_Lb)*(1-((($Q$57)-Sp2_BrgA)/Sp2_Lb))+(Bm1_Raise)/12)+Bm_D)-((Sp2_ZA+(Sp2_ZB-Sp2_ZA)*(($Q$57)-Sp2_BrgA)/Sp2_Lb)-Sup_Drop+Bm_D+Bm1_Raise/12))*$Q$6</f>
        <v>1.1900028539929508</v>
      </c>
      <c r="S57" s="47">
        <f>((IF(Prof_Mode="parabolic",Prof_Z0+Prof_G1*(($Q$57)-Prof_Sta0)+Prof_Kq*(($Q$57)-Prof_Sta0)^2,IF(($Q$57)&lt;=Prof_PISta,Prof_Z0+Prof_G1*(($Q$57)-Prof_Sta0),Prof_PIZ+Prof_G2*(($Q$57)-Prof_PISta)))+Bm1_dCL-Deck_T)-((Sp2_ZA+(Sp2_ZB-Sp2_ZA)*((($Q$57)-Sp2_BrgA)/Sp2_Lb)-Sup_Drop+Sp2_C/3*((($Q$57)-Sp2_BrgA)/Sp2_Lb)*(1-((($Q$57)-Sp2_BrgA)/Sp2_Lb))+(Bm1_Raise)/12)+Bm_D))*$Q$6</f>
        <v>3.9672353561903151</v>
      </c>
    </row>
    <row r="58" spans="16:19" x14ac:dyDescent="0.45">
      <c r="Q58" s="47">
        <f>Sp2_Bm0+9/40*(Sp2_Bm1-Sp2_Bm0)</f>
        <v>1724.213125</v>
      </c>
      <c r="R58" s="47">
        <f>(((Sp2_ZA+(Sp2_ZB-Sp2_ZA)*((($Q$58)-Sp2_BrgA)/Sp2_Lb)-Sup_Drop+Sp2_C/3*((($Q$58)-Sp2_BrgA)/Sp2_Lb)*(1-((($Q$58)-Sp2_BrgA)/Sp2_Lb))+(Bm1_Raise)/12)+Bm_D)-((Sp2_ZA+(Sp2_ZB-Sp2_ZA)*(($Q$58)-Sp2_BrgA)/Sp2_Lb)-Sup_Drop+Bm_D+Bm1_Raise/12))*$Q$6</f>
        <v>1.3018992419029018</v>
      </c>
      <c r="S58" s="47">
        <f>((IF(Prof_Mode="parabolic",Prof_Z0+Prof_G1*(($Q$58)-Prof_Sta0)+Prof_Kq*(($Q$58)-Prof_Sta0)^2,IF(($Q$58)&lt;=Prof_PISta,Prof_Z0+Prof_G1*(($Q$58)-Prof_Sta0),Prof_PIZ+Prof_G2*(($Q$58)-Prof_PISta)))+Bm1_dCL-Deck_T)-((Sp2_ZA+(Sp2_ZB-Sp2_ZA)*((($Q$58)-Sp2_BrgA)/Sp2_Lb)-Sup_Drop+Sp2_C/3*((($Q$58)-Sp2_BrgA)/Sp2_Lb)*(1-((($Q$58)-Sp2_BrgA)/Sp2_Lb))+(Bm1_Raise)/12)+Bm_D))*$Q$6</f>
        <v>3.8553389682806483</v>
      </c>
    </row>
    <row r="59" spans="16:19" x14ac:dyDescent="0.45">
      <c r="Q59" s="47">
        <f>Sp2_Bm0+10/40*(Sp2_Bm1-Sp2_Bm0)</f>
        <v>1726.8262500000001</v>
      </c>
      <c r="R59" s="47">
        <f>(((Sp2_ZA+(Sp2_ZB-Sp2_ZA)*((($Q$59)-Sp2_BrgA)/Sp2_Lb)-Sup_Drop+Sp2_C/3*((($Q$59)-Sp2_BrgA)/Sp2_Lb)*(1-((($Q$59)-Sp2_BrgA)/Sp2_Lb))+(Bm1_Raise)/12)+Bm_D)-((Sp2_ZA+(Sp2_ZB-Sp2_ZA)*(($Q$59)-Sp2_BrgA)/Sp2_Lb)-Sup_Drop+Bm_D+Bm1_Raise/12))*$Q$6</f>
        <v>1.4040655091253029</v>
      </c>
      <c r="S59" s="47">
        <f>((IF(Prof_Mode="parabolic",Prof_Z0+Prof_G1*(($Q$59)-Prof_Sta0)+Prof_Kq*(($Q$59)-Prof_Sta0)^2,IF(($Q$59)&lt;=Prof_PISta,Prof_Z0+Prof_G1*(($Q$59)-Prof_Sta0),Prof_PIZ+Prof_G2*(($Q$59)-Prof_PISta)))+Bm1_dCL-Deck_T)-((Sp2_ZA+(Sp2_ZB-Sp2_ZA)*((($Q$59)-Sp2_BrgA)/Sp2_Lb)-Sup_Drop+Sp2_C/3*((($Q$59)-Sp2_BrgA)/Sp2_Lb)*(1-((($Q$59)-Sp2_BrgA)/Sp2_Lb))+(Bm1_Raise)/12)+Bm_D))*$Q$6</f>
        <v>3.753172701057963</v>
      </c>
    </row>
    <row r="60" spans="16:19" x14ac:dyDescent="0.45">
      <c r="Q60" s="47">
        <f>Sp2_Bm0+11/40*(Sp2_Bm1-Sp2_Bm0)</f>
        <v>1729.4393749999999</v>
      </c>
      <c r="R60" s="47">
        <f>(((Sp2_ZA+(Sp2_ZB-Sp2_ZA)*((($Q$60)-Sp2_BrgA)/Sp2_Lb)-Sup_Drop+Sp2_C/3*((($Q$60)-Sp2_BrgA)/Sp2_Lb)*(1-((($Q$60)-Sp2_BrgA)/Sp2_Lb))+(Bm1_Raise)/12)+Bm_D)-((Sp2_ZA+(Sp2_ZB-Sp2_ZA)*(($Q$60)-Sp2_BrgA)/Sp2_Lb)-Sup_Drop+Bm_D+Bm1_Raise/12))*$Q$6</f>
        <v>1.4965016556595856</v>
      </c>
      <c r="S60" s="47">
        <f>((IF(Prof_Mode="parabolic",Prof_Z0+Prof_G1*(($Q$60)-Prof_Sta0)+Prof_Kq*(($Q$60)-Prof_Sta0)^2,IF(($Q$60)&lt;=Prof_PISta,Prof_Z0+Prof_G1*(($Q$60)-Prof_Sta0),Prof_PIZ+Prof_G2*(($Q$60)-Prof_PISta)))+Bm1_dCL-Deck_T)-((Sp2_ZA+(Sp2_ZB-Sp2_ZA)*((($Q$60)-Sp2_BrgA)/Sp2_Lb)-Sup_Drop+Sp2_C/3*((($Q$60)-Sp2_BrgA)/Sp2_Lb)*(1-((($Q$60)-Sp2_BrgA)/Sp2_Lb))+(Bm1_Raise)/12)+Bm_D))*$Q$6</f>
        <v>3.6607365545239645</v>
      </c>
    </row>
    <row r="61" spans="16:19" x14ac:dyDescent="0.45">
      <c r="Q61" s="47">
        <f>Sp2_Bm0+12/40*(Sp2_Bm1-Sp2_Bm0)</f>
        <v>1732.0525</v>
      </c>
      <c r="R61" s="47">
        <f>(((Sp2_ZA+(Sp2_ZB-Sp2_ZA)*((($Q$61)-Sp2_BrgA)/Sp2_Lb)-Sup_Drop+Sp2_C/3*((($Q$61)-Sp2_BrgA)/Sp2_Lb)*(1-((($Q$61)-Sp2_BrgA)/Sp2_Lb))+(Bm1_Raise)/12)+Bm_D)-((Sp2_ZA+(Sp2_ZB-Sp2_ZA)*(($Q$61)-Sp2_BrgA)/Sp2_Lb)-Sup_Drop+Bm_D+Bm1_Raise/12))*$Q$6</f>
        <v>1.5792076815060341</v>
      </c>
      <c r="S61" s="47">
        <f>((IF(Prof_Mode="parabolic",Prof_Z0+Prof_G1*(($Q$61)-Prof_Sta0)+Prof_Kq*(($Q$61)-Prof_Sta0)^2,IF(($Q$61)&lt;=Prof_PISta,Prof_Z0+Prof_G1*(($Q$61)-Prof_Sta0),Prof_PIZ+Prof_G2*(($Q$61)-Prof_PISta)))+Bm1_dCL-Deck_T)-((Sp2_ZA+(Sp2_ZB-Sp2_ZA)*((($Q$61)-Sp2_BrgA)/Sp2_Lb)-Sup_Drop+Sp2_C/3*((($Q$61)-Sp2_BrgA)/Sp2_Lb)*(1-((($Q$61)-Sp2_BrgA)/Sp2_Lb))+(Bm1_Raise)/12)+Bm_D))*$Q$6</f>
        <v>3.5780305286772318</v>
      </c>
    </row>
    <row r="62" spans="16:19" x14ac:dyDescent="0.45">
      <c r="Q62" s="47">
        <f>Sp2_Bm0+13/40*(Sp2_Bm1-Sp2_Bm0)</f>
        <v>1734.6656249999999</v>
      </c>
      <c r="R62" s="47">
        <f>(((Sp2_ZA+(Sp2_ZB-Sp2_ZA)*((($Q$62)-Sp2_BrgA)/Sp2_Lb)-Sup_Drop+Sp2_C/3*((($Q$62)-Sp2_BrgA)/Sp2_Lb)*(1-((($Q$62)-Sp2_BrgA)/Sp2_Lb))+(Bm1_Raise)/12)+Bm_D)-((Sp2_ZA+(Sp2_ZB-Sp2_ZA)*(($Q$62)-Sp2_BrgA)/Sp2_Lb)-Sup_Drop+Bm_D+Bm1_Raise/12))*$Q$6</f>
        <v>1.6521835866649326</v>
      </c>
      <c r="S62" s="47">
        <f>((IF(Prof_Mode="parabolic",Prof_Z0+Prof_G1*(($Q$62)-Prof_Sta0)+Prof_Kq*(($Q$62)-Prof_Sta0)^2,IF(($Q$62)&lt;=Prof_PISta,Prof_Z0+Prof_G1*(($Q$62)-Prof_Sta0),Prof_PIZ+Prof_G2*(($Q$62)-Prof_PISta)))+Bm1_dCL-Deck_T)-((Sp2_ZA+(Sp2_ZB-Sp2_ZA)*((($Q$62)-Sp2_BrgA)/Sp2_Lb)-Sup_Drop+Sp2_C/3*((($Q$62)-Sp2_BrgA)/Sp2_Lb)*(1-((($Q$62)-Sp2_BrgA)/Sp2_Lb))+(Bm1_Raise)/12)+Bm_D))*$Q$6</f>
        <v>3.5050546235183333</v>
      </c>
    </row>
    <row r="63" spans="16:19" x14ac:dyDescent="0.45">
      <c r="Q63" s="47">
        <f>Sp2_Bm0+14/40*(Sp2_Bm1-Sp2_Bm0)</f>
        <v>1737.2787499999999</v>
      </c>
      <c r="R63" s="47">
        <f>(((Sp2_ZA+(Sp2_ZB-Sp2_ZA)*((($Q$63)-Sp2_BrgA)/Sp2_Lb)-Sup_Drop+Sp2_C/3*((($Q$63)-Sp2_BrgA)/Sp2_Lb)*(1-((($Q$63)-Sp2_BrgA)/Sp2_Lb))+(Bm1_Raise)/12)+Bm_D)-((Sp2_ZA+(Sp2_ZB-Sp2_ZA)*(($Q$63)-Sp2_BrgA)/Sp2_Lb)-Sup_Drop+Bm_D+Bm1_Raise/12))*$Q$6</f>
        <v>1.7154293711357127</v>
      </c>
      <c r="S63" s="47">
        <f>((IF(Prof_Mode="parabolic",Prof_Z0+Prof_G1*(($Q$63)-Prof_Sta0)+Prof_Kq*(($Q$63)-Prof_Sta0)^2,IF(($Q$63)&lt;=Prof_PISta,Prof_Z0+Prof_G1*(($Q$63)-Prof_Sta0),Prof_PIZ+Prof_G2*(($Q$63)-Prof_PISta)))+Bm1_dCL-Deck_T)-((Sp2_ZA+(Sp2_ZB-Sp2_ZA)*((($Q$63)-Sp2_BrgA)/Sp2_Lb)-Sup_Drop+Sp2_C/3*((($Q$63)-Sp2_BrgA)/Sp2_Lb)*(1-((($Q$63)-Sp2_BrgA)/Sp2_Lb))+(Bm1_Raise)/12)+Bm_D))*$Q$6</f>
        <v>3.4418088390475532</v>
      </c>
    </row>
    <row r="64" spans="16:19" x14ac:dyDescent="0.45">
      <c r="Q64" s="47">
        <f>Sp2_Bm0+15/40*(Sp2_Bm1-Sp2_Bm0)</f>
        <v>1739.891875</v>
      </c>
      <c r="R64" s="47">
        <f>(((Sp2_ZA+(Sp2_ZB-Sp2_ZA)*((($Q$64)-Sp2_BrgA)/Sp2_Lb)-Sup_Drop+Sp2_C/3*((($Q$64)-Sp2_BrgA)/Sp2_Lb)*(1-((($Q$64)-Sp2_BrgA)/Sp2_Lb))+(Bm1_Raise)/12)+Bm_D)-((Sp2_ZA+(Sp2_ZB-Sp2_ZA)*(($Q$64)-Sp2_BrgA)/Sp2_Lb)-Sup_Drop+Bm_D+Bm1_Raise/12))*$Q$6</f>
        <v>1.7689450349189428</v>
      </c>
      <c r="S64" s="47">
        <f>((IF(Prof_Mode="parabolic",Prof_Z0+Prof_G1*(($Q$64)-Prof_Sta0)+Prof_Kq*(($Q$64)-Prof_Sta0)^2,IF(($Q$64)&lt;=Prof_PISta,Prof_Z0+Prof_G1*(($Q$64)-Prof_Sta0),Prof_PIZ+Prof_G2*(($Q$64)-Prof_PISta)))+Bm1_dCL-Deck_T)-((Sp2_ZA+(Sp2_ZB-Sp2_ZA)*((($Q$64)-Sp2_BrgA)/Sp2_Lb)-Sup_Drop+Sp2_C/3*((($Q$64)-Sp2_BrgA)/Sp2_Lb)*(1-((($Q$64)-Sp2_BrgA)/Sp2_Lb))+(Bm1_Raise)/12)+Bm_D))*$Q$6</f>
        <v>3.3882931752643231</v>
      </c>
    </row>
    <row r="65" spans="17:19" x14ac:dyDescent="0.45">
      <c r="Q65" s="47">
        <f>Sp2_Bm0+16/40*(Sp2_Bm1-Sp2_Bm0)</f>
        <v>1742.5049999999999</v>
      </c>
      <c r="R65" s="47">
        <f>(((Sp2_ZA+(Sp2_ZB-Sp2_ZA)*((($Q$65)-Sp2_BrgA)/Sp2_Lb)-Sup_Drop+Sp2_C/3*((($Q$65)-Sp2_BrgA)/Sp2_Lb)*(1-((($Q$65)-Sp2_BrgA)/Sp2_Lb))+(Bm1_Raise)/12)+Bm_D)-((Sp2_ZA+(Sp2_ZB-Sp2_ZA)*(($Q$65)-Sp2_BrgA)/Sp2_Lb)-Sup_Drop+Bm_D+Bm1_Raise/12))*$Q$6</f>
        <v>1.8127305780140546</v>
      </c>
      <c r="S65" s="47">
        <f>((IF(Prof_Mode="parabolic",Prof_Z0+Prof_G1*(($Q$65)-Prof_Sta0)+Prof_Kq*(($Q$65)-Prof_Sta0)^2,IF(($Q$65)&lt;=Prof_PISta,Prof_Z0+Prof_G1*(($Q$65)-Prof_Sta0),Prof_PIZ+Prof_G2*(($Q$65)-Prof_PISta)))+Bm1_dCL-Deck_T)-((Sp2_ZA+(Sp2_ZB-Sp2_ZA)*((($Q$65)-Sp2_BrgA)/Sp2_Lb)-Sup_Drop+Sp2_C/3*((($Q$65)-Sp2_BrgA)/Sp2_Lb)*(1-((($Q$65)-Sp2_BrgA)/Sp2_Lb))+(Bm1_Raise)/12)+Bm_D))*$Q$6</f>
        <v>3.3445076321694955</v>
      </c>
    </row>
    <row r="66" spans="17:19" x14ac:dyDescent="0.45">
      <c r="Q66" s="47">
        <f>Sp2_Bm0+17/40*(Sp2_Bm1-Sp2_Bm0)</f>
        <v>1745.118125</v>
      </c>
      <c r="R66" s="47">
        <f>(((Sp2_ZA+(Sp2_ZB-Sp2_ZA)*((($Q$66)-Sp2_BrgA)/Sp2_Lb)-Sup_Drop+Sp2_C/3*((($Q$66)-Sp2_BrgA)/Sp2_Lb)*(1-((($Q$66)-Sp2_BrgA)/Sp2_Lb))+(Bm1_Raise)/12)+Bm_D)-((Sp2_ZA+(Sp2_ZB-Sp2_ZA)*(($Q$66)-Sp2_BrgA)/Sp2_Lb)-Sup_Drop+Bm_D+Bm1_Raise/12))*$Q$6</f>
        <v>1.8467860004213321</v>
      </c>
      <c r="S66" s="47">
        <f>((IF(Prof_Mode="parabolic",Prof_Z0+Prof_G1*(($Q$66)-Prof_Sta0)+Prof_Kq*(($Q$66)-Prof_Sta0)^2,IF(($Q$66)&lt;=Prof_PISta,Prof_Z0+Prof_G1*(($Q$66)-Prof_Sta0),Prof_PIZ+Prof_G2*(($Q$66)-Prof_PISta)))+Bm1_dCL-Deck_T)-((Sp2_ZA+(Sp2_ZB-Sp2_ZA)*((($Q$66)-Sp2_BrgA)/Sp2_Lb)-Sup_Drop+Sp2_C/3*((($Q$66)-Sp2_BrgA)/Sp2_Lb)*(1-((($Q$66)-Sp2_BrgA)/Sp2_Lb))+(Bm1_Raise)/12)+Bm_D))*$Q$6</f>
        <v>3.3104522097619338</v>
      </c>
    </row>
    <row r="67" spans="17:19" x14ac:dyDescent="0.45">
      <c r="Q67" s="47">
        <f>Sp2_Bm0+18/40*(Sp2_Bm1-Sp2_Bm0)</f>
        <v>1747.73125</v>
      </c>
      <c r="R67" s="47">
        <f>(((Sp2_ZA+(Sp2_ZB-Sp2_ZA)*((($Q$67)-Sp2_BrgA)/Sp2_Lb)-Sup_Drop+Sp2_C/3*((($Q$67)-Sp2_BrgA)/Sp2_Lb)*(1-((($Q$67)-Sp2_BrgA)/Sp2_Lb))+(Bm1_Raise)/12)+Bm_D)-((Sp2_ZA+(Sp2_ZB-Sp2_ZA)*(($Q$67)-Sp2_BrgA)/Sp2_Lb)-Sup_Drop+Bm_D+Bm1_Raise/12))*$Q$6</f>
        <v>1.8711113021410597</v>
      </c>
      <c r="S67" s="47">
        <f>((IF(Prof_Mode="parabolic",Prof_Z0+Prof_G1*(($Q$67)-Prof_Sta0)+Prof_Kq*(($Q$67)-Prof_Sta0)^2,IF(($Q$67)&lt;=Prof_PISta,Prof_Z0+Prof_G1*(($Q$67)-Prof_Sta0),Prof_PIZ+Prof_G2*(($Q$67)-Prof_PISta)))+Bm1_dCL-Deck_T)-((Sp2_ZA+(Sp2_ZB-Sp2_ZA)*((($Q$67)-Sp2_BrgA)/Sp2_Lb)-Sup_Drop+Sp2_C/3*((($Q$67)-Sp2_BrgA)/Sp2_Lb)*(1-((($Q$67)-Sp2_BrgA)/Sp2_Lb))+(Bm1_Raise)/12)+Bm_D))*$Q$6</f>
        <v>3.2861269080424904</v>
      </c>
    </row>
    <row r="68" spans="17:19" x14ac:dyDescent="0.45">
      <c r="Q68" s="47">
        <f>Sp2_Bm0+19/40*(Sp2_Bm1-Sp2_Bm0)</f>
        <v>1750.3443749999999</v>
      </c>
      <c r="R68" s="47">
        <f>(((Sp2_ZA+(Sp2_ZB-Sp2_ZA)*((($Q$68)-Sp2_BrgA)/Sp2_Lb)-Sup_Drop+Sp2_C/3*((($Q$68)-Sp2_BrgA)/Sp2_Lb)*(1-((($Q$68)-Sp2_BrgA)/Sp2_Lb))+(Bm1_Raise)/12)+Bm_D)-((Sp2_ZA+(Sp2_ZB-Sp2_ZA)*(($Q$68)-Sp2_BrgA)/Sp2_Lb)-Sup_Drop+Bm_D+Bm1_Raise/12))*$Q$6</f>
        <v>1.8857064831726689</v>
      </c>
      <c r="S68" s="47">
        <f>((IF(Prof_Mode="parabolic",Prof_Z0+Prof_G1*(($Q$68)-Prof_Sta0)+Prof_Kq*(($Q$68)-Prof_Sta0)^2,IF(($Q$68)&lt;=Prof_PISta,Prof_Z0+Prof_G1*(($Q$68)-Prof_Sta0),Prof_PIZ+Prof_G2*(($Q$68)-Prof_PISta)))+Bm1_dCL-Deck_T)-((Sp2_ZA+(Sp2_ZB-Sp2_ZA)*((($Q$68)-Sp2_BrgA)/Sp2_Lb)-Sup_Drop+Sp2_C/3*((($Q$68)-Sp2_BrgA)/Sp2_Lb)*(1-((($Q$68)-Sp2_BrgA)/Sp2_Lb))+(Bm1_Raise)/12)+Bm_D))*$Q$6</f>
        <v>3.271531727010597</v>
      </c>
    </row>
    <row r="69" spans="17:19" x14ac:dyDescent="0.45">
      <c r="Q69" s="47">
        <f>Sp2_Bm0+20/40*(Sp2_Bm1-Sp2_Bm0)</f>
        <v>1752.9575</v>
      </c>
      <c r="R69" s="47">
        <f>(((Sp2_ZA+(Sp2_ZB-Sp2_ZA)*((($Q$69)-Sp2_BrgA)/Sp2_Lb)-Sup_Drop+Sp2_C/3*((($Q$69)-Sp2_BrgA)/Sp2_Lb)*(1-((($Q$69)-Sp2_BrgA)/Sp2_Lb))+(Bm1_Raise)/12)+Bm_D)-((Sp2_ZA+(Sp2_ZB-Sp2_ZA)*(($Q$69)-Sp2_BrgA)/Sp2_Lb)-Sup_Drop+Bm_D+Bm1_Raise/12))*$Q$6</f>
        <v>1.8905715435167281</v>
      </c>
      <c r="S69" s="47">
        <f>((IF(Prof_Mode="parabolic",Prof_Z0+Prof_G1*(($Q$69)-Prof_Sta0)+Prof_Kq*(($Q$69)-Prof_Sta0)^2,IF(($Q$69)&lt;=Prof_PISta,Prof_Z0+Prof_G1*(($Q$69)-Prof_Sta0),Prof_PIZ+Prof_G2*(($Q$69)-Prof_PISta)))+Bm1_dCL-Deck_T)-((Sp2_ZA+(Sp2_ZB-Sp2_ZA)*((($Q$69)-Sp2_BrgA)/Sp2_Lb)-Sup_Drop+Sp2_C/3*((($Q$69)-Sp2_BrgA)/Sp2_Lb)*(1-((($Q$69)-Sp2_BrgA)/Sp2_Lb))+(Bm1_Raise)/12)+Bm_D))*$Q$6</f>
        <v>3.2666666666665378</v>
      </c>
    </row>
    <row r="70" spans="17:19" x14ac:dyDescent="0.45">
      <c r="Q70" s="47">
        <f>Sp2_Bm0+21/40*(Sp2_Bm1-Sp2_Bm0)</f>
        <v>1755.5706250000001</v>
      </c>
      <c r="R70" s="47">
        <f>(((Sp2_ZA+(Sp2_ZB-Sp2_ZA)*((($Q$70)-Sp2_BrgA)/Sp2_Lb)-Sup_Drop+Sp2_C/3*((($Q$70)-Sp2_BrgA)/Sp2_Lb)*(1-((($Q$70)-Sp2_BrgA)/Sp2_Lb))+(Bm1_Raise)/12)+Bm_D)-((Sp2_ZA+(Sp2_ZB-Sp2_ZA)*(($Q$70)-Sp2_BrgA)/Sp2_Lb)-Sup_Drop+Bm_D+Bm1_Raise/12))*$Q$6</f>
        <v>1.8857064831726689</v>
      </c>
      <c r="S70" s="47">
        <f>((IF(Prof_Mode="parabolic",Prof_Z0+Prof_G1*(($Q$70)-Prof_Sta0)+Prof_Kq*(($Q$70)-Prof_Sta0)^2,IF(($Q$70)&lt;=Prof_PISta,Prof_Z0+Prof_G1*(($Q$70)-Prof_Sta0),Prof_PIZ+Prof_G2*(($Q$70)-Prof_PISta)))+Bm1_dCL-Deck_T)-((Sp2_ZA+(Sp2_ZB-Sp2_ZA)*((($Q$70)-Sp2_BrgA)/Sp2_Lb)-Sup_Drop+Sp2_C/3*((($Q$70)-Sp2_BrgA)/Sp2_Lb)*(1-((($Q$70)-Sp2_BrgA)/Sp2_Lb))+(Bm1_Raise)/12)+Bm_D))*$Q$6</f>
        <v>3.271531727010597</v>
      </c>
    </row>
    <row r="71" spans="17:19" x14ac:dyDescent="0.45">
      <c r="Q71" s="47">
        <f>Sp2_Bm0+22/40*(Sp2_Bm1-Sp2_Bm0)</f>
        <v>1758.1837499999999</v>
      </c>
      <c r="R71" s="47">
        <f>(((Sp2_ZA+(Sp2_ZB-Sp2_ZA)*((($Q$71)-Sp2_BrgA)/Sp2_Lb)-Sup_Drop+Sp2_C/3*((($Q$71)-Sp2_BrgA)/Sp2_Lb)*(1-((($Q$71)-Sp2_BrgA)/Sp2_Lb))+(Bm1_Raise)/12)+Bm_D)-((Sp2_ZA+(Sp2_ZB-Sp2_ZA)*(($Q$71)-Sp2_BrgA)/Sp2_Lb)-Sup_Drop+Bm_D+Bm1_Raise/12))*$Q$6</f>
        <v>1.8711113021410597</v>
      </c>
      <c r="S71" s="47">
        <f>((IF(Prof_Mode="parabolic",Prof_Z0+Prof_G1*(($Q$71)-Prof_Sta0)+Prof_Kq*(($Q$71)-Prof_Sta0)^2,IF(($Q$71)&lt;=Prof_PISta,Prof_Z0+Prof_G1*(($Q$71)-Prof_Sta0),Prof_PIZ+Prof_G2*(($Q$71)-Prof_PISta)))+Bm1_dCL-Deck_T)-((Sp2_ZA+(Sp2_ZB-Sp2_ZA)*((($Q$71)-Sp2_BrgA)/Sp2_Lb)-Sup_Drop+Sp2_C/3*((($Q$71)-Sp2_BrgA)/Sp2_Lb)*(1-((($Q$71)-Sp2_BrgA)/Sp2_Lb))+(Bm1_Raise)/12)+Bm_D))*$Q$6</f>
        <v>3.2861269080422062</v>
      </c>
    </row>
    <row r="72" spans="17:19" x14ac:dyDescent="0.45">
      <c r="Q72" s="47">
        <f>Sp2_Bm0+23/40*(Sp2_Bm1-Sp2_Bm0)</f>
        <v>1760.796875</v>
      </c>
      <c r="R72" s="47">
        <f>(((Sp2_ZA+(Sp2_ZB-Sp2_ZA)*((($Q$72)-Sp2_BrgA)/Sp2_Lb)-Sup_Drop+Sp2_C/3*((($Q$72)-Sp2_BrgA)/Sp2_Lb)*(1-((($Q$72)-Sp2_BrgA)/Sp2_Lb))+(Bm1_Raise)/12)+Bm_D)-((Sp2_ZA+(Sp2_ZB-Sp2_ZA)*(($Q$72)-Sp2_BrgA)/Sp2_Lb)-Sup_Drop+Bm_D+Bm1_Raise/12))*$Q$6</f>
        <v>1.8467860004213321</v>
      </c>
      <c r="S72" s="47">
        <f>((IF(Prof_Mode="parabolic",Prof_Z0+Prof_G1*(($Q$72)-Prof_Sta0)+Prof_Kq*(($Q$72)-Prof_Sta0)^2,IF(($Q$72)&lt;=Prof_PISta,Prof_Z0+Prof_G1*(($Q$72)-Prof_Sta0),Prof_PIZ+Prof_G2*(($Q$72)-Prof_PISta)))+Bm1_dCL-Deck_T)-((Sp2_ZA+(Sp2_ZB-Sp2_ZA)*((($Q$72)-Sp2_BrgA)/Sp2_Lb)-Sup_Drop+Sp2_C/3*((($Q$72)-Sp2_BrgA)/Sp2_Lb)*(1-((($Q$72)-Sp2_BrgA)/Sp2_Lb))+(Bm1_Raise)/12)+Bm_D))*$Q$6</f>
        <v>3.3104522097619338</v>
      </c>
    </row>
    <row r="73" spans="17:19" x14ac:dyDescent="0.45">
      <c r="Q73" s="47">
        <f>Sp2_Bm0+24/40*(Sp2_Bm1-Sp2_Bm0)</f>
        <v>1763.41</v>
      </c>
      <c r="R73" s="47">
        <f>(((Sp2_ZA+(Sp2_ZB-Sp2_ZA)*((($Q$73)-Sp2_BrgA)/Sp2_Lb)-Sup_Drop+Sp2_C/3*((($Q$73)-Sp2_BrgA)/Sp2_Lb)*(1-((($Q$73)-Sp2_BrgA)/Sp2_Lb))+(Bm1_Raise)/12)+Bm_D)-((Sp2_ZA+(Sp2_ZB-Sp2_ZA)*(($Q$73)-Sp2_BrgA)/Sp2_Lb)-Sup_Drop+Bm_D+Bm1_Raise/12))*$Q$6</f>
        <v>1.8127305780140546</v>
      </c>
      <c r="S73" s="47">
        <f>((IF(Prof_Mode="parabolic",Prof_Z0+Prof_G1*(($Q$73)-Prof_Sta0)+Prof_Kq*(($Q$73)-Prof_Sta0)^2,IF(($Q$73)&lt;=Prof_PISta,Prof_Z0+Prof_G1*(($Q$73)-Prof_Sta0),Prof_PIZ+Prof_G2*(($Q$73)-Prof_PISta)))+Bm1_dCL-Deck_T)-((Sp2_ZA+(Sp2_ZB-Sp2_ZA)*((($Q$73)-Sp2_BrgA)/Sp2_Lb)-Sup_Drop+Sp2_C/3*((($Q$73)-Sp2_BrgA)/Sp2_Lb)*(1-((($Q$73)-Sp2_BrgA)/Sp2_Lb))+(Bm1_Raise)/12)+Bm_D))*$Q$6</f>
        <v>3.3445076321692113</v>
      </c>
    </row>
    <row r="74" spans="17:19" x14ac:dyDescent="0.45">
      <c r="Q74" s="47">
        <f>Sp2_Bm0+25/40*(Sp2_Bm1-Sp2_Bm0)</f>
        <v>1766.0231249999999</v>
      </c>
      <c r="R74" s="47">
        <f>(((Sp2_ZA+(Sp2_ZB-Sp2_ZA)*((($Q$74)-Sp2_BrgA)/Sp2_Lb)-Sup_Drop+Sp2_C/3*((($Q$74)-Sp2_BrgA)/Sp2_Lb)*(1-((($Q$74)-Sp2_BrgA)/Sp2_Lb))+(Bm1_Raise)/12)+Bm_D)-((Sp2_ZA+(Sp2_ZB-Sp2_ZA)*(($Q$74)-Sp2_BrgA)/Sp2_Lb)-Sup_Drop+Bm_D+Bm1_Raise/12))*$Q$6</f>
        <v>1.7689450349189428</v>
      </c>
      <c r="S74" s="47">
        <f>((IF(Prof_Mode="parabolic",Prof_Z0+Prof_G1*(($Q$74)-Prof_Sta0)+Prof_Kq*(($Q$74)-Prof_Sta0)^2,IF(($Q$74)&lt;=Prof_PISta,Prof_Z0+Prof_G1*(($Q$74)-Prof_Sta0),Prof_PIZ+Prof_G2*(($Q$74)-Prof_PISta)))+Bm1_dCL-Deck_T)-((Sp2_ZA+(Sp2_ZB-Sp2_ZA)*((($Q$74)-Sp2_BrgA)/Sp2_Lb)-Sup_Drop+Sp2_C/3*((($Q$74)-Sp2_BrgA)/Sp2_Lb)*(1-((($Q$74)-Sp2_BrgA)/Sp2_Lb))+(Bm1_Raise)/12)+Bm_D))*$Q$6</f>
        <v>3.3882931752646073</v>
      </c>
    </row>
    <row r="75" spans="17:19" x14ac:dyDescent="0.45">
      <c r="Q75" s="47">
        <f>Sp2_Bm0+26/40*(Sp2_Bm1-Sp2_Bm0)</f>
        <v>1768.63625</v>
      </c>
      <c r="R75" s="47">
        <f>(((Sp2_ZA+(Sp2_ZB-Sp2_ZA)*((($Q$75)-Sp2_BrgA)/Sp2_Lb)-Sup_Drop+Sp2_C/3*((($Q$75)-Sp2_BrgA)/Sp2_Lb)*(1-((($Q$75)-Sp2_BrgA)/Sp2_Lb))+(Bm1_Raise)/12)+Bm_D)-((Sp2_ZA+(Sp2_ZB-Sp2_ZA)*(($Q$75)-Sp2_BrgA)/Sp2_Lb)-Sup_Drop+Bm_D+Bm1_Raise/12))*$Q$6</f>
        <v>1.7154293711357127</v>
      </c>
      <c r="S75" s="47">
        <f>((IF(Prof_Mode="parabolic",Prof_Z0+Prof_G1*(($Q$75)-Prof_Sta0)+Prof_Kq*(($Q$75)-Prof_Sta0)^2,IF(($Q$75)&lt;=Prof_PISta,Prof_Z0+Prof_G1*(($Q$75)-Prof_Sta0),Prof_PIZ+Prof_G2*(($Q$75)-Prof_PISta)))+Bm1_dCL-Deck_T)-((Sp2_ZA+(Sp2_ZB-Sp2_ZA)*((($Q$75)-Sp2_BrgA)/Sp2_Lb)-Sup_Drop+Sp2_C/3*((($Q$75)-Sp2_BrgA)/Sp2_Lb)*(1-((($Q$75)-Sp2_BrgA)/Sp2_Lb))+(Bm1_Raise)/12)+Bm_D))*$Q$6</f>
        <v>3.4418088390475532</v>
      </c>
    </row>
    <row r="76" spans="17:19" x14ac:dyDescent="0.45">
      <c r="Q76" s="47">
        <f>Sp2_Bm0+27/40*(Sp2_Bm1-Sp2_Bm0)</f>
        <v>1771.2493750000001</v>
      </c>
      <c r="R76" s="47">
        <f>(((Sp2_ZA+(Sp2_ZB-Sp2_ZA)*((($Q$76)-Sp2_BrgA)/Sp2_Lb)-Sup_Drop+Sp2_C/3*((($Q$76)-Sp2_BrgA)/Sp2_Lb)*(1-((($Q$76)-Sp2_BrgA)/Sp2_Lb))+(Bm1_Raise)/12)+Bm_D)-((Sp2_ZA+(Sp2_ZB-Sp2_ZA)*(($Q$76)-Sp2_BrgA)/Sp2_Lb)-Sup_Drop+Bm_D+Bm1_Raise/12))*$Q$6</f>
        <v>1.6521835866649326</v>
      </c>
      <c r="S76" s="47">
        <f>((IF(Prof_Mode="parabolic",Prof_Z0+Prof_G1*(($Q$76)-Prof_Sta0)+Prof_Kq*(($Q$76)-Prof_Sta0)^2,IF(($Q$76)&lt;=Prof_PISta,Prof_Z0+Prof_G1*(($Q$76)-Prof_Sta0),Prof_PIZ+Prof_G2*(($Q$76)-Prof_PISta)))+Bm1_dCL-Deck_T)-((Sp2_ZA+(Sp2_ZB-Sp2_ZA)*((($Q$76)-Sp2_BrgA)/Sp2_Lb)-Sup_Drop+Sp2_C/3*((($Q$76)-Sp2_BrgA)/Sp2_Lb)*(1-((($Q$76)-Sp2_BrgA)/Sp2_Lb))+(Bm1_Raise)/12)+Bm_D))*$Q$6</f>
        <v>3.5050546235186175</v>
      </c>
    </row>
    <row r="77" spans="17:19" x14ac:dyDescent="0.45">
      <c r="Q77" s="47">
        <f>Sp2_Bm0+28/40*(Sp2_Bm1-Sp2_Bm0)</f>
        <v>1773.8625</v>
      </c>
      <c r="R77" s="47">
        <f>(((Sp2_ZA+(Sp2_ZB-Sp2_ZA)*((($Q$77)-Sp2_BrgA)/Sp2_Lb)-Sup_Drop+Sp2_C/3*((($Q$77)-Sp2_BrgA)/Sp2_Lb)*(1-((($Q$77)-Sp2_BrgA)/Sp2_Lb))+(Bm1_Raise)/12)+Bm_D)-((Sp2_ZA+(Sp2_ZB-Sp2_ZA)*(($Q$77)-Sp2_BrgA)/Sp2_Lb)-Sup_Drop+Bm_D+Bm1_Raise/12))*$Q$6</f>
        <v>1.5792076815060341</v>
      </c>
      <c r="S77" s="47">
        <f>((IF(Prof_Mode="parabolic",Prof_Z0+Prof_G1*(($Q$77)-Prof_Sta0)+Prof_Kq*(($Q$77)-Prof_Sta0)^2,IF(($Q$77)&lt;=Prof_PISta,Prof_Z0+Prof_G1*(($Q$77)-Prof_Sta0),Prof_PIZ+Prof_G2*(($Q$77)-Prof_PISta)))+Bm1_dCL-Deck_T)-((Sp2_ZA+(Sp2_ZB-Sp2_ZA)*((($Q$77)-Sp2_BrgA)/Sp2_Lb)-Sup_Drop+Sp2_C/3*((($Q$77)-Sp2_BrgA)/Sp2_Lb)*(1-((($Q$77)-Sp2_BrgA)/Sp2_Lb))+(Bm1_Raise)/12)+Bm_D))*$Q$6</f>
        <v>3.5780305286772318</v>
      </c>
    </row>
    <row r="78" spans="17:19" x14ac:dyDescent="0.45">
      <c r="Q78" s="47">
        <f>Sp2_Bm0+29/40*(Sp2_Bm1-Sp2_Bm0)</f>
        <v>1776.475625</v>
      </c>
      <c r="R78" s="47">
        <f>(((Sp2_ZA+(Sp2_ZB-Sp2_ZA)*((($Q$78)-Sp2_BrgA)/Sp2_Lb)-Sup_Drop+Sp2_C/3*((($Q$78)-Sp2_BrgA)/Sp2_Lb)*(1-((($Q$78)-Sp2_BrgA)/Sp2_Lb))+(Bm1_Raise)/12)+Bm_D)-((Sp2_ZA+(Sp2_ZB-Sp2_ZA)*(($Q$78)-Sp2_BrgA)/Sp2_Lb)-Sup_Drop+Bm_D+Bm1_Raise/12))*$Q$6</f>
        <v>1.4965016556595856</v>
      </c>
      <c r="S78" s="47">
        <f>((IF(Prof_Mode="parabolic",Prof_Z0+Prof_G1*(($Q$78)-Prof_Sta0)+Prof_Kq*(($Q$78)-Prof_Sta0)^2,IF(($Q$78)&lt;=Prof_PISta,Prof_Z0+Prof_G1*(($Q$78)-Prof_Sta0),Prof_PIZ+Prof_G2*(($Q$78)-Prof_PISta)))+Bm1_dCL-Deck_T)-((Sp2_ZA+(Sp2_ZB-Sp2_ZA)*((($Q$78)-Sp2_BrgA)/Sp2_Lb)-Sup_Drop+Sp2_C/3*((($Q$78)-Sp2_BrgA)/Sp2_Lb)*(1-((($Q$78)-Sp2_BrgA)/Sp2_Lb))+(Bm1_Raise)/12)+Bm_D))*$Q$6</f>
        <v>3.6607365545236803</v>
      </c>
    </row>
    <row r="79" spans="17:19" x14ac:dyDescent="0.45">
      <c r="Q79" s="47">
        <f>Sp2_Bm0+30/40*(Sp2_Bm1-Sp2_Bm0)</f>
        <v>1779.0887499999999</v>
      </c>
      <c r="R79" s="47">
        <f>(((Sp2_ZA+(Sp2_ZB-Sp2_ZA)*((($Q$79)-Sp2_BrgA)/Sp2_Lb)-Sup_Drop+Sp2_C/3*((($Q$79)-Sp2_BrgA)/Sp2_Lb)*(1-((($Q$79)-Sp2_BrgA)/Sp2_Lb))+(Bm1_Raise)/12)+Bm_D)-((Sp2_ZA+(Sp2_ZB-Sp2_ZA)*(($Q$79)-Sp2_BrgA)/Sp2_Lb)-Sup_Drop+Bm_D+Bm1_Raise/12))*$Q$6</f>
        <v>1.4040655091253029</v>
      </c>
      <c r="S79" s="47">
        <f>((IF(Prof_Mode="parabolic",Prof_Z0+Prof_G1*(($Q$79)-Prof_Sta0)+Prof_Kq*(($Q$79)-Prof_Sta0)^2,IF(($Q$79)&lt;=Prof_PISta,Prof_Z0+Prof_G1*(($Q$79)-Prof_Sta0),Prof_PIZ+Prof_G2*(($Q$79)-Prof_PISta)))+Bm1_dCL-Deck_T)-((Sp2_ZA+(Sp2_ZB-Sp2_ZA)*((($Q$79)-Sp2_BrgA)/Sp2_Lb)-Sup_Drop+Sp2_C/3*((($Q$79)-Sp2_BrgA)/Sp2_Lb)*(1-((($Q$79)-Sp2_BrgA)/Sp2_Lb))+(Bm1_Raise)/12)+Bm_D))*$Q$6</f>
        <v>3.753172701057963</v>
      </c>
    </row>
    <row r="80" spans="17:19" x14ac:dyDescent="0.45">
      <c r="Q80" s="47">
        <f>Sp2_Bm0+31/40*(Sp2_Bm1-Sp2_Bm0)</f>
        <v>1781.701875</v>
      </c>
      <c r="R80" s="47">
        <f>(((Sp2_ZA+(Sp2_ZB-Sp2_ZA)*((($Q$80)-Sp2_BrgA)/Sp2_Lb)-Sup_Drop+Sp2_C/3*((($Q$80)-Sp2_BrgA)/Sp2_Lb)*(1-((($Q$80)-Sp2_BrgA)/Sp2_Lb))+(Bm1_Raise)/12)+Bm_D)-((Sp2_ZA+(Sp2_ZB-Sp2_ZA)*(($Q$80)-Sp2_BrgA)/Sp2_Lb)-Sup_Drop+Bm_D+Bm1_Raise/12))*$Q$6</f>
        <v>1.3018992419029018</v>
      </c>
      <c r="S80" s="47">
        <f>((IF(Prof_Mode="parabolic",Prof_Z0+Prof_G1*(($Q$80)-Prof_Sta0)+Prof_Kq*(($Q$80)-Prof_Sta0)^2,IF(($Q$80)&lt;=Prof_PISta,Prof_Z0+Prof_G1*(($Q$80)-Prof_Sta0),Prof_PIZ+Prof_G2*(($Q$80)-Prof_PISta)))+Bm1_dCL-Deck_T)-((Sp2_ZA+(Sp2_ZB-Sp2_ZA)*((($Q$80)-Sp2_BrgA)/Sp2_Lb)-Sup_Drop+Sp2_C/3*((($Q$80)-Sp2_BrgA)/Sp2_Lb)*(1-((($Q$80)-Sp2_BrgA)/Sp2_Lb))+(Bm1_Raise)/12)+Bm_D))*$Q$6</f>
        <v>3.855338968280364</v>
      </c>
    </row>
    <row r="81" spans="16:19" x14ac:dyDescent="0.45">
      <c r="Q81" s="47">
        <f>Sp2_Bm0+32/40*(Sp2_Bm1-Sp2_Bm0)</f>
        <v>1784.3150000000001</v>
      </c>
      <c r="R81" s="47">
        <f>(((Sp2_ZA+(Sp2_ZB-Sp2_ZA)*((($Q$81)-Sp2_BrgA)/Sp2_Lb)-Sup_Drop+Sp2_C/3*((($Q$81)-Sp2_BrgA)/Sp2_Lb)*(1-((($Q$81)-Sp2_BrgA)/Sp2_Lb))+(Bm1_Raise)/12)+Bm_D)-((Sp2_ZA+(Sp2_ZB-Sp2_ZA)*(($Q$81)-Sp2_BrgA)/Sp2_Lb)-Sup_Drop+Bm_D+Bm1_Raise/12))*$Q$6</f>
        <v>1.1900028539929508</v>
      </c>
      <c r="S81" s="47">
        <f>((IF(Prof_Mode="parabolic",Prof_Z0+Prof_G1*(($Q$81)-Prof_Sta0)+Prof_Kq*(($Q$81)-Prof_Sta0)^2,IF(($Q$81)&lt;=Prof_PISta,Prof_Z0+Prof_G1*(($Q$81)-Prof_Sta0),Prof_PIZ+Prof_G2*(($Q$81)-Prof_PISta)))+Bm1_dCL-Deck_T)-((Sp2_ZA+(Sp2_ZB-Sp2_ZA)*((($Q$81)-Sp2_BrgA)/Sp2_Lb)-Sup_Drop+Sp2_C/3*((($Q$81)-Sp2_BrgA)/Sp2_Lb)*(1-((($Q$81)-Sp2_BrgA)/Sp2_Lb))+(Bm1_Raise)/12)+Bm_D))*$Q$6</f>
        <v>3.9672353561903151</v>
      </c>
    </row>
    <row r="82" spans="16:19" x14ac:dyDescent="0.45">
      <c r="Q82" s="47">
        <f>Sp2_Bm0+33/40*(Sp2_Bm1-Sp2_Bm0)</f>
        <v>1786.9281249999999</v>
      </c>
      <c r="R82" s="47">
        <f>(((Sp2_ZA+(Sp2_ZB-Sp2_ZA)*((($Q$82)-Sp2_BrgA)/Sp2_Lb)-Sup_Drop+Sp2_C/3*((($Q$82)-Sp2_BrgA)/Sp2_Lb)*(1-((($Q$82)-Sp2_BrgA)/Sp2_Lb))+(Bm1_Raise)/12)+Bm_D)-((Sp2_ZA+(Sp2_ZB-Sp2_ZA)*(($Q$82)-Sp2_BrgA)/Sp2_Lb)-Sup_Drop+Bm_D+Bm1_Raise/12))*$Q$6</f>
        <v>1.0683763453951656</v>
      </c>
      <c r="S82" s="47">
        <f>((IF(Prof_Mode="parabolic",Prof_Z0+Prof_G1*(($Q$82)-Prof_Sta0)+Prof_Kq*(($Q$82)-Prof_Sta0)^2,IF(($Q$82)&lt;=Prof_PISta,Prof_Z0+Prof_G1*(($Q$82)-Prof_Sta0),Prof_PIZ+Prof_G2*(($Q$82)-Prof_PISta)))+Bm1_dCL-Deck_T)-((Sp2_ZA+(Sp2_ZB-Sp2_ZA)*((($Q$82)-Sp2_BrgA)/Sp2_Lb)-Sup_Drop+Sp2_C/3*((($Q$82)-Sp2_BrgA)/Sp2_Lb)*(1-((($Q$82)-Sp2_BrgA)/Sp2_Lb))+(Bm1_Raise)/12)+Bm_D))*$Q$6</f>
        <v>4.0888618647881003</v>
      </c>
    </row>
    <row r="83" spans="16:19" x14ac:dyDescent="0.45">
      <c r="Q83" s="47">
        <f>Sp2_Bm0+34/40*(Sp2_Bm1-Sp2_Bm0)</f>
        <v>1789.54125</v>
      </c>
      <c r="R83" s="47">
        <f>(((Sp2_ZA+(Sp2_ZB-Sp2_ZA)*((($Q$83)-Sp2_BrgA)/Sp2_Lb)-Sup_Drop+Sp2_C/3*((($Q$83)-Sp2_BrgA)/Sp2_Lb)*(1-((($Q$83)-Sp2_BrgA)/Sp2_Lb))+(Bm1_Raise)/12)+Bm_D)-((Sp2_ZA+(Sp2_ZB-Sp2_ZA)*(($Q$83)-Sp2_BrgA)/Sp2_Lb)-Sup_Drop+Bm_D+Bm1_Raise/12))*$Q$6</f>
        <v>0.93701971610926194</v>
      </c>
      <c r="S83" s="47">
        <f>((IF(Prof_Mode="parabolic",Prof_Z0+Prof_G1*(($Q$83)-Prof_Sta0)+Prof_Kq*(($Q$83)-Prof_Sta0)^2,IF(($Q$83)&lt;=Prof_PISta,Prof_Z0+Prof_G1*(($Q$83)-Prof_Sta0),Prof_PIZ+Prof_G2*(($Q$83)-Prof_PISta)))+Bm1_dCL-Deck_T)-((Sp2_ZA+(Sp2_ZB-Sp2_ZA)*((($Q$83)-Sp2_BrgA)/Sp2_Lb)-Sup_Drop+Sp2_C/3*((($Q$83)-Sp2_BrgA)/Sp2_Lb)*(1-((($Q$83)-Sp2_BrgA)/Sp2_Lb))+(Bm1_Raise)/12)+Bm_D))*$Q$6</f>
        <v>4.220218494074004</v>
      </c>
    </row>
    <row r="84" spans="16:19" x14ac:dyDescent="0.45">
      <c r="Q84" s="47">
        <f>Sp2_Bm0+35/40*(Sp2_Bm1-Sp2_Bm0)</f>
        <v>1792.1543750000001</v>
      </c>
      <c r="R84" s="47">
        <f>(((Sp2_ZA+(Sp2_ZB-Sp2_ZA)*((($Q$84)-Sp2_BrgA)/Sp2_Lb)-Sup_Drop+Sp2_C/3*((($Q$84)-Sp2_BrgA)/Sp2_Lb)*(1-((($Q$84)-Sp2_BrgA)/Sp2_Lb))+(Bm1_Raise)/12)+Bm_D)-((Sp2_ZA+(Sp2_ZB-Sp2_ZA)*(($Q$84)-Sp2_BrgA)/Sp2_Lb)-Sup_Drop+Bm_D+Bm1_Raise/12))*$Q$6</f>
        <v>0.79593296613580833</v>
      </c>
      <c r="S84" s="47">
        <f>((IF(Prof_Mode="parabolic",Prof_Z0+Prof_G1*(($Q$84)-Prof_Sta0)+Prof_Kq*(($Q$84)-Prof_Sta0)^2,IF(($Q$84)&lt;=Prof_PISta,Prof_Z0+Prof_G1*(($Q$84)-Prof_Sta0),Prof_PIZ+Prof_G2*(($Q$84)-Prof_PISta)))+Bm1_dCL-Deck_T)-((Sp2_ZA+(Sp2_ZB-Sp2_ZA)*((($Q$84)-Sp2_BrgA)/Sp2_Lb)-Sup_Drop+Sp2_C/3*((($Q$84)-Sp2_BrgA)/Sp2_Lb)*(1-((($Q$84)-Sp2_BrgA)/Sp2_Lb))+(Bm1_Raise)/12)+Bm_D))*$Q$6</f>
        <v>4.3613052440474576</v>
      </c>
    </row>
    <row r="85" spans="16:19" x14ac:dyDescent="0.45">
      <c r="Q85" s="47">
        <f>Sp2_Bm0+36/40*(Sp2_Bm1-Sp2_Bm0)</f>
        <v>1794.7674999999999</v>
      </c>
      <c r="R85" s="47">
        <f>(((Sp2_ZA+(Sp2_ZB-Sp2_ZA)*((($Q$85)-Sp2_BrgA)/Sp2_Lb)-Sup_Drop+Sp2_C/3*((($Q$85)-Sp2_BrgA)/Sp2_Lb)*(1-((($Q$85)-Sp2_BrgA)/Sp2_Lb))+(Bm1_Raise)/12)+Bm_D)-((Sp2_ZA+(Sp2_ZB-Sp2_ZA)*(($Q$85)-Sp2_BrgA)/Sp2_Lb)-Sup_Drop+Bm_D+Bm1_Raise/12))*$Q$6</f>
        <v>0.64511609547452053</v>
      </c>
      <c r="S85" s="47">
        <f>((IF(Prof_Mode="parabolic",Prof_Z0+Prof_G1*(($Q$85)-Prof_Sta0)+Prof_Kq*(($Q$85)-Prof_Sta0)^2,IF(($Q$85)&lt;=Prof_PISta,Prof_Z0+Prof_G1*(($Q$85)-Prof_Sta0),Prof_PIZ+Prof_G2*(($Q$85)-Prof_PISta)))+Bm1_dCL-Deck_T)-((Sp2_ZA+(Sp2_ZB-Sp2_ZA)*((($Q$85)-Sp2_BrgA)/Sp2_Lb)-Sup_Drop+Sp2_C/3*((($Q$85)-Sp2_BrgA)/Sp2_Lb)*(1-((($Q$85)-Sp2_BrgA)/Sp2_Lb))+(Bm1_Raise)/12)+Bm_D))*$Q$6</f>
        <v>4.5121221147087454</v>
      </c>
    </row>
    <row r="86" spans="16:19" x14ac:dyDescent="0.45">
      <c r="Q86" s="47">
        <f>Sp2_Bm0+37/40*(Sp2_Bm1-Sp2_Bm0)</f>
        <v>1797.380625</v>
      </c>
      <c r="R86" s="47">
        <f>(((Sp2_ZA+(Sp2_ZB-Sp2_ZA)*((($Q$86)-Sp2_BrgA)/Sp2_Lb)-Sup_Drop+Sp2_C/3*((($Q$86)-Sp2_BrgA)/Sp2_Lb)*(1-((($Q$86)-Sp2_BrgA)/Sp2_Lb))+(Bm1_Raise)/12)+Bm_D)-((Sp2_ZA+(Sp2_ZB-Sp2_ZA)*(($Q$86)-Sp2_BrgA)/Sp2_Lb)-Sup_Drop+Bm_D+Bm1_Raise/12))*$Q$6</f>
        <v>0.48456910412539855</v>
      </c>
      <c r="S86" s="47">
        <f>((IF(Prof_Mode="parabolic",Prof_Z0+Prof_G1*(($Q$86)-Prof_Sta0)+Prof_Kq*(($Q$86)-Prof_Sta0)^2,IF(($Q$86)&lt;=Prof_PISta,Prof_Z0+Prof_G1*(($Q$86)-Prof_Sta0),Prof_PIZ+Prof_G2*(($Q$86)-Prof_PISta)))+Bm1_dCL-Deck_T)-((Sp2_ZA+(Sp2_ZB-Sp2_ZA)*((($Q$86)-Sp2_BrgA)/Sp2_Lb)-Sup_Drop+Sp2_C/3*((($Q$86)-Sp2_BrgA)/Sp2_Lb)*(1-((($Q$86)-Sp2_BrgA)/Sp2_Lb))+(Bm1_Raise)/12)+Bm_D))*$Q$6</f>
        <v>4.6726691060578673</v>
      </c>
    </row>
    <row r="87" spans="16:19" x14ac:dyDescent="0.45">
      <c r="Q87" s="47">
        <f>Sp2_Bm0+38/40*(Sp2_Bm1-Sp2_Bm0)</f>
        <v>1799.9937500000001</v>
      </c>
      <c r="R87" s="47">
        <f>(((Sp2_ZA+(Sp2_ZB-Sp2_ZA)*((($Q$87)-Sp2_BrgA)/Sp2_Lb)-Sup_Drop+Sp2_C/3*((($Q$87)-Sp2_BrgA)/Sp2_Lb)*(1-((($Q$87)-Sp2_BrgA)/Sp2_Lb))+(Bm1_Raise)/12)+Bm_D)-((Sp2_ZA+(Sp2_ZB-Sp2_ZA)*(($Q$87)-Sp2_BrgA)/Sp2_Lb)-Sup_Drop+Bm_D+Bm1_Raise/12))*$Q$6</f>
        <v>0.31429199208844238</v>
      </c>
      <c r="S87" s="47">
        <f>((IF(Prof_Mode="parabolic",Prof_Z0+Prof_G1*(($Q$87)-Prof_Sta0)+Prof_Kq*(($Q$87)-Prof_Sta0)^2,IF(($Q$87)&lt;=Prof_PISta,Prof_Z0+Prof_G1*(($Q$87)-Prof_Sta0),Prof_PIZ+Prof_G2*(($Q$87)-Prof_PISta)))+Bm1_dCL-Deck_T)-((Sp2_ZA+(Sp2_ZB-Sp2_ZA)*((($Q$87)-Sp2_BrgA)/Sp2_Lb)-Sup_Drop+Sp2_C/3*((($Q$87)-Sp2_BrgA)/Sp2_Lb)*(1-((($Q$87)-Sp2_BrgA)/Sp2_Lb))+(Bm1_Raise)/12)+Bm_D))*$Q$6</f>
        <v>4.8429462180948235</v>
      </c>
    </row>
    <row r="88" spans="16:19" x14ac:dyDescent="0.45">
      <c r="Q88" s="47">
        <f>Sp2_Bm0+39/40*(Sp2_Bm1-Sp2_Bm0)</f>
        <v>1802.6068749999999</v>
      </c>
      <c r="R88" s="47">
        <f>(((Sp2_ZA+(Sp2_ZB-Sp2_ZA)*((($Q$88)-Sp2_BrgA)/Sp2_Lb)-Sup_Drop+Sp2_C/3*((($Q$88)-Sp2_BrgA)/Sp2_Lb)*(1-((($Q$88)-Sp2_BrgA)/Sp2_Lb))+(Bm1_Raise)/12)+Bm_D)-((Sp2_ZA+(Sp2_ZB-Sp2_ZA)*(($Q$88)-Sp2_BrgA)/Sp2_Lb)-Sup_Drop+Bm_D+Bm1_Raise/12))*$Q$6</f>
        <v>0.13428475936336781</v>
      </c>
      <c r="S88" s="47">
        <f>((IF(Prof_Mode="parabolic",Prof_Z0+Prof_G1*(($Q$88)-Prof_Sta0)+Prof_Kq*(($Q$88)-Prof_Sta0)^2,IF(($Q$88)&lt;=Prof_PISta,Prof_Z0+Prof_G1*(($Q$88)-Prof_Sta0),Prof_PIZ+Prof_G2*(($Q$88)-Prof_PISta)))+Bm1_dCL-Deck_T)-((Sp2_ZA+(Sp2_ZB-Sp2_ZA)*((($Q$88)-Sp2_BrgA)/Sp2_Lb)-Sup_Drop+Sp2_C/3*((($Q$88)-Sp2_BrgA)/Sp2_Lb)*(1-((($Q$88)-Sp2_BrgA)/Sp2_Lb))+(Bm1_Raise)/12)+Bm_D))*$Q$6</f>
        <v>5.0229534508198981</v>
      </c>
    </row>
    <row r="89" spans="16:19" x14ac:dyDescent="0.45">
      <c r="Q89" s="47">
        <f>Sp2_Bm0+40/40*(Sp2_Bm1-Sp2_Bm0)</f>
        <v>1805.22</v>
      </c>
      <c r="R89" s="47">
        <f>(((Sp2_ZA+(Sp2_ZB-Sp2_ZA)*((($Q$89)-Sp2_BrgA)/Sp2_Lb)-Sup_Drop+Sp2_C/3*((($Q$89)-Sp2_BrgA)/Sp2_Lb)*(1-((($Q$89)-Sp2_BrgA)/Sp2_Lb))+(Bm1_Raise)/12)+Bm_D)-((Sp2_ZA+(Sp2_ZB-Sp2_ZA)*(($Q$89)-Sp2_BrgA)/Sp2_Lb)-Sup_Drop+Bm_D+Bm1_Raise/12))*$Q$6</f>
        <v>-5.5452594049256732E-2</v>
      </c>
      <c r="S89" s="47">
        <f>((IF(Prof_Mode="parabolic",Prof_Z0+Prof_G1*(($Q$89)-Prof_Sta0)+Prof_Kq*(($Q$89)-Prof_Sta0)^2,IF(($Q$89)&lt;=Prof_PISta,Prof_Z0+Prof_G1*(($Q$89)-Prof_Sta0),Prof_PIZ+Prof_G2*(($Q$89)-Prof_PISta)))+Bm1_dCL-Deck_T)-((Sp2_ZA+(Sp2_ZB-Sp2_ZA)*((($Q$89)-Sp2_BrgA)/Sp2_Lb)-Sup_Drop+Sp2_C/3*((($Q$89)-Sp2_BrgA)/Sp2_Lb)*(1-((($Q$89)-Sp2_BrgA)/Sp2_Lb))+(Bm1_Raise)/12)+Bm_D))*$Q$6</f>
        <v>5.2126908042325226</v>
      </c>
    </row>
    <row r="91" spans="16:19" x14ac:dyDescent="0.45">
      <c r="P91" s="44" t="s">
        <v>995</v>
      </c>
      <c r="Q91" s="47">
        <f>Sp2_Bm0</f>
        <v>1700.6949999999999</v>
      </c>
      <c r="R91" s="47">
        <f>0</f>
        <v>0</v>
      </c>
    </row>
    <row r="92" spans="16:19" x14ac:dyDescent="0.45">
      <c r="Q92" s="47">
        <f>Sp2_Bm1</f>
        <v>1805.22</v>
      </c>
      <c r="R92" s="47">
        <f>0</f>
        <v>0</v>
      </c>
    </row>
    <row r="94" spans="16:19" x14ac:dyDescent="0.45">
      <c r="P94" s="44" t="s">
        <v>996</v>
      </c>
      <c r="Q94" s="47">
        <f>$Q$17</f>
        <v>1726.8262500000001</v>
      </c>
      <c r="R94" s="47">
        <f>$R$17</f>
        <v>5.1572382101832659</v>
      </c>
    </row>
    <row r="96" spans="16:19" x14ac:dyDescent="0.45">
      <c r="P96" s="44" t="str">
        <f>"cambered beam top, C = "&amp;TEXT(Sp2_C,"0.000")&amp;" in"</f>
        <v>cambered beam top, C = 0.567 in</v>
      </c>
      <c r="Q96" s="47">
        <f>$Q$64</f>
        <v>1739.891875</v>
      </c>
      <c r="R96" s="47">
        <f>$R$64</f>
        <v>1.7689450349189428</v>
      </c>
    </row>
    <row r="98" spans="16:18" x14ac:dyDescent="0.45">
      <c r="P98" s="44" t="s">
        <v>997</v>
      </c>
      <c r="Q98" s="47">
        <f>Sp2_Bm0+0.75*(Sp2_Bm1-Sp2_Bm0)</f>
        <v>1779.0887499999999</v>
      </c>
      <c r="R98" s="47">
        <f>0</f>
        <v>0</v>
      </c>
    </row>
    <row r="100" spans="16:18" x14ac:dyDescent="0.45">
      <c r="P100" s="44" t="s">
        <v>998</v>
      </c>
      <c r="Q100" s="47">
        <f>Sp2_BrgA</f>
        <v>1701.4449999999999</v>
      </c>
      <c r="R100" s="47">
        <f>(((Sp2_ZA+(Sp2_ZB-Sp2_ZA)*(((Sp2_BrgA)-Sp2_BrgA)/Sp2_Lb)-Sup_Drop+Sp2_C/3*(((Sp2_BrgA)-Sp2_BrgA)/Sp2_Lb)*(1-(((Sp2_BrgA)-Sp2_BrgA)/Sp2_Lb))+(Bm1_Raise)/12)+Bm_D)-((Sp2_ZA+(Sp2_ZB-Sp2_ZA)*((Sp2_BrgA)-Sp2_BrgA)/Sp2_Lb)-Sup_Drop+Bm_D+Bm1_Raise/12))*$Q$6</f>
        <v>0</v>
      </c>
    </row>
    <row r="101" spans="16:18" x14ac:dyDescent="0.45">
      <c r="Q101" s="47">
        <f>Sp2_BrgA</f>
        <v>1701.4449999999999</v>
      </c>
      <c r="R101" s="47">
        <f>((IF(Prof_Mode="parabolic",Prof_Z0+Prof_G1*((Sp2_BrgA)-Prof_Sta0)+Prof_Kq*((Sp2_BrgA)-Prof_Sta0)^2,IF((Sp2_BrgA)&lt;=Prof_PISta,Prof_Z0+Prof_G1*((Sp2_BrgA)-Prof_Sta0),Prof_PIZ+Prof_G2*((Sp2_BrgA)-Prof_PISta)))+Bm1_dCL-Deck_T)-((Sp2_ZA+(Sp2_ZB-Sp2_ZA)*((Sp2_BrgA)-Sp2_BrgA)/Sp2_Lb)-Sup_Drop+Bm_D+Bm1_Raise/12))*$Q$6</f>
        <v>5.1572382101832659</v>
      </c>
    </row>
    <row r="103" spans="16:18" x14ac:dyDescent="0.45">
      <c r="P103" s="44" t="str">
        <f>"Dim B"&amp;CHAR(10)&amp;TEXT('Camber &amp; Haunch'!C40,"0.000")&amp;" in"</f>
        <v>Dim B
1.547 in</v>
      </c>
      <c r="Q103" s="47">
        <f>Sp2_BrgA</f>
        <v>1701.4449999999999</v>
      </c>
      <c r="R103" s="47">
        <f>((IF(Prof_Mode="parabolic",Prof_Z0+Prof_G1*((Sp2_BrgA)-Prof_Sta0)+Prof_Kq*((Sp2_BrgA)-Prof_Sta0)^2,IF((Sp2_BrgA)&lt;=Prof_PISta,Prof_Z0+Prof_G1*((Sp2_BrgA)-Prof_Sta0),Prof_PIZ+Prof_G2*((Sp2_BrgA)-Prof_PISta)))+Bm1_dCL-Deck_T)-((Sp2_ZA+(Sp2_ZB-Sp2_ZA)*((Sp2_BrgA)-Sp2_BrgA)/Sp2_Lb)-Sup_Drop+Bm_D+Bm1_Raise/12))*$Q$6</f>
        <v>5.1572382101832659</v>
      </c>
    </row>
    <row r="105" spans="16:18" x14ac:dyDescent="0.45">
      <c r="P105" s="44" t="s">
        <v>999</v>
      </c>
      <c r="Q105" s="47">
        <f>Sp2_Mid</f>
        <v>1752.9575</v>
      </c>
      <c r="R105" s="47">
        <f>(((Sp2_ZA+(Sp2_ZB-Sp2_ZA)*(((Sp2_Mid)-Sp2_BrgA)/Sp2_Lb)-Sup_Drop+Sp2_C/3*(((Sp2_Mid)-Sp2_BrgA)/Sp2_Lb)*(1-(((Sp2_Mid)-Sp2_BrgA)/Sp2_Lb))+(Bm1_Raise)/12)+Bm_D)-((Sp2_ZA+(Sp2_ZB-Sp2_ZA)*((Sp2_Mid)-Sp2_BrgA)/Sp2_Lb)-Sup_Drop+Bm_D+Bm1_Raise/12))*$Q$6</f>
        <v>1.8905715435167281</v>
      </c>
    </row>
    <row r="106" spans="16:18" x14ac:dyDescent="0.45">
      <c r="Q106" s="47">
        <f>Sp2_Mid</f>
        <v>1752.9575</v>
      </c>
      <c r="R106" s="47">
        <f>((IF(Prof_Mode="parabolic",Prof_Z0+Prof_G1*((Sp2_Mid)-Prof_Sta0)+Prof_Kq*((Sp2_Mid)-Prof_Sta0)^2,IF((Sp2_Mid)&lt;=Prof_PISta,Prof_Z0+Prof_G1*((Sp2_Mid)-Prof_Sta0),Prof_PIZ+Prof_G2*((Sp2_Mid)-Prof_PISta)))+Bm1_dCL-Deck_T)-((Sp2_ZA+(Sp2_ZB-Sp2_ZA)*((Sp2_Mid)-Sp2_BrgA)/Sp2_Lb)-Sup_Drop+Bm_D+Bm1_Raise/12))*$Q$6</f>
        <v>5.1572382101832659</v>
      </c>
    </row>
    <row r="108" spans="16:18" x14ac:dyDescent="0.45">
      <c r="P108" s="44" t="str">
        <f>"Dim C"&amp;CHAR(10)&amp;TEXT('Camber &amp; Haunch'!D40,"0.000")&amp;" in"</f>
        <v>Dim C
0.980 in</v>
      </c>
      <c r="Q108" s="47">
        <f>Sp2_Mid</f>
        <v>1752.9575</v>
      </c>
      <c r="R108" s="47">
        <f>((IF(Prof_Mode="parabolic",Prof_Z0+Prof_G1*((Sp2_Mid)-Prof_Sta0)+Prof_Kq*((Sp2_Mid)-Prof_Sta0)^2,IF((Sp2_Mid)&lt;=Prof_PISta,Prof_Z0+Prof_G1*((Sp2_Mid)-Prof_Sta0),Prof_PIZ+Prof_G2*((Sp2_Mid)-Prof_PISta)))+Bm1_dCL-Deck_T)-((Sp2_ZA+(Sp2_ZB-Sp2_ZA)*((Sp2_Mid)-Sp2_BrgA)/Sp2_Lb)-Sup_Drop+Bm_D+Bm1_Raise/12))*$Q$6</f>
        <v>5.1572382101832659</v>
      </c>
    </row>
    <row r="110" spans="16:18" x14ac:dyDescent="0.45">
      <c r="P110" s="44" t="s">
        <v>1000</v>
      </c>
      <c r="Q110" s="47">
        <f>Sp2_BrgB</f>
        <v>1804.47</v>
      </c>
      <c r="R110" s="47">
        <f>(((Sp2_ZA+(Sp2_ZB-Sp2_ZA)*(((Sp2_BrgB)-Sp2_BrgA)/Sp2_Lb)-Sup_Drop+Sp2_C/3*(((Sp2_BrgB)-Sp2_BrgA)/Sp2_Lb)*(1-(((Sp2_BrgB)-Sp2_BrgA)/Sp2_Lb))+(Bm1_Raise)/12)+Bm_D)-((Sp2_ZA+(Sp2_ZB-Sp2_ZA)*((Sp2_BrgB)-Sp2_BrgA)/Sp2_Lb)-Sup_Drop+Bm_D+Bm1_Raise/12))*$Q$6</f>
        <v>0</v>
      </c>
    </row>
    <row r="111" spans="16:18" x14ac:dyDescent="0.45">
      <c r="Q111" s="47">
        <f>Sp2_BrgB</f>
        <v>1804.47</v>
      </c>
      <c r="R111" s="47">
        <f>((IF(Prof_Mode="parabolic",Prof_Z0+Prof_G1*((Sp2_BrgB)-Prof_Sta0)+Prof_Kq*((Sp2_BrgB)-Prof_Sta0)^2,IF((Sp2_BrgB)&lt;=Prof_PISta,Prof_Z0+Prof_G1*((Sp2_BrgB)-Prof_Sta0),Prof_PIZ+Prof_G2*((Sp2_BrgB)-Prof_PISta)))+Bm1_dCL-Deck_T)-((Sp2_ZA+(Sp2_ZB-Sp2_ZA)*((Sp2_BrgB)-Sp2_BrgA)/Sp2_Lb)-Sup_Drop+Bm_D+Bm1_Raise/12))*$Q$6</f>
        <v>5.1572382101832659</v>
      </c>
    </row>
    <row r="113" spans="16:18" x14ac:dyDescent="0.45">
      <c r="P113" s="44" t="str">
        <f>"Dim D"&amp;CHAR(10)&amp;TEXT('Camber &amp; Haunch'!E40,"0.000")&amp;" in"</f>
        <v>Dim D
1.547 in</v>
      </c>
      <c r="Q113" s="47">
        <f>Sp2_BrgB</f>
        <v>1804.47</v>
      </c>
      <c r="R113" s="47">
        <f>((IF(Prof_Mode="parabolic",Prof_Z0+Prof_G1*((Sp2_BrgB)-Prof_Sta0)+Prof_Kq*((Sp2_BrgB)-Prof_Sta0)^2,IF((Sp2_BrgB)&lt;=Prof_PISta,Prof_Z0+Prof_G1*((Sp2_BrgB)-Prof_Sta0),Prof_PIZ+Prof_G2*((Sp2_BrgB)-Prof_PISta)))+Bm1_dCL-Deck_T)-((Sp2_ZA+(Sp2_ZB-Sp2_ZA)*((Sp2_BrgB)-Sp2_BrgA)/Sp2_Lb)-Sup_Drop+Bm_D+Bm1_Raise/12))*$Q$6</f>
        <v>5.1572382101832659</v>
      </c>
    </row>
    <row r="115" spans="16:18" x14ac:dyDescent="0.45">
      <c r="P115" s="44" t="s">
        <v>802</v>
      </c>
      <c r="Q115" s="47">
        <f>Sp2_Bm0-2</f>
        <v>1698.6949999999999</v>
      </c>
      <c r="R115" s="47">
        <f>-1.5</f>
        <v>-1.5</v>
      </c>
    </row>
    <row r="116" spans="16:18" x14ac:dyDescent="0.45">
      <c r="Q116" s="47">
        <f>Sp2_Bm1+2</f>
        <v>1807.22</v>
      </c>
      <c r="R116" s="47">
        <f>MAX(R7:R47)+2.5</f>
        <v>7.6572382101835501</v>
      </c>
    </row>
  </sheetData>
  <mergeCells count="27">
    <mergeCell ref="B14:M14"/>
    <mergeCell ref="C5:G5"/>
    <mergeCell ref="B5"/>
    <mergeCell ref="H7:J7"/>
    <mergeCell ref="K8:M8"/>
    <mergeCell ref="K6:M6"/>
    <mergeCell ref="H5:J5"/>
    <mergeCell ref="H8:J8"/>
    <mergeCell ref="B9"/>
    <mergeCell ref="C6:G6"/>
    <mergeCell ref="B6"/>
    <mergeCell ref="B32:M32"/>
    <mergeCell ref="C8:G8"/>
    <mergeCell ref="B8"/>
    <mergeCell ref="C7:G7"/>
    <mergeCell ref="B3:M3"/>
    <mergeCell ref="K9:M9"/>
    <mergeCell ref="K5:M5"/>
    <mergeCell ref="H4:J4"/>
    <mergeCell ref="H9:J9"/>
    <mergeCell ref="H6:J6"/>
    <mergeCell ref="C4:G4"/>
    <mergeCell ref="B4"/>
    <mergeCell ref="B7"/>
    <mergeCell ref="C9:G9"/>
    <mergeCell ref="K7:M7"/>
    <mergeCell ref="K4:M4"/>
  </mergeCells>
  <conditionalFormatting sqref="B3:M3">
    <cfRule type="expression" dxfId="12" priority="1">
      <formula>Inputs_Edited=0</formula>
    </cfRule>
    <cfRule type="expression" dxfId="11" priority="2">
      <formula>Inputs_Edited&gt;0</formula>
    </cfRule>
  </conditionalFormatting>
  <pageMargins left="0.75" right="0.75" top="1" bottom="1" header="0.5" footer="0.5"/>
  <pageSetup fitToHeight="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392B"/>
  </sheetPr>
  <dimension ref="A1:AU17"/>
  <sheetViews>
    <sheetView showGridLines="0" workbookViewId="0"/>
  </sheetViews>
  <sheetFormatPr defaultRowHeight="14.25" x14ac:dyDescent="0.45"/>
  <cols>
    <col min="1" max="1" width="7" customWidth="1"/>
    <col min="2" max="2" width="8" customWidth="1"/>
    <col min="3" max="3" width="9" customWidth="1"/>
    <col min="4" max="4" width="7" customWidth="1"/>
    <col min="5" max="7" width="8" customWidth="1"/>
    <col min="8" max="8" width="7" customWidth="1"/>
    <col min="9" max="10" width="6" customWidth="1"/>
    <col min="11" max="12" width="9" customWidth="1"/>
    <col min="13" max="14" width="7" customWidth="1"/>
    <col min="15" max="21" width="6" customWidth="1"/>
    <col min="22" max="23" width="7" customWidth="1"/>
    <col min="24" max="47" width="6" customWidth="1"/>
  </cols>
  <sheetData>
    <row r="1" spans="1:47" ht="17.649999999999999" x14ac:dyDescent="0.5">
      <c r="A1" s="15" t="s">
        <v>1438</v>
      </c>
      <c r="AD1" s="37" t="str">
        <f>"JOB #: "&amp;TB_JobNo</f>
        <v xml:space="preserve">JOB #: </v>
      </c>
    </row>
    <row r="2" spans="1:47" x14ac:dyDescent="0.45">
      <c r="A2" s="8" t="s">
        <v>1439</v>
      </c>
      <c r="AD2" s="37" t="str">
        <f>"PROJECT NAME: "&amp;TB_Project</f>
        <v>PROJECT NAME: D2 I-95 Pedestrian Bridge</v>
      </c>
    </row>
    <row r="3" spans="1:47" x14ac:dyDescent="0.45">
      <c r="AD3" s="37" t="str">
        <f>"SUBJECT: "&amp;"FLORIDA-I BEAM - TABLE OF BEAM VARIABLES"</f>
        <v>SUBJECT: FLORIDA-I BEAM - TABLE OF BEAM VARIABLES</v>
      </c>
    </row>
    <row r="4" spans="1:47" x14ac:dyDescent="0.45">
      <c r="AD4" s="37" t="str">
        <f>"CALCULATED BY: "&amp;TB_CalcBy&amp;"   "&amp;TB_CalcDate</f>
        <v xml:space="preserve">CALCULATED BY:    </v>
      </c>
    </row>
    <row r="5" spans="1:47" x14ac:dyDescent="0.45">
      <c r="A5" s="8" t="s">
        <v>1440</v>
      </c>
      <c r="AD5" s="37" t="str">
        <f>"CHECKED BY: "&amp;TB_CheckBy&amp;"   "&amp;TB_CheckDate</f>
        <v xml:space="preserve">CHECKED BY:    </v>
      </c>
    </row>
    <row r="7" spans="1:47" ht="30" customHeight="1" x14ac:dyDescent="0.45">
      <c r="A7" s="91" t="s">
        <v>1389</v>
      </c>
      <c r="B7" s="93"/>
      <c r="C7" s="19" t="s">
        <v>1441</v>
      </c>
      <c r="D7" s="91" t="s">
        <v>1442</v>
      </c>
      <c r="E7" s="92"/>
      <c r="F7" s="93"/>
      <c r="G7" s="19" t="s">
        <v>1443</v>
      </c>
      <c r="H7" s="19" t="s">
        <v>1444</v>
      </c>
      <c r="I7" s="91" t="s">
        <v>1445</v>
      </c>
      <c r="J7" s="93"/>
      <c r="K7" s="91" t="s">
        <v>1446</v>
      </c>
      <c r="L7" s="93"/>
      <c r="M7" s="91" t="s">
        <v>1447</v>
      </c>
      <c r="N7" s="92"/>
      <c r="O7" s="92"/>
      <c r="P7" s="92"/>
      <c r="Q7" s="92"/>
      <c r="R7" s="92"/>
      <c r="S7" s="92"/>
      <c r="T7" s="93"/>
      <c r="U7" s="91" t="s">
        <v>1448</v>
      </c>
      <c r="V7" s="92"/>
      <c r="W7" s="93"/>
      <c r="X7" s="91" t="s">
        <v>1449</v>
      </c>
      <c r="Y7" s="92"/>
      <c r="Z7" s="92"/>
      <c r="AA7" s="92"/>
      <c r="AB7" s="92"/>
      <c r="AC7" s="92"/>
      <c r="AD7" s="92"/>
      <c r="AE7" s="92"/>
      <c r="AF7" s="92"/>
      <c r="AG7" s="92"/>
      <c r="AH7" s="92"/>
      <c r="AI7" s="92"/>
      <c r="AJ7" s="92"/>
      <c r="AK7" s="92"/>
      <c r="AL7" s="92"/>
      <c r="AM7" s="92"/>
      <c r="AN7" s="92"/>
      <c r="AO7" s="92"/>
      <c r="AP7" s="92"/>
      <c r="AQ7" s="92"/>
      <c r="AR7" s="92"/>
      <c r="AS7" s="92"/>
      <c r="AT7" s="92"/>
      <c r="AU7" s="93"/>
    </row>
    <row r="8" spans="1:47" ht="30" customHeight="1" x14ac:dyDescent="0.45">
      <c r="A8" s="19" t="s">
        <v>1417</v>
      </c>
      <c r="B8" s="19" t="s">
        <v>1418</v>
      </c>
      <c r="D8" s="19" t="s">
        <v>1450</v>
      </c>
      <c r="E8" s="91" t="s">
        <v>1451</v>
      </c>
      <c r="F8" s="93"/>
      <c r="I8" s="19" t="s">
        <v>1452</v>
      </c>
      <c r="J8" s="19" t="s">
        <v>1453</v>
      </c>
      <c r="K8" s="19" t="s">
        <v>1452</v>
      </c>
      <c r="L8" s="19" t="s">
        <v>1453</v>
      </c>
      <c r="M8" s="91" t="s">
        <v>1454</v>
      </c>
      <c r="N8" s="93"/>
      <c r="O8" s="19" t="s">
        <v>1455</v>
      </c>
      <c r="P8" s="19" t="s">
        <v>1456</v>
      </c>
      <c r="Q8" s="91" t="s">
        <v>1457</v>
      </c>
      <c r="R8" s="93"/>
      <c r="S8" s="91" t="s">
        <v>1458</v>
      </c>
      <c r="T8" s="93"/>
      <c r="U8" s="91" t="s">
        <v>1459</v>
      </c>
      <c r="V8" s="93"/>
      <c r="W8" s="19" t="s">
        <v>1460</v>
      </c>
      <c r="X8" s="91" t="s">
        <v>1461</v>
      </c>
      <c r="Y8" s="93"/>
      <c r="Z8" s="91" t="s">
        <v>1462</v>
      </c>
      <c r="AA8" s="93"/>
      <c r="AB8" s="91" t="s">
        <v>1463</v>
      </c>
      <c r="AC8" s="92"/>
      <c r="AD8" s="92"/>
      <c r="AE8" s="93"/>
      <c r="AF8" s="91" t="s">
        <v>1464</v>
      </c>
      <c r="AG8" s="92"/>
      <c r="AH8" s="92"/>
      <c r="AI8" s="93"/>
      <c r="AJ8" s="19" t="s">
        <v>1465</v>
      </c>
      <c r="AK8" s="91" t="s">
        <v>1466</v>
      </c>
      <c r="AL8" s="93"/>
      <c r="AM8" s="91" t="s">
        <v>1467</v>
      </c>
      <c r="AN8" s="93"/>
      <c r="AO8" s="19" t="s">
        <v>1468</v>
      </c>
      <c r="AP8" s="19" t="s">
        <v>1469</v>
      </c>
      <c r="AQ8" s="91" t="s">
        <v>1470</v>
      </c>
      <c r="AR8" s="92"/>
      <c r="AS8" s="92"/>
      <c r="AT8" s="93"/>
      <c r="AU8" s="19" t="s">
        <v>1471</v>
      </c>
    </row>
    <row r="9" spans="1:47" ht="30" customHeight="1" x14ac:dyDescent="0.45">
      <c r="E9" s="19" t="s">
        <v>1472</v>
      </c>
      <c r="F9" s="19" t="s">
        <v>1473</v>
      </c>
      <c r="M9" s="19" t="s">
        <v>1452</v>
      </c>
      <c r="N9" s="19" t="s">
        <v>1453</v>
      </c>
      <c r="U9" s="19" t="s">
        <v>135</v>
      </c>
      <c r="V9" s="19" t="s">
        <v>211</v>
      </c>
      <c r="X9" s="91" t="s">
        <v>236</v>
      </c>
      <c r="Y9" s="93"/>
      <c r="Z9" s="91" t="s">
        <v>236</v>
      </c>
      <c r="AA9" s="93"/>
      <c r="AB9" s="91" t="s">
        <v>1359</v>
      </c>
      <c r="AC9" s="93"/>
      <c r="AD9" s="91" t="s">
        <v>1360</v>
      </c>
      <c r="AE9" s="93"/>
      <c r="AF9" s="91" t="s">
        <v>1359</v>
      </c>
      <c r="AG9" s="93"/>
      <c r="AH9" s="91" t="s">
        <v>1360</v>
      </c>
      <c r="AI9" s="93"/>
      <c r="AJ9" s="19" t="s">
        <v>1474</v>
      </c>
      <c r="AK9" s="91" t="s">
        <v>682</v>
      </c>
      <c r="AL9" s="93"/>
      <c r="AM9" s="91" t="s">
        <v>682</v>
      </c>
      <c r="AN9" s="93"/>
      <c r="AO9" s="19" t="s">
        <v>1474</v>
      </c>
      <c r="AP9" s="19" t="s">
        <v>1474</v>
      </c>
      <c r="AQ9" s="19" t="s">
        <v>1258</v>
      </c>
      <c r="AR9" s="19" t="s">
        <v>1260</v>
      </c>
      <c r="AS9" s="19" t="s">
        <v>1262</v>
      </c>
      <c r="AT9" s="19" t="s">
        <v>1475</v>
      </c>
      <c r="AU9" s="19" t="s">
        <v>1476</v>
      </c>
    </row>
    <row r="10" spans="1:47" x14ac:dyDescent="0.45">
      <c r="A10" s="42" t="s">
        <v>1007</v>
      </c>
      <c r="B10" s="42" t="s">
        <v>881</v>
      </c>
      <c r="C10" s="72" t="str">
        <f>Bm_Type</f>
        <v>FIB-36</v>
      </c>
      <c r="D10" s="72" t="str">
        <f>Des_ConcClass</f>
        <v>VI</v>
      </c>
      <c r="E10" s="76">
        <f>MC1_fc*1000</f>
        <v>8500</v>
      </c>
      <c r="F10" s="76">
        <f>MC1_fci*1000</f>
        <v>6000</v>
      </c>
      <c r="G10" s="72">
        <f>Des_Pattern</f>
        <v>1</v>
      </c>
      <c r="H10" s="72">
        <f>'Beam Geometry'!O13</f>
        <v>1</v>
      </c>
      <c r="I10" s="72">
        <f t="shared" ref="I10:J13" si="0">Des_PlanCase</f>
        <v>1</v>
      </c>
      <c r="J10" s="72">
        <f t="shared" si="0"/>
        <v>1</v>
      </c>
      <c r="K10" s="72" t="str">
        <f>"1-1-1"</f>
        <v>1-1-1</v>
      </c>
      <c r="L10" s="72" t="str">
        <f>"1-1-2"</f>
        <v>1-1-2</v>
      </c>
      <c r="M10" s="72">
        <f>'Beam Geometry'!I13</f>
        <v>90</v>
      </c>
      <c r="N10" s="72">
        <f>'Beam Geometry'!J13</f>
        <v>90</v>
      </c>
      <c r="O10" s="72">
        <f>'Beam Geometry'!N13</f>
        <v>0</v>
      </c>
      <c r="P10" s="72">
        <f>'Beam Geometry'!K13</f>
        <v>9</v>
      </c>
      <c r="Q10" s="72" t="str">
        <f>TRUNC('Beam Geometry'!L13/12)&amp;"'-"</f>
        <v>1'-</v>
      </c>
      <c r="R10" s="72">
        <f>('Beam Geometry'!L13/12-TRUNC('Beam Geometry'!L13/12))*12</f>
        <v>0</v>
      </c>
      <c r="S10" s="72" t="str">
        <f>TRUNC('Beam Geometry'!M13/12)&amp;"'-"</f>
        <v>0'-</v>
      </c>
      <c r="T10" s="72">
        <f>('Beam Geometry'!M13/12-TRUNC('Beam Geometry'!M13/12))*12</f>
        <v>10.5</v>
      </c>
      <c r="U10" s="76">
        <f>'Beam Geometry'!T13</f>
        <v>107</v>
      </c>
      <c r="V10" s="75">
        <f>'Beam Geometry'!U13</f>
        <v>1.2389970311922411</v>
      </c>
      <c r="W10" s="75">
        <f>'Beam Geometry'!R13</f>
        <v>1.522958354318249</v>
      </c>
      <c r="X10" s="72" t="str">
        <f>TRUNC('Beam Data'!J13/12)&amp;"'-"</f>
        <v>1'-</v>
      </c>
      <c r="Y10" s="72">
        <f>('Beam Data'!J13/12-TRUNC('Beam Data'!J13/12))*12</f>
        <v>5.4999999999999991</v>
      </c>
      <c r="Z10" s="72" t="str">
        <f>TRUNC('Beam Data'!K13/12)&amp;"'-"</f>
        <v>1'-</v>
      </c>
      <c r="AA10" s="72">
        <f>('Beam Data'!K13/12-TRUNC('Beam Data'!K13/12))*12</f>
        <v>5.4999999999999991</v>
      </c>
      <c r="AB10" s="72" t="str">
        <f>TRUNC('Beam Data'!L13/12)&amp;"'-"</f>
        <v>0'-</v>
      </c>
      <c r="AC10" s="72">
        <f>('Beam Data'!L13/12-TRUNC('Beam Data'!L13/12))*12</f>
        <v>8.5</v>
      </c>
      <c r="AD10" s="72" t="str">
        <f>TRUNC('Beam Data'!M13/12)&amp;"'-"</f>
        <v>1'-</v>
      </c>
      <c r="AE10" s="72">
        <f>('Beam Data'!M13/12-TRUNC('Beam Data'!M13/12))*12</f>
        <v>3</v>
      </c>
      <c r="AF10" s="72" t="str">
        <f>TRUNC('Beam Data'!N13/12)&amp;"'-"</f>
        <v>0'-</v>
      </c>
      <c r="AG10" s="72">
        <f>('Beam Data'!N13/12-TRUNC('Beam Data'!N13/12))*12</f>
        <v>8.5</v>
      </c>
      <c r="AH10" s="72" t="str">
        <f>TRUNC('Beam Data'!O13/12)&amp;"'-"</f>
        <v>1'-</v>
      </c>
      <c r="AI10" s="72">
        <f>('Beam Data'!O13/12-TRUNC('Beam Data'!O13/12))*12</f>
        <v>3</v>
      </c>
      <c r="AJ10" s="72">
        <f>'Beam Data'!P13</f>
        <v>130</v>
      </c>
      <c r="AK10" s="72" t="str">
        <f>TRUNC('Beam Data'!Q13/12)&amp;"'-"</f>
        <v>3'-</v>
      </c>
      <c r="AL10" s="72">
        <f>('Beam Data'!Q13/12-TRUNC('Beam Data'!Q13/12))*12</f>
        <v>7.9999999999999982</v>
      </c>
      <c r="AM10" s="72" t="str">
        <f>TRUNC('Beam Data'!R13/12)&amp;"'-"</f>
        <v>3'-</v>
      </c>
      <c r="AN10" s="72">
        <f>('Beam Data'!R13/12-TRUNC('Beam Data'!R13/12))*12</f>
        <v>7.9999999999999982</v>
      </c>
      <c r="AO10" s="72">
        <f>'Beam Data'!S13</f>
        <v>98</v>
      </c>
      <c r="AP10" s="72">
        <f>'Beam Data'!I13</f>
        <v>162</v>
      </c>
      <c r="AQ10" s="72">
        <f>'Beam Data'!G8</f>
        <v>30</v>
      </c>
      <c r="AR10" s="72">
        <f>'Beam Data'!I8</f>
        <v>20</v>
      </c>
      <c r="AS10" s="72">
        <f>'Beam Data'!K8</f>
        <v>5</v>
      </c>
      <c r="AT10" s="72">
        <f>'Beam Data'!F13</f>
        <v>9</v>
      </c>
      <c r="AU10" s="72">
        <f>'Beam Data'!H8</f>
        <v>5.9999999999999991</v>
      </c>
    </row>
    <row r="11" spans="1:47" x14ac:dyDescent="0.45">
      <c r="A11" s="42" t="s">
        <v>1007</v>
      </c>
      <c r="B11" s="42" t="s">
        <v>882</v>
      </c>
      <c r="C11" s="72" t="str">
        <f>Bm_Type</f>
        <v>FIB-36</v>
      </c>
      <c r="D11" s="72" t="str">
        <f>Des_ConcClass</f>
        <v>VI</v>
      </c>
      <c r="E11" s="76">
        <f>MC1_fc*1000</f>
        <v>8500</v>
      </c>
      <c r="F11" s="76">
        <f>MC1_fci*1000</f>
        <v>6000</v>
      </c>
      <c r="G11" s="72">
        <f>Des_Pattern</f>
        <v>1</v>
      </c>
      <c r="H11" s="72">
        <f>'Beam Geometry'!O14</f>
        <v>1</v>
      </c>
      <c r="I11" s="72">
        <f t="shared" si="0"/>
        <v>1</v>
      </c>
      <c r="J11" s="72">
        <f t="shared" si="0"/>
        <v>1</v>
      </c>
      <c r="K11" s="72" t="str">
        <f>"1-2-1"</f>
        <v>1-2-1</v>
      </c>
      <c r="L11" s="72" t="str">
        <f>"1-2-2"</f>
        <v>1-2-2</v>
      </c>
      <c r="M11" s="72">
        <f>'Beam Geometry'!I14</f>
        <v>90</v>
      </c>
      <c r="N11" s="72">
        <f>'Beam Geometry'!J14</f>
        <v>90</v>
      </c>
      <c r="O11" s="72">
        <f>'Beam Geometry'!N14</f>
        <v>0</v>
      </c>
      <c r="P11" s="72">
        <f>'Beam Geometry'!K14</f>
        <v>9</v>
      </c>
      <c r="Q11" s="72" t="str">
        <f>TRUNC('Beam Geometry'!L14/12)&amp;"'-"</f>
        <v>1'-</v>
      </c>
      <c r="R11" s="72">
        <f>('Beam Geometry'!L14/12-TRUNC('Beam Geometry'!L14/12))*12</f>
        <v>0</v>
      </c>
      <c r="S11" s="72" t="str">
        <f>TRUNC('Beam Geometry'!M14/12)&amp;"'-"</f>
        <v>0'-</v>
      </c>
      <c r="T11" s="72">
        <f>('Beam Geometry'!M14/12-TRUNC('Beam Geometry'!M14/12))*12</f>
        <v>10.5</v>
      </c>
      <c r="U11" s="76">
        <f>'Beam Geometry'!T14</f>
        <v>107</v>
      </c>
      <c r="V11" s="75">
        <f>'Beam Geometry'!U14</f>
        <v>1.2389970311922411</v>
      </c>
      <c r="W11" s="75">
        <f>'Beam Geometry'!R14</f>
        <v>1.522958354318249</v>
      </c>
      <c r="X11" s="72" t="str">
        <f>TRUNC('Beam Data'!J14/12)&amp;"'-"</f>
        <v>1'-</v>
      </c>
      <c r="Y11" s="72">
        <f>('Beam Data'!J14/12-TRUNC('Beam Data'!J14/12))*12</f>
        <v>5.4999999999999991</v>
      </c>
      <c r="Z11" s="72" t="str">
        <f>TRUNC('Beam Data'!K14/12)&amp;"'-"</f>
        <v>1'-</v>
      </c>
      <c r="AA11" s="72">
        <f>('Beam Data'!K14/12-TRUNC('Beam Data'!K14/12))*12</f>
        <v>5.4999999999999991</v>
      </c>
      <c r="AB11" s="72" t="str">
        <f>TRUNC('Beam Data'!L14/12)&amp;"'-"</f>
        <v>0'-</v>
      </c>
      <c r="AC11" s="72">
        <f>('Beam Data'!L14/12-TRUNC('Beam Data'!L14/12))*12</f>
        <v>8.5</v>
      </c>
      <c r="AD11" s="72" t="str">
        <f>TRUNC('Beam Data'!M14/12)&amp;"'-"</f>
        <v>1'-</v>
      </c>
      <c r="AE11" s="72">
        <f>('Beam Data'!M14/12-TRUNC('Beam Data'!M14/12))*12</f>
        <v>3</v>
      </c>
      <c r="AF11" s="72" t="str">
        <f>TRUNC('Beam Data'!N14/12)&amp;"'-"</f>
        <v>0'-</v>
      </c>
      <c r="AG11" s="72">
        <f>('Beam Data'!N14/12-TRUNC('Beam Data'!N14/12))*12</f>
        <v>8.5</v>
      </c>
      <c r="AH11" s="72" t="str">
        <f>TRUNC('Beam Data'!O14/12)&amp;"'-"</f>
        <v>1'-</v>
      </c>
      <c r="AI11" s="72">
        <f>('Beam Data'!O14/12-TRUNC('Beam Data'!O14/12))*12</f>
        <v>3</v>
      </c>
      <c r="AJ11" s="72">
        <f>'Beam Data'!P14</f>
        <v>130</v>
      </c>
      <c r="AK11" s="72" t="str">
        <f>TRUNC('Beam Data'!Q14/12)&amp;"'-"</f>
        <v>3'-</v>
      </c>
      <c r="AL11" s="72">
        <f>('Beam Data'!Q14/12-TRUNC('Beam Data'!Q14/12))*12</f>
        <v>7.9999999999999982</v>
      </c>
      <c r="AM11" s="72" t="str">
        <f>TRUNC('Beam Data'!R14/12)&amp;"'-"</f>
        <v>3'-</v>
      </c>
      <c r="AN11" s="72">
        <f>('Beam Data'!R14/12-TRUNC('Beam Data'!R14/12))*12</f>
        <v>7.9999999999999982</v>
      </c>
      <c r="AO11" s="72">
        <f>'Beam Data'!S14</f>
        <v>98</v>
      </c>
      <c r="AP11" s="72">
        <f>'Beam Data'!I14</f>
        <v>162</v>
      </c>
      <c r="AQ11" s="72">
        <f>'Beam Data'!G8</f>
        <v>30</v>
      </c>
      <c r="AR11" s="72">
        <f>'Beam Data'!I8</f>
        <v>20</v>
      </c>
      <c r="AS11" s="72">
        <f>'Beam Data'!K8</f>
        <v>5</v>
      </c>
      <c r="AT11" s="72">
        <f>'Beam Data'!F14</f>
        <v>9</v>
      </c>
      <c r="AU11" s="72">
        <f>'Beam Data'!H8</f>
        <v>5.9999999999999991</v>
      </c>
    </row>
    <row r="12" spans="1:47" x14ac:dyDescent="0.45">
      <c r="A12" s="42" t="s">
        <v>1008</v>
      </c>
      <c r="B12" s="42" t="s">
        <v>883</v>
      </c>
      <c r="C12" s="72" t="str">
        <f>Bm_Type</f>
        <v>FIB-36</v>
      </c>
      <c r="D12" s="72" t="str">
        <f>Des_ConcClass</f>
        <v>VI</v>
      </c>
      <c r="E12" s="76">
        <f>MC2_fc*1000</f>
        <v>8500</v>
      </c>
      <c r="F12" s="76">
        <f>MC2_fci*1000</f>
        <v>6000</v>
      </c>
      <c r="G12" s="72">
        <f>Des_Pattern</f>
        <v>1</v>
      </c>
      <c r="H12" s="72">
        <f>'Beam Geometry'!O15</f>
        <v>1</v>
      </c>
      <c r="I12" s="72">
        <f t="shared" si="0"/>
        <v>1</v>
      </c>
      <c r="J12" s="72">
        <f t="shared" si="0"/>
        <v>1</v>
      </c>
      <c r="K12" s="72" t="str">
        <f>"2-1-1"</f>
        <v>2-1-1</v>
      </c>
      <c r="L12" s="72" t="str">
        <f>"2-1-2"</f>
        <v>2-1-2</v>
      </c>
      <c r="M12" s="72">
        <f>'Beam Geometry'!I15</f>
        <v>90</v>
      </c>
      <c r="N12" s="72">
        <f>'Beam Geometry'!J15</f>
        <v>90</v>
      </c>
      <c r="O12" s="72">
        <f>'Beam Geometry'!N15</f>
        <v>0</v>
      </c>
      <c r="P12" s="72">
        <f>'Beam Geometry'!K15</f>
        <v>9</v>
      </c>
      <c r="Q12" s="72" t="str">
        <f>TRUNC('Beam Geometry'!L15/12)&amp;"'-"</f>
        <v>0'-</v>
      </c>
      <c r="R12" s="72">
        <f>('Beam Geometry'!L15/12-TRUNC('Beam Geometry'!L15/12))*12</f>
        <v>10.5</v>
      </c>
      <c r="S12" s="72" t="str">
        <f>TRUNC('Beam Geometry'!M15/12)&amp;"'-"</f>
        <v>1'-</v>
      </c>
      <c r="T12" s="72">
        <f>('Beam Geometry'!M15/12-TRUNC('Beam Geometry'!M15/12))*12</f>
        <v>0</v>
      </c>
      <c r="U12" s="76">
        <f>'Beam Geometry'!T15</f>
        <v>104</v>
      </c>
      <c r="V12" s="75">
        <f>'Beam Geometry'!U15</f>
        <v>7.8037648720609809</v>
      </c>
      <c r="W12" s="75">
        <f>'Beam Geometry'!R15</f>
        <v>1.4880787460651559</v>
      </c>
      <c r="X12" s="72" t="str">
        <f>TRUNC('Beam Data'!J15/12)&amp;"'-"</f>
        <v>1'-</v>
      </c>
      <c r="Y12" s="72">
        <f>('Beam Data'!J15/12-TRUNC('Beam Data'!J15/12))*12</f>
        <v>5.4999999999999991</v>
      </c>
      <c r="Z12" s="72" t="str">
        <f>TRUNC('Beam Data'!K15/12)&amp;"'-"</f>
        <v>1'-</v>
      </c>
      <c r="AA12" s="72">
        <f>('Beam Data'!K15/12-TRUNC('Beam Data'!K15/12))*12</f>
        <v>5.4999999999999991</v>
      </c>
      <c r="AB12" s="72" t="str">
        <f>TRUNC('Beam Data'!L15/12)&amp;"'-"</f>
        <v>0'-</v>
      </c>
      <c r="AC12" s="72">
        <f>('Beam Data'!L15/12-TRUNC('Beam Data'!L15/12))*12</f>
        <v>8.5</v>
      </c>
      <c r="AD12" s="72" t="str">
        <f>TRUNC('Beam Data'!M15/12)&amp;"'-"</f>
        <v>1'-</v>
      </c>
      <c r="AE12" s="72">
        <f>('Beam Data'!M15/12-TRUNC('Beam Data'!M15/12))*12</f>
        <v>3</v>
      </c>
      <c r="AF12" s="72" t="str">
        <f>TRUNC('Beam Data'!N15/12)&amp;"'-"</f>
        <v>0'-</v>
      </c>
      <c r="AG12" s="72">
        <f>('Beam Data'!N15/12-TRUNC('Beam Data'!N15/12))*12</f>
        <v>8.5</v>
      </c>
      <c r="AH12" s="72" t="str">
        <f>TRUNC('Beam Data'!O15/12)&amp;"'-"</f>
        <v>1'-</v>
      </c>
      <c r="AI12" s="72">
        <f>('Beam Data'!O15/12-TRUNC('Beam Data'!O15/12))*12</f>
        <v>3</v>
      </c>
      <c r="AJ12" s="72">
        <f>'Beam Data'!P15</f>
        <v>126</v>
      </c>
      <c r="AK12" s="72" t="str">
        <f>TRUNC('Beam Data'!Q15/12)&amp;"'-"</f>
        <v>3'-</v>
      </c>
      <c r="AL12" s="72">
        <f>('Beam Data'!Q15/12-TRUNC('Beam Data'!Q15/12))*12</f>
        <v>7.9999999999999982</v>
      </c>
      <c r="AM12" s="72" t="str">
        <f>TRUNC('Beam Data'!R15/12)&amp;"'-"</f>
        <v>3'-</v>
      </c>
      <c r="AN12" s="72">
        <f>('Beam Data'!R15/12-TRUNC('Beam Data'!R15/12))*12</f>
        <v>7.9999999999999982</v>
      </c>
      <c r="AO12" s="72">
        <f>'Beam Data'!S15</f>
        <v>95</v>
      </c>
      <c r="AP12" s="72">
        <f>'Beam Data'!I15</f>
        <v>160</v>
      </c>
      <c r="AQ12" s="72">
        <f>'Beam Data'!G9</f>
        <v>30</v>
      </c>
      <c r="AR12" s="72">
        <f>'Beam Data'!I9</f>
        <v>20</v>
      </c>
      <c r="AS12" s="72">
        <f>'Beam Data'!K9</f>
        <v>5</v>
      </c>
      <c r="AT12" s="72">
        <f>'Beam Data'!F15</f>
        <v>8</v>
      </c>
      <c r="AU12" s="72">
        <f>'Beam Data'!H9</f>
        <v>5.9999999999999991</v>
      </c>
    </row>
    <row r="13" spans="1:47" x14ac:dyDescent="0.45">
      <c r="A13" s="42" t="s">
        <v>1008</v>
      </c>
      <c r="B13" s="42" t="s">
        <v>884</v>
      </c>
      <c r="C13" s="72" t="str">
        <f>Bm_Type</f>
        <v>FIB-36</v>
      </c>
      <c r="D13" s="72" t="str">
        <f>Des_ConcClass</f>
        <v>VI</v>
      </c>
      <c r="E13" s="76">
        <f>MC2_fc*1000</f>
        <v>8500</v>
      </c>
      <c r="F13" s="76">
        <f>MC2_fci*1000</f>
        <v>6000</v>
      </c>
      <c r="G13" s="72">
        <f>Des_Pattern</f>
        <v>1</v>
      </c>
      <c r="H13" s="72">
        <f>'Beam Geometry'!O16</f>
        <v>1</v>
      </c>
      <c r="I13" s="72">
        <f t="shared" si="0"/>
        <v>1</v>
      </c>
      <c r="J13" s="72">
        <f t="shared" si="0"/>
        <v>1</v>
      </c>
      <c r="K13" s="72" t="str">
        <f>"2-2-1"</f>
        <v>2-2-1</v>
      </c>
      <c r="L13" s="72" t="str">
        <f>"2-2-2"</f>
        <v>2-2-2</v>
      </c>
      <c r="M13" s="72">
        <f>'Beam Geometry'!I16</f>
        <v>90</v>
      </c>
      <c r="N13" s="72">
        <f>'Beam Geometry'!J16</f>
        <v>90</v>
      </c>
      <c r="O13" s="72">
        <f>'Beam Geometry'!N16</f>
        <v>0</v>
      </c>
      <c r="P13" s="72">
        <f>'Beam Geometry'!K16</f>
        <v>9</v>
      </c>
      <c r="Q13" s="72" t="str">
        <f>TRUNC('Beam Geometry'!L16/12)&amp;"'-"</f>
        <v>0'-</v>
      </c>
      <c r="R13" s="72">
        <f>('Beam Geometry'!L16/12-TRUNC('Beam Geometry'!L16/12))*12</f>
        <v>10.5</v>
      </c>
      <c r="S13" s="72" t="str">
        <f>TRUNC('Beam Geometry'!M16/12)&amp;"'-"</f>
        <v>1'-</v>
      </c>
      <c r="T13" s="72">
        <f>('Beam Geometry'!M16/12-TRUNC('Beam Geometry'!M16/12))*12</f>
        <v>0</v>
      </c>
      <c r="U13" s="76">
        <f>'Beam Geometry'!T16</f>
        <v>104</v>
      </c>
      <c r="V13" s="75">
        <f>'Beam Geometry'!U16</f>
        <v>7.8037648720609809</v>
      </c>
      <c r="W13" s="75">
        <f>'Beam Geometry'!R16</f>
        <v>1.4880787460651559</v>
      </c>
      <c r="X13" s="72" t="str">
        <f>TRUNC('Beam Data'!J16/12)&amp;"'-"</f>
        <v>1'-</v>
      </c>
      <c r="Y13" s="72">
        <f>('Beam Data'!J16/12-TRUNC('Beam Data'!J16/12))*12</f>
        <v>5.4999999999999991</v>
      </c>
      <c r="Z13" s="72" t="str">
        <f>TRUNC('Beam Data'!K16/12)&amp;"'-"</f>
        <v>1'-</v>
      </c>
      <c r="AA13" s="72">
        <f>('Beam Data'!K16/12-TRUNC('Beam Data'!K16/12))*12</f>
        <v>5.4999999999999991</v>
      </c>
      <c r="AB13" s="72" t="str">
        <f>TRUNC('Beam Data'!L16/12)&amp;"'-"</f>
        <v>0'-</v>
      </c>
      <c r="AC13" s="72">
        <f>('Beam Data'!L16/12-TRUNC('Beam Data'!L16/12))*12</f>
        <v>8.5</v>
      </c>
      <c r="AD13" s="72" t="str">
        <f>TRUNC('Beam Data'!M16/12)&amp;"'-"</f>
        <v>1'-</v>
      </c>
      <c r="AE13" s="72">
        <f>('Beam Data'!M16/12-TRUNC('Beam Data'!M16/12))*12</f>
        <v>3</v>
      </c>
      <c r="AF13" s="72" t="str">
        <f>TRUNC('Beam Data'!N16/12)&amp;"'-"</f>
        <v>0'-</v>
      </c>
      <c r="AG13" s="72">
        <f>('Beam Data'!N16/12-TRUNC('Beam Data'!N16/12))*12</f>
        <v>8.5</v>
      </c>
      <c r="AH13" s="72" t="str">
        <f>TRUNC('Beam Data'!O16/12)&amp;"'-"</f>
        <v>1'-</v>
      </c>
      <c r="AI13" s="72">
        <f>('Beam Data'!O16/12-TRUNC('Beam Data'!O16/12))*12</f>
        <v>3</v>
      </c>
      <c r="AJ13" s="72">
        <f>'Beam Data'!P16</f>
        <v>126</v>
      </c>
      <c r="AK13" s="72" t="str">
        <f>TRUNC('Beam Data'!Q16/12)&amp;"'-"</f>
        <v>3'-</v>
      </c>
      <c r="AL13" s="72">
        <f>('Beam Data'!Q16/12-TRUNC('Beam Data'!Q16/12))*12</f>
        <v>7.9999999999999982</v>
      </c>
      <c r="AM13" s="72" t="str">
        <f>TRUNC('Beam Data'!R16/12)&amp;"'-"</f>
        <v>3'-</v>
      </c>
      <c r="AN13" s="72">
        <f>('Beam Data'!R16/12-TRUNC('Beam Data'!R16/12))*12</f>
        <v>7.9999999999999982</v>
      </c>
      <c r="AO13" s="72">
        <f>'Beam Data'!S16</f>
        <v>95</v>
      </c>
      <c r="AP13" s="72">
        <f>'Beam Data'!I16</f>
        <v>160</v>
      </c>
      <c r="AQ13" s="72">
        <f>'Beam Data'!G9</f>
        <v>30</v>
      </c>
      <c r="AR13" s="72">
        <f>'Beam Data'!I9</f>
        <v>20</v>
      </c>
      <c r="AS13" s="72">
        <f>'Beam Data'!K9</f>
        <v>5</v>
      </c>
      <c r="AT13" s="72">
        <f>'Beam Data'!F16</f>
        <v>8</v>
      </c>
      <c r="AU13" s="72">
        <f>'Beam Data'!H9</f>
        <v>5.9999999999999991</v>
      </c>
    </row>
    <row r="15" spans="1:47" x14ac:dyDescent="0.45">
      <c r="A15" s="8" t="s">
        <v>1477</v>
      </c>
    </row>
    <row r="16" spans="1:47" x14ac:dyDescent="0.45">
      <c r="A16" s="8" t="s">
        <v>1478</v>
      </c>
    </row>
    <row r="17" spans="1:1" x14ac:dyDescent="0.45">
      <c r="A17" s="8" t="s">
        <v>1479</v>
      </c>
    </row>
  </sheetData>
  <mergeCells count="27">
    <mergeCell ref="AM8:AN8"/>
    <mergeCell ref="AB8:AE8"/>
    <mergeCell ref="X7:AU7"/>
    <mergeCell ref="AF8:AI8"/>
    <mergeCell ref="AK9:AL9"/>
    <mergeCell ref="AQ8:AT8"/>
    <mergeCell ref="X8:Y8"/>
    <mergeCell ref="E8:F8"/>
    <mergeCell ref="Q8:R8"/>
    <mergeCell ref="S8:T8"/>
    <mergeCell ref="AD9:AE9"/>
    <mergeCell ref="A7:B7"/>
    <mergeCell ref="I7:J7"/>
    <mergeCell ref="AM9:AN9"/>
    <mergeCell ref="AB9:AC9"/>
    <mergeCell ref="AF9:AG9"/>
    <mergeCell ref="M7:T7"/>
    <mergeCell ref="AH9:AI9"/>
    <mergeCell ref="Z8:AA8"/>
    <mergeCell ref="M8:N8"/>
    <mergeCell ref="U8:V8"/>
    <mergeCell ref="K7:L7"/>
    <mergeCell ref="AK8:AL8"/>
    <mergeCell ref="X9:Y9"/>
    <mergeCell ref="Z9:AA9"/>
    <mergeCell ref="D7:F7"/>
    <mergeCell ref="U7:W7"/>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A96A3"/>
    <pageSetUpPr fitToPage="1"/>
  </sheetPr>
  <dimension ref="B1:M31"/>
  <sheetViews>
    <sheetView showGridLines="0" workbookViewId="0"/>
  </sheetViews>
  <sheetFormatPr defaultRowHeight="14.25" x14ac:dyDescent="0.45"/>
  <cols>
    <col min="1" max="1" width="2" customWidth="1"/>
    <col min="2" max="13" width="11.46484375" customWidth="1"/>
  </cols>
  <sheetData>
    <row r="1" spans="2:13" ht="20.65" x14ac:dyDescent="0.6">
      <c r="B1" s="35" t="s">
        <v>1480</v>
      </c>
    </row>
    <row r="2" spans="2:13" x14ac:dyDescent="0.45">
      <c r="B2" s="8" t="s">
        <v>1481</v>
      </c>
    </row>
    <row r="3" spans="2:13"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3" x14ac:dyDescent="0.45">
      <c r="B4" s="86" t="s">
        <v>102</v>
      </c>
      <c r="C4" s="86" t="s">
        <v>699</v>
      </c>
      <c r="D4" s="87"/>
      <c r="E4" s="87"/>
      <c r="F4" s="87"/>
      <c r="G4" s="87"/>
      <c r="H4" s="86" t="s">
        <v>700</v>
      </c>
      <c r="I4" s="87"/>
      <c r="J4" s="87"/>
      <c r="K4" s="86" t="s">
        <v>701</v>
      </c>
      <c r="L4" s="87"/>
      <c r="M4" s="87"/>
    </row>
    <row r="5" spans="2:13" ht="15.2" customHeight="1" x14ac:dyDescent="0.45">
      <c r="B5" s="85" t="s">
        <v>1482</v>
      </c>
      <c r="C5" s="85" t="s">
        <v>1483</v>
      </c>
      <c r="D5" s="83"/>
      <c r="E5" s="83"/>
      <c r="F5" s="83"/>
      <c r="G5" s="83"/>
      <c r="H5" s="85" t="s">
        <v>1484</v>
      </c>
      <c r="I5" s="83"/>
      <c r="J5" s="83"/>
      <c r="K5" s="85" t="s">
        <v>713</v>
      </c>
      <c r="L5" s="83"/>
      <c r="M5" s="83"/>
    </row>
    <row r="6" spans="2:13" ht="15.2" customHeight="1" x14ac:dyDescent="0.45">
      <c r="B6" s="85" t="s">
        <v>1485</v>
      </c>
      <c r="C6" s="85" t="s">
        <v>1486</v>
      </c>
      <c r="D6" s="83"/>
      <c r="E6" s="83"/>
      <c r="F6" s="83"/>
      <c r="G6" s="83"/>
      <c r="H6" s="85" t="s">
        <v>1487</v>
      </c>
      <c r="I6" s="83"/>
      <c r="J6" s="83"/>
      <c r="K6" s="85" t="s">
        <v>1488</v>
      </c>
      <c r="L6" s="83"/>
      <c r="M6" s="83"/>
    </row>
    <row r="7" spans="2:13" ht="15.2" customHeight="1" x14ac:dyDescent="0.45">
      <c r="B7" s="85" t="s">
        <v>1489</v>
      </c>
      <c r="C7" s="85" t="s">
        <v>1490</v>
      </c>
      <c r="D7" s="83"/>
      <c r="E7" s="83"/>
      <c r="F7" s="83"/>
      <c r="G7" s="83"/>
      <c r="H7" s="85" t="s">
        <v>642</v>
      </c>
      <c r="I7" s="83"/>
      <c r="J7" s="83"/>
      <c r="K7" s="85" t="s">
        <v>713</v>
      </c>
      <c r="L7" s="83"/>
      <c r="M7" s="83"/>
    </row>
    <row r="8" spans="2:13" ht="15.2" customHeight="1" x14ac:dyDescent="0.45">
      <c r="B8" s="85" t="s">
        <v>874</v>
      </c>
      <c r="C8" s="85" t="s">
        <v>1491</v>
      </c>
      <c r="D8" s="83"/>
      <c r="E8" s="83"/>
      <c r="F8" s="83"/>
      <c r="G8" s="83"/>
      <c r="H8" s="85" t="s">
        <v>1492</v>
      </c>
      <c r="I8" s="83"/>
      <c r="J8" s="83"/>
      <c r="K8" s="85" t="s">
        <v>713</v>
      </c>
      <c r="L8" s="83"/>
      <c r="M8" s="83"/>
    </row>
    <row r="9" spans="2:13" ht="15.2" customHeight="1" x14ac:dyDescent="0.45">
      <c r="B9" s="85" t="s">
        <v>1094</v>
      </c>
      <c r="C9" s="85" t="s">
        <v>1493</v>
      </c>
      <c r="D9" s="83"/>
      <c r="E9" s="83"/>
      <c r="F9" s="83"/>
      <c r="G9" s="83"/>
      <c r="H9" s="85" t="s">
        <v>645</v>
      </c>
      <c r="I9" s="83"/>
      <c r="J9" s="83"/>
      <c r="K9" s="85" t="s">
        <v>713</v>
      </c>
      <c r="L9" s="83"/>
      <c r="M9" s="83"/>
    </row>
    <row r="10" spans="2:13" ht="15.2" customHeight="1" x14ac:dyDescent="0.45">
      <c r="B10" s="85" t="s">
        <v>1494</v>
      </c>
      <c r="C10" s="85" t="s">
        <v>1495</v>
      </c>
      <c r="D10" s="83"/>
      <c r="E10" s="83"/>
      <c r="F10" s="83"/>
      <c r="G10" s="83"/>
      <c r="H10" s="85" t="s">
        <v>72</v>
      </c>
      <c r="I10" s="83"/>
      <c r="J10" s="83"/>
      <c r="K10" s="85" t="s">
        <v>713</v>
      </c>
      <c r="L10" s="83"/>
      <c r="M10" s="83"/>
    </row>
    <row r="11" spans="2:13" ht="15.2" customHeight="1" x14ac:dyDescent="0.45">
      <c r="B11" s="85" t="s">
        <v>1496</v>
      </c>
      <c r="C11" s="85" t="s">
        <v>1497</v>
      </c>
      <c r="D11" s="83"/>
      <c r="E11" s="83"/>
      <c r="F11" s="83"/>
      <c r="G11" s="83"/>
      <c r="H11" s="85" t="s">
        <v>1498</v>
      </c>
      <c r="I11" s="83"/>
      <c r="J11" s="83"/>
      <c r="K11" s="85" t="s">
        <v>496</v>
      </c>
      <c r="L11" s="83"/>
      <c r="M11" s="83"/>
    </row>
    <row r="12" spans="2:13" ht="15.2" customHeight="1" x14ac:dyDescent="0.45">
      <c r="B12" s="85" t="s">
        <v>1499</v>
      </c>
      <c r="C12" s="85" t="s">
        <v>1500</v>
      </c>
      <c r="D12" s="83"/>
      <c r="E12" s="83"/>
      <c r="F12" s="83"/>
      <c r="G12" s="83"/>
      <c r="H12" s="85" t="s">
        <v>1501</v>
      </c>
      <c r="I12" s="83"/>
      <c r="J12" s="83"/>
      <c r="K12" s="85" t="s">
        <v>1502</v>
      </c>
      <c r="L12" s="83"/>
      <c r="M12" s="83"/>
    </row>
    <row r="13" spans="2:13" ht="15.2" customHeight="1" x14ac:dyDescent="0.45">
      <c r="B13" s="85" t="s">
        <v>1503</v>
      </c>
      <c r="C13" s="85" t="s">
        <v>1504</v>
      </c>
      <c r="D13" s="83"/>
      <c r="E13" s="83"/>
      <c r="F13" s="83"/>
      <c r="G13" s="83"/>
      <c r="H13" s="85" t="s">
        <v>1505</v>
      </c>
      <c r="I13" s="83"/>
      <c r="J13" s="83"/>
      <c r="K13" s="85" t="s">
        <v>1506</v>
      </c>
      <c r="L13" s="83"/>
      <c r="M13" s="83"/>
    </row>
    <row r="14" spans="2:13" ht="15.2" customHeight="1" x14ac:dyDescent="0.45">
      <c r="B14" s="85" t="s">
        <v>1507</v>
      </c>
      <c r="C14" s="85" t="s">
        <v>1508</v>
      </c>
      <c r="D14" s="83"/>
      <c r="E14" s="83"/>
      <c r="F14" s="83"/>
      <c r="G14" s="83"/>
      <c r="H14" s="85" t="s">
        <v>1509</v>
      </c>
      <c r="I14" s="83"/>
      <c r="J14" s="83"/>
      <c r="K14" s="85" t="s">
        <v>1510</v>
      </c>
      <c r="L14" s="83"/>
      <c r="M14" s="83"/>
    </row>
    <row r="15" spans="2:13" ht="15.2" customHeight="1" x14ac:dyDescent="0.45">
      <c r="B15" s="85" t="s">
        <v>1511</v>
      </c>
      <c r="C15" s="85" t="s">
        <v>1512</v>
      </c>
      <c r="D15" s="83"/>
      <c r="E15" s="83"/>
      <c r="F15" s="83"/>
      <c r="G15" s="83"/>
      <c r="H15" s="85" t="s">
        <v>1513</v>
      </c>
      <c r="I15" s="83"/>
      <c r="J15" s="83"/>
      <c r="K15" s="85" t="s">
        <v>1514</v>
      </c>
      <c r="L15" s="83"/>
      <c r="M15" s="83"/>
    </row>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6.25" customHeight="1" x14ac:dyDescent="0.45">
      <c r="B30" s="82" t="s">
        <v>1515</v>
      </c>
      <c r="C30" s="83"/>
      <c r="D30" s="83"/>
      <c r="E30" s="83"/>
      <c r="F30" s="83"/>
      <c r="G30" s="83"/>
      <c r="H30" s="83"/>
      <c r="I30" s="83"/>
      <c r="J30" s="83"/>
      <c r="K30" s="83"/>
      <c r="L30" s="83"/>
      <c r="M30" s="83"/>
    </row>
    <row r="31" spans="2:13" ht="29.45" customHeight="1" x14ac:dyDescent="0.45">
      <c r="B31" s="85" t="s">
        <v>1516</v>
      </c>
      <c r="C31" s="83"/>
      <c r="D31" s="83"/>
      <c r="E31" s="83"/>
      <c r="F31" s="83"/>
      <c r="G31" s="83"/>
      <c r="H31" s="83"/>
      <c r="I31" s="83"/>
      <c r="J31" s="83"/>
      <c r="K31" s="83"/>
      <c r="L31" s="83"/>
      <c r="M31" s="83"/>
    </row>
  </sheetData>
  <mergeCells count="51">
    <mergeCell ref="B15"/>
    <mergeCell ref="C15:G15"/>
    <mergeCell ref="B6"/>
    <mergeCell ref="B5"/>
    <mergeCell ref="H11:J11"/>
    <mergeCell ref="H7:J7"/>
    <mergeCell ref="K8:M8"/>
    <mergeCell ref="B9"/>
    <mergeCell ref="C6:G6"/>
    <mergeCell ref="K15:M15"/>
    <mergeCell ref="B8"/>
    <mergeCell ref="C4:G4"/>
    <mergeCell ref="B4"/>
    <mergeCell ref="C10:G10"/>
    <mergeCell ref="H13:J13"/>
    <mergeCell ref="K14:M14"/>
    <mergeCell ref="B7"/>
    <mergeCell ref="H12:J12"/>
    <mergeCell ref="K4:M4"/>
    <mergeCell ref="K6:M6"/>
    <mergeCell ref="H5:J5"/>
    <mergeCell ref="C7:G7"/>
    <mergeCell ref="H10:J10"/>
    <mergeCell ref="B13"/>
    <mergeCell ref="C5:G5"/>
    <mergeCell ref="C12:G12"/>
    <mergeCell ref="H14:J14"/>
    <mergeCell ref="K13:M13"/>
    <mergeCell ref="B11"/>
    <mergeCell ref="H8:J8"/>
    <mergeCell ref="C11:G11"/>
    <mergeCell ref="C8:G8"/>
    <mergeCell ref="B14"/>
    <mergeCell ref="C14:G14"/>
    <mergeCell ref="K12:M12"/>
    <mergeCell ref="B3:M3"/>
    <mergeCell ref="K9:M9"/>
    <mergeCell ref="K5:M5"/>
    <mergeCell ref="B31:M31"/>
    <mergeCell ref="H4:J4"/>
    <mergeCell ref="H9:J9"/>
    <mergeCell ref="B10"/>
    <mergeCell ref="C13:G13"/>
    <mergeCell ref="K11:M11"/>
    <mergeCell ref="H6:J6"/>
    <mergeCell ref="B30:M30"/>
    <mergeCell ref="C9:G9"/>
    <mergeCell ref="K7:M7"/>
    <mergeCell ref="H15:J15"/>
    <mergeCell ref="B12"/>
    <mergeCell ref="K10:M10"/>
  </mergeCells>
  <conditionalFormatting sqref="B3:M3">
    <cfRule type="expression" dxfId="10" priority="1">
      <formula>Inputs_Edited=0</formula>
    </cfRule>
    <cfRule type="expression" dxfId="9" priority="2">
      <formula>Inputs_Edited&gt;0</formula>
    </cfRule>
  </conditionalFormatting>
  <pageMargins left="0.75" right="0.75" top="1" bottom="1" header="0.5" footer="0.5"/>
  <pageSetup fitToHeight="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392B"/>
  </sheetPr>
  <dimension ref="A1:M16"/>
  <sheetViews>
    <sheetView showGridLines="0" workbookViewId="0"/>
  </sheetViews>
  <sheetFormatPr defaultRowHeight="14.25" x14ac:dyDescent="0.45"/>
  <cols>
    <col min="1" max="1" width="13" customWidth="1"/>
    <col min="2" max="3" width="9" customWidth="1"/>
    <col min="4" max="5" width="8" customWidth="1"/>
    <col min="6" max="7" width="10" customWidth="1"/>
    <col min="8" max="8" width="13" customWidth="1"/>
    <col min="9" max="11" width="8" customWidth="1"/>
  </cols>
  <sheetData>
    <row r="1" spans="1:13" ht="17.649999999999999" x14ac:dyDescent="0.5">
      <c r="A1" s="15" t="s">
        <v>1517</v>
      </c>
      <c r="M1" s="37" t="str">
        <f>"JOB #: "&amp;TB_JobNo</f>
        <v xml:space="preserve">JOB #: </v>
      </c>
    </row>
    <row r="2" spans="1:13" x14ac:dyDescent="0.45">
      <c r="A2" s="8" t="s">
        <v>1518</v>
      </c>
      <c r="M2" s="37" t="str">
        <f>"PROJECT NAME: "&amp;TB_Project</f>
        <v>PROJECT NAME: D2 I-95 Pedestrian Bridge</v>
      </c>
    </row>
    <row r="3" spans="1:13" x14ac:dyDescent="0.45">
      <c r="M3" s="37" t="str">
        <f>"SUBJECT: "&amp;"BEARING PLATE DATA TABLE - TYPE 2"</f>
        <v>SUBJECT: BEARING PLATE DATA TABLE - TYPE 2</v>
      </c>
    </row>
    <row r="4" spans="1:13" x14ac:dyDescent="0.45">
      <c r="M4" s="37" t="str">
        <f>"CALCULATED BY: "&amp;TB_CalcBy&amp;"   "&amp;TB_CalcDate</f>
        <v xml:space="preserve">CALCULATED BY:    </v>
      </c>
    </row>
    <row r="5" spans="1:13" x14ac:dyDescent="0.45">
      <c r="A5" s="8" t="s">
        <v>1519</v>
      </c>
      <c r="M5" s="37" t="str">
        <f>"CHECKED BY: "&amp;TB_CheckBy&amp;"   "&amp;TB_CheckDate</f>
        <v xml:space="preserve">CHECKED BY:    </v>
      </c>
    </row>
    <row r="7" spans="1:13" ht="30" customHeight="1" x14ac:dyDescent="0.45">
      <c r="A7" s="91" t="s">
        <v>1520</v>
      </c>
      <c r="B7" s="92"/>
      <c r="C7" s="92"/>
      <c r="D7" s="92"/>
      <c r="E7" s="92"/>
      <c r="F7" s="92"/>
      <c r="G7" s="93"/>
      <c r="H7" s="91" t="s">
        <v>1521</v>
      </c>
      <c r="I7" s="91" t="s">
        <v>1522</v>
      </c>
      <c r="J7" s="92"/>
      <c r="K7" s="93"/>
    </row>
    <row r="8" spans="1:13" ht="30" customHeight="1" x14ac:dyDescent="0.45">
      <c r="A8" s="19" t="s">
        <v>1446</v>
      </c>
      <c r="B8" s="19" t="s">
        <v>1523</v>
      </c>
      <c r="C8" s="19" t="s">
        <v>1524</v>
      </c>
      <c r="D8" s="19" t="s">
        <v>1525</v>
      </c>
      <c r="E8" s="19" t="s">
        <v>1526</v>
      </c>
      <c r="F8" s="19" t="s">
        <v>1445</v>
      </c>
      <c r="G8" s="19" t="s">
        <v>1527</v>
      </c>
      <c r="H8" s="94"/>
      <c r="I8" s="19" t="s">
        <v>236</v>
      </c>
      <c r="J8" s="19" t="s">
        <v>1528</v>
      </c>
      <c r="K8" s="19" t="s">
        <v>1529</v>
      </c>
    </row>
    <row r="9" spans="1:13" x14ac:dyDescent="0.45">
      <c r="A9" s="72" t="str">
        <f>'Bearing Seats'!B31</f>
        <v>1-1-1</v>
      </c>
      <c r="B9" s="72">
        <f>'Bearing Seats'!C31</f>
        <v>1</v>
      </c>
      <c r="C9" s="72">
        <f>'Bearing Seats'!D31</f>
        <v>1</v>
      </c>
      <c r="D9" s="72" t="str">
        <f>'Bearing Seats'!E31</f>
        <v>F</v>
      </c>
      <c r="E9" s="72">
        <f>'Bearing Seats'!F31</f>
        <v>1</v>
      </c>
      <c r="F9" s="72">
        <f>'Bearing Seats'!G31</f>
        <v>1</v>
      </c>
      <c r="G9" s="71">
        <f>'Bearing Seats'!H31</f>
        <v>0.53925868494673068</v>
      </c>
      <c r="H9" s="72" t="str">
        <f>'Bearing Seats'!I31</f>
        <v>NO</v>
      </c>
      <c r="I9" s="72" t="str">
        <f>'Bearing Seats'!J31</f>
        <v>N/A</v>
      </c>
      <c r="J9" s="72" t="str">
        <f>'Bearing Seats'!K31</f>
        <v>N/A</v>
      </c>
      <c r="K9" s="72" t="str">
        <f>'Bearing Seats'!L31</f>
        <v>N/A</v>
      </c>
    </row>
    <row r="10" spans="1:13" x14ac:dyDescent="0.45">
      <c r="A10" s="72" t="str">
        <f>'Bearing Seats'!B32</f>
        <v>1-2-1</v>
      </c>
      <c r="B10" s="72">
        <f>'Bearing Seats'!C32</f>
        <v>1</v>
      </c>
      <c r="C10" s="72">
        <f>'Bearing Seats'!D32</f>
        <v>2</v>
      </c>
      <c r="D10" s="72" t="str">
        <f>'Bearing Seats'!E32</f>
        <v>F</v>
      </c>
      <c r="E10" s="72">
        <f>'Bearing Seats'!F32</f>
        <v>1</v>
      </c>
      <c r="F10" s="72">
        <f>'Bearing Seats'!G32</f>
        <v>1</v>
      </c>
      <c r="G10" s="71">
        <f>'Bearing Seats'!H32</f>
        <v>0.53925868494673068</v>
      </c>
      <c r="H10" s="72" t="str">
        <f>'Bearing Seats'!I32</f>
        <v>NO</v>
      </c>
      <c r="I10" s="72" t="str">
        <f>'Bearing Seats'!J32</f>
        <v>N/A</v>
      </c>
      <c r="J10" s="72" t="str">
        <f>'Bearing Seats'!K32</f>
        <v>N/A</v>
      </c>
      <c r="K10" s="72" t="str">
        <f>'Bearing Seats'!L32</f>
        <v>N/A</v>
      </c>
    </row>
    <row r="11" spans="1:13" x14ac:dyDescent="0.45">
      <c r="A11" s="72" t="str">
        <f>'Bearing Seats'!B33</f>
        <v>1-1-2</v>
      </c>
      <c r="B11" s="72">
        <f>'Bearing Seats'!C33</f>
        <v>1</v>
      </c>
      <c r="C11" s="72">
        <f>'Bearing Seats'!D33</f>
        <v>1</v>
      </c>
      <c r="D11" s="72" t="str">
        <f>'Bearing Seats'!E33</f>
        <v>F</v>
      </c>
      <c r="E11" s="72">
        <f>'Bearing Seats'!F33</f>
        <v>2</v>
      </c>
      <c r="F11" s="72">
        <f>'Bearing Seats'!G33</f>
        <v>1</v>
      </c>
      <c r="G11" s="71">
        <f>'Bearing Seats'!H33</f>
        <v>0.46050843195928337</v>
      </c>
      <c r="H11" s="72" t="str">
        <f>'Bearing Seats'!I33</f>
        <v>NO</v>
      </c>
      <c r="I11" s="72" t="str">
        <f>'Bearing Seats'!J33</f>
        <v>N/A</v>
      </c>
      <c r="J11" s="72" t="str">
        <f>'Bearing Seats'!K33</f>
        <v>N/A</v>
      </c>
      <c r="K11" s="72" t="str">
        <f>'Bearing Seats'!L33</f>
        <v>N/A</v>
      </c>
    </row>
    <row r="12" spans="1:13" x14ac:dyDescent="0.45">
      <c r="A12" s="72" t="str">
        <f>'Bearing Seats'!B34</f>
        <v>1-2-2</v>
      </c>
      <c r="B12" s="72">
        <f>'Bearing Seats'!C34</f>
        <v>1</v>
      </c>
      <c r="C12" s="72">
        <f>'Bearing Seats'!D34</f>
        <v>2</v>
      </c>
      <c r="D12" s="72" t="str">
        <f>'Bearing Seats'!E34</f>
        <v>F</v>
      </c>
      <c r="E12" s="72">
        <f>'Bearing Seats'!F34</f>
        <v>2</v>
      </c>
      <c r="F12" s="72">
        <f>'Bearing Seats'!G34</f>
        <v>1</v>
      </c>
      <c r="G12" s="71">
        <f>'Bearing Seats'!H34</f>
        <v>0.46050843195928337</v>
      </c>
      <c r="H12" s="72" t="str">
        <f>'Bearing Seats'!I34</f>
        <v>NO</v>
      </c>
      <c r="I12" s="72" t="str">
        <f>'Bearing Seats'!J34</f>
        <v>N/A</v>
      </c>
      <c r="J12" s="72" t="str">
        <f>'Bearing Seats'!K34</f>
        <v>N/A</v>
      </c>
      <c r="K12" s="72" t="str">
        <f>'Bearing Seats'!L34</f>
        <v>N/A</v>
      </c>
    </row>
    <row r="13" spans="1:13" x14ac:dyDescent="0.45">
      <c r="A13" s="72" t="str">
        <f>'Bearing Seats'!B35</f>
        <v>2-1-1</v>
      </c>
      <c r="B13" s="72">
        <f>'Bearing Seats'!C35</f>
        <v>2</v>
      </c>
      <c r="C13" s="72">
        <f>'Bearing Seats'!D35</f>
        <v>1</v>
      </c>
      <c r="D13" s="72" t="str">
        <f>'Bearing Seats'!E35</f>
        <v>F</v>
      </c>
      <c r="E13" s="72">
        <f>'Bearing Seats'!F35</f>
        <v>1</v>
      </c>
      <c r="F13" s="72">
        <f>'Bearing Seats'!G35</f>
        <v>1</v>
      </c>
      <c r="G13" s="71">
        <f>'Bearing Seats'!H35</f>
        <v>-0.31661306612761564</v>
      </c>
      <c r="H13" s="72" t="str">
        <f>'Bearing Seats'!I35</f>
        <v>NO</v>
      </c>
      <c r="I13" s="72" t="str">
        <f>'Bearing Seats'!J35</f>
        <v>N/A</v>
      </c>
      <c r="J13" s="72" t="str">
        <f>'Bearing Seats'!K35</f>
        <v>N/A</v>
      </c>
      <c r="K13" s="72" t="str">
        <f>'Bearing Seats'!L35</f>
        <v>N/A</v>
      </c>
    </row>
    <row r="14" spans="1:13" x14ac:dyDescent="0.45">
      <c r="A14" s="72" t="str">
        <f>'Bearing Seats'!B36</f>
        <v>2-2-1</v>
      </c>
      <c r="B14" s="72">
        <f>'Bearing Seats'!C36</f>
        <v>2</v>
      </c>
      <c r="C14" s="72">
        <f>'Bearing Seats'!D36</f>
        <v>2</v>
      </c>
      <c r="D14" s="72" t="str">
        <f>'Bearing Seats'!E36</f>
        <v>F</v>
      </c>
      <c r="E14" s="72">
        <f>'Bearing Seats'!F36</f>
        <v>1</v>
      </c>
      <c r="F14" s="72">
        <f>'Bearing Seats'!G36</f>
        <v>1</v>
      </c>
      <c r="G14" s="71">
        <f>'Bearing Seats'!H36</f>
        <v>-0.31661306612761564</v>
      </c>
      <c r="H14" s="72" t="str">
        <f>'Bearing Seats'!I36</f>
        <v>NO</v>
      </c>
      <c r="I14" s="72" t="str">
        <f>'Bearing Seats'!J36</f>
        <v>N/A</v>
      </c>
      <c r="J14" s="72" t="str">
        <f>'Bearing Seats'!K36</f>
        <v>N/A</v>
      </c>
      <c r="K14" s="72" t="str">
        <f>'Bearing Seats'!L36</f>
        <v>N/A</v>
      </c>
    </row>
    <row r="15" spans="1:13" x14ac:dyDescent="0.45">
      <c r="A15" s="72" t="str">
        <f>'Bearing Seats'!B37</f>
        <v>2-1-2</v>
      </c>
      <c r="B15" s="72">
        <f>'Bearing Seats'!C37</f>
        <v>2</v>
      </c>
      <c r="C15" s="72">
        <f>'Bearing Seats'!D37</f>
        <v>1</v>
      </c>
      <c r="D15" s="72" t="str">
        <f>'Bearing Seats'!E37</f>
        <v>F</v>
      </c>
      <c r="E15" s="72">
        <f>'Bearing Seats'!F37</f>
        <v>2</v>
      </c>
      <c r="F15" s="72">
        <f>'Bearing Seats'!G37</f>
        <v>1</v>
      </c>
      <c r="G15" s="71">
        <f>'Bearing Seats'!H37</f>
        <v>-0.68362525608421265</v>
      </c>
      <c r="H15" s="72" t="str">
        <f>'Bearing Seats'!I37</f>
        <v>NO</v>
      </c>
      <c r="I15" s="72" t="str">
        <f>'Bearing Seats'!J37</f>
        <v>N/A</v>
      </c>
      <c r="J15" s="72" t="str">
        <f>'Bearing Seats'!K37</f>
        <v>N/A</v>
      </c>
      <c r="K15" s="72" t="str">
        <f>'Bearing Seats'!L37</f>
        <v>N/A</v>
      </c>
    </row>
    <row r="16" spans="1:13" x14ac:dyDescent="0.45">
      <c r="A16" s="72" t="str">
        <f>'Bearing Seats'!B38</f>
        <v>2-2-2</v>
      </c>
      <c r="B16" s="72">
        <f>'Bearing Seats'!C38</f>
        <v>2</v>
      </c>
      <c r="C16" s="72">
        <f>'Bearing Seats'!D38</f>
        <v>2</v>
      </c>
      <c r="D16" s="72" t="str">
        <f>'Bearing Seats'!E38</f>
        <v>F</v>
      </c>
      <c r="E16" s="72">
        <f>'Bearing Seats'!F38</f>
        <v>2</v>
      </c>
      <c r="F16" s="72">
        <f>'Bearing Seats'!G38</f>
        <v>1</v>
      </c>
      <c r="G16" s="71">
        <f>'Bearing Seats'!H38</f>
        <v>-0.68362525608421265</v>
      </c>
      <c r="H16" s="72" t="str">
        <f>'Bearing Seats'!I38</f>
        <v>NO</v>
      </c>
      <c r="I16" s="72" t="str">
        <f>'Bearing Seats'!J38</f>
        <v>N/A</v>
      </c>
      <c r="J16" s="72" t="str">
        <f>'Bearing Seats'!K38</f>
        <v>N/A</v>
      </c>
      <c r="K16" s="72" t="str">
        <f>'Bearing Seats'!L38</f>
        <v>N/A</v>
      </c>
    </row>
  </sheetData>
  <mergeCells count="3">
    <mergeCell ref="I7:K7"/>
    <mergeCell ref="H7:H8"/>
    <mergeCell ref="A7:G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A96A3"/>
    <pageSetUpPr fitToPage="1"/>
  </sheetPr>
  <dimension ref="B1:M24"/>
  <sheetViews>
    <sheetView showGridLines="0" workbookViewId="0"/>
  </sheetViews>
  <sheetFormatPr defaultRowHeight="14.25" x14ac:dyDescent="0.45"/>
  <cols>
    <col min="1" max="1" width="2" customWidth="1"/>
    <col min="2" max="13" width="11.46484375" customWidth="1"/>
  </cols>
  <sheetData>
    <row r="1" spans="2:13" ht="20.65" x14ac:dyDescent="0.6">
      <c r="B1" s="35" t="s">
        <v>1530</v>
      </c>
    </row>
    <row r="2" spans="2:13" x14ac:dyDescent="0.45">
      <c r="B2" s="8" t="s">
        <v>1531</v>
      </c>
    </row>
    <row r="3" spans="2:13"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3" x14ac:dyDescent="0.45">
      <c r="B4" s="86" t="s">
        <v>102</v>
      </c>
      <c r="C4" s="86" t="s">
        <v>699</v>
      </c>
      <c r="D4" s="87"/>
      <c r="E4" s="87"/>
      <c r="F4" s="87"/>
      <c r="G4" s="87"/>
      <c r="H4" s="86" t="s">
        <v>700</v>
      </c>
      <c r="I4" s="87"/>
      <c r="J4" s="87"/>
      <c r="K4" s="86" t="s">
        <v>701</v>
      </c>
      <c r="L4" s="87"/>
      <c r="M4" s="87"/>
    </row>
    <row r="5" spans="2:13" ht="15.2" customHeight="1" x14ac:dyDescent="0.45">
      <c r="B5" s="85" t="s">
        <v>1494</v>
      </c>
      <c r="C5" s="85" t="s">
        <v>1532</v>
      </c>
      <c r="D5" s="83"/>
      <c r="E5" s="83"/>
      <c r="F5" s="83"/>
      <c r="G5" s="83"/>
      <c r="H5" s="85" t="s">
        <v>1533</v>
      </c>
      <c r="I5" s="83"/>
      <c r="J5" s="83"/>
      <c r="K5" s="85" t="s">
        <v>713</v>
      </c>
      <c r="L5" s="83"/>
      <c r="M5" s="83"/>
    </row>
    <row r="6" spans="2:13" ht="15.2" customHeight="1" x14ac:dyDescent="0.45">
      <c r="B6" s="85" t="s">
        <v>678</v>
      </c>
      <c r="C6" s="85" t="s">
        <v>1534</v>
      </c>
      <c r="D6" s="83"/>
      <c r="E6" s="83"/>
      <c r="F6" s="83"/>
      <c r="G6" s="83"/>
      <c r="H6" s="85" t="s">
        <v>649</v>
      </c>
      <c r="I6" s="83"/>
      <c r="J6" s="83"/>
      <c r="K6" s="85" t="s">
        <v>713</v>
      </c>
      <c r="L6" s="83"/>
      <c r="M6" s="83"/>
    </row>
    <row r="7" spans="2:13" ht="15.2" customHeight="1" x14ac:dyDescent="0.45">
      <c r="B7" s="85" t="s">
        <v>846</v>
      </c>
      <c r="C7" s="85" t="s">
        <v>1535</v>
      </c>
      <c r="D7" s="83"/>
      <c r="E7" s="83"/>
      <c r="F7" s="83"/>
      <c r="G7" s="83"/>
      <c r="H7" s="85" t="s">
        <v>713</v>
      </c>
      <c r="I7" s="83"/>
      <c r="J7" s="83"/>
      <c r="K7" s="85" t="s">
        <v>713</v>
      </c>
      <c r="L7" s="83"/>
      <c r="M7" s="83"/>
    </row>
    <row r="8" spans="2:13" ht="28.45" customHeight="1" x14ac:dyDescent="0.45">
      <c r="B8" s="85" t="s">
        <v>1095</v>
      </c>
      <c r="C8" s="85" t="s">
        <v>1536</v>
      </c>
      <c r="D8" s="83"/>
      <c r="E8" s="83"/>
      <c r="F8" s="83"/>
      <c r="G8" s="83"/>
      <c r="H8" s="85" t="s">
        <v>1129</v>
      </c>
      <c r="I8" s="83"/>
      <c r="J8" s="83"/>
      <c r="K8" s="85" t="s">
        <v>513</v>
      </c>
      <c r="L8" s="83"/>
      <c r="M8" s="83"/>
    </row>
    <row r="9" spans="2:13" ht="15.2" customHeight="1" x14ac:dyDescent="0.45">
      <c r="B9" s="85" t="s">
        <v>1537</v>
      </c>
      <c r="C9" s="85" t="s">
        <v>1538</v>
      </c>
      <c r="D9" s="83"/>
      <c r="E9" s="83"/>
      <c r="F9" s="83"/>
      <c r="G9" s="83"/>
      <c r="H9" s="85" t="s">
        <v>652</v>
      </c>
      <c r="I9" s="83"/>
      <c r="J9" s="83"/>
      <c r="K9" s="85" t="s">
        <v>713</v>
      </c>
      <c r="L9" s="83"/>
      <c r="M9" s="83"/>
    </row>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6.25" customHeight="1" x14ac:dyDescent="0.45">
      <c r="B24" s="82" t="s">
        <v>1539</v>
      </c>
      <c r="C24" s="83"/>
      <c r="D24" s="83"/>
      <c r="E24" s="83"/>
      <c r="F24" s="83"/>
      <c r="G24" s="83"/>
      <c r="H24" s="83"/>
      <c r="I24" s="83"/>
      <c r="J24" s="83"/>
      <c r="K24" s="83"/>
      <c r="L24" s="83"/>
      <c r="M24" s="83"/>
    </row>
  </sheetData>
  <mergeCells count="26">
    <mergeCell ref="B24:M24"/>
    <mergeCell ref="K4:M4"/>
    <mergeCell ref="K6:M6"/>
    <mergeCell ref="H5:J5"/>
    <mergeCell ref="H8:J8"/>
    <mergeCell ref="C8:G8"/>
    <mergeCell ref="B8"/>
    <mergeCell ref="C7:G7"/>
    <mergeCell ref="H7:J7"/>
    <mergeCell ref="K8:M8"/>
    <mergeCell ref="C4:G4"/>
    <mergeCell ref="B4"/>
    <mergeCell ref="B7"/>
    <mergeCell ref="K7:M7"/>
    <mergeCell ref="B9"/>
    <mergeCell ref="C6:G6"/>
    <mergeCell ref="B3:M3"/>
    <mergeCell ref="K9:M9"/>
    <mergeCell ref="K5:M5"/>
    <mergeCell ref="H4:J4"/>
    <mergeCell ref="H9:J9"/>
    <mergeCell ref="H6:J6"/>
    <mergeCell ref="B6"/>
    <mergeCell ref="C5:G5"/>
    <mergeCell ref="B5"/>
    <mergeCell ref="C9:G9"/>
  </mergeCells>
  <conditionalFormatting sqref="B3:M3">
    <cfRule type="expression" dxfId="8" priority="1">
      <formula>Inputs_Edited=0</formula>
    </cfRule>
    <cfRule type="expression" dxfId="7" priority="2">
      <formula>Inputs_Edited&gt;0</formula>
    </cfRule>
  </conditionalFormatting>
  <pageMargins left="0.75" right="0.75" top="1" bottom="1" header="0.5" footer="0.5"/>
  <pageSetup fitToHeight="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0392B"/>
  </sheetPr>
  <dimension ref="A1:K38"/>
  <sheetViews>
    <sheetView showGridLines="0" workbookViewId="0"/>
  </sheetViews>
  <sheetFormatPr defaultRowHeight="14.25" x14ac:dyDescent="0.45"/>
  <cols>
    <col min="1" max="1" width="14" customWidth="1"/>
    <col min="2" max="2" width="10" customWidth="1"/>
    <col min="3" max="9" width="11" customWidth="1"/>
  </cols>
  <sheetData>
    <row r="1" spans="1:11" ht="17.649999999999999" x14ac:dyDescent="0.5">
      <c r="A1" s="15" t="s">
        <v>1540</v>
      </c>
      <c r="K1" s="37" t="str">
        <f>"JOB #: "&amp;TB_JobNo</f>
        <v xml:space="preserve">JOB #: </v>
      </c>
    </row>
    <row r="2" spans="1:11" x14ac:dyDescent="0.45">
      <c r="A2" s="8" t="s">
        <v>1541</v>
      </c>
      <c r="K2" s="37" t="str">
        <f>"PROJECT NAME: "&amp;TB_Project</f>
        <v>PROJECT NAME: D2 I-95 Pedestrian Bridge</v>
      </c>
    </row>
    <row r="3" spans="1:11" x14ac:dyDescent="0.45">
      <c r="K3" s="37" t="str">
        <f>"SUBJECT: "&amp;"TOP OF PEDESTAL ELEVATIONS"</f>
        <v>SUBJECT: TOP OF PEDESTAL ELEVATIONS</v>
      </c>
    </row>
    <row r="4" spans="1:11" x14ac:dyDescent="0.45">
      <c r="K4" s="37" t="str">
        <f>"CALCULATED BY: "&amp;TB_CalcBy&amp;"   "&amp;TB_CalcDate</f>
        <v xml:space="preserve">CALCULATED BY:    </v>
      </c>
    </row>
    <row r="5" spans="1:11" x14ac:dyDescent="0.45">
      <c r="K5" s="37" t="str">
        <f>"CHECKED BY: "&amp;TB_CheckBy&amp;"   "&amp;TB_CheckDate</f>
        <v xml:space="preserve">CHECKED BY:    </v>
      </c>
    </row>
    <row r="7" spans="1:11" x14ac:dyDescent="0.45">
      <c r="A7" s="6" t="s">
        <v>1542</v>
      </c>
    </row>
    <row r="8" spans="1:11" ht="30" customHeight="1" x14ac:dyDescent="0.45">
      <c r="A8" s="19" t="s">
        <v>1543</v>
      </c>
      <c r="B8" s="19" t="s">
        <v>1418</v>
      </c>
      <c r="C8" s="19" t="s">
        <v>1544</v>
      </c>
      <c r="D8" s="19" t="s">
        <v>1545</v>
      </c>
      <c r="E8" s="19" t="s">
        <v>1546</v>
      </c>
      <c r="F8" s="19" t="s">
        <v>1547</v>
      </c>
    </row>
    <row r="9" spans="1:11" x14ac:dyDescent="0.45">
      <c r="A9" s="42" t="s">
        <v>1007</v>
      </c>
      <c r="B9" s="72" t="str">
        <f>'Bearing Seats'!C19</f>
        <v>1-1</v>
      </c>
      <c r="C9" s="71">
        <f>'Bearing Seats'!I19</f>
        <v>43.73229964536867</v>
      </c>
      <c r="D9" s="71">
        <f>'Bearing Seats'!J19</f>
        <v>43.745781112492338</v>
      </c>
      <c r="E9" s="71">
        <f>'Bearing Seats'!K19</f>
        <v>43.73229964536867</v>
      </c>
      <c r="F9" s="71">
        <f>'Bearing Seats'!L19</f>
        <v>43.745781112492338</v>
      </c>
    </row>
    <row r="10" spans="1:11" x14ac:dyDescent="0.45">
      <c r="A10" s="42" t="s">
        <v>1007</v>
      </c>
      <c r="B10" s="72" t="str">
        <f>'Bearing Seats'!C20</f>
        <v>1-2</v>
      </c>
      <c r="C10" s="71">
        <f>'Bearing Seats'!I20</f>
        <v>43.73229964536867</v>
      </c>
      <c r="D10" s="71">
        <f>'Bearing Seats'!J20</f>
        <v>43.745781112492338</v>
      </c>
      <c r="E10" s="71">
        <f>'Bearing Seats'!K20</f>
        <v>43.73229964536867</v>
      </c>
      <c r="F10" s="71">
        <f>'Bearing Seats'!L20</f>
        <v>43.745781112492338</v>
      </c>
    </row>
    <row r="11" spans="1:11" x14ac:dyDescent="0.45">
      <c r="A11" s="42" t="s">
        <v>1008</v>
      </c>
      <c r="B11" s="72" t="str">
        <f>'Bearing Seats'!C21</f>
        <v>2-1</v>
      </c>
      <c r="C11" s="71">
        <f>'Bearing Seats'!I21</f>
        <v>43.742855891468814</v>
      </c>
      <c r="D11" s="71">
        <f>'Bearing Seats'!J21</f>
        <v>43.759946522870919</v>
      </c>
      <c r="E11" s="71">
        <f>'Bearing Seats'!K21</f>
        <v>43.742855891468814</v>
      </c>
      <c r="F11" s="71">
        <f>'Bearing Seats'!L21</f>
        <v>43.759946522870919</v>
      </c>
    </row>
    <row r="12" spans="1:11" x14ac:dyDescent="0.45">
      <c r="A12" s="42" t="s">
        <v>1008</v>
      </c>
      <c r="B12" s="72" t="str">
        <f>'Bearing Seats'!C22</f>
        <v>2-2</v>
      </c>
      <c r="C12" s="71">
        <f>'Bearing Seats'!I22</f>
        <v>43.742855891468814</v>
      </c>
      <c r="D12" s="71">
        <f>'Bearing Seats'!J22</f>
        <v>43.759946522870919</v>
      </c>
      <c r="E12" s="71">
        <f>'Bearing Seats'!K22</f>
        <v>43.742855891468814</v>
      </c>
      <c r="F12" s="71">
        <f>'Bearing Seats'!L22</f>
        <v>43.759946522870919</v>
      </c>
    </row>
    <row r="14" spans="1:11" x14ac:dyDescent="0.45">
      <c r="A14" s="6" t="s">
        <v>1548</v>
      </c>
    </row>
    <row r="15" spans="1:11" ht="30" customHeight="1" x14ac:dyDescent="0.45">
      <c r="A15" s="19" t="s">
        <v>1549</v>
      </c>
      <c r="B15" s="19" t="s">
        <v>1550</v>
      </c>
      <c r="C15" s="19" t="s">
        <v>1544</v>
      </c>
      <c r="D15" s="19" t="s">
        <v>1545</v>
      </c>
      <c r="E15" s="19" t="s">
        <v>1546</v>
      </c>
      <c r="F15" s="19" t="s">
        <v>1547</v>
      </c>
      <c r="G15" s="19" t="s">
        <v>1551</v>
      </c>
      <c r="H15" s="19" t="s">
        <v>1552</v>
      </c>
      <c r="I15" s="19" t="s">
        <v>1553</v>
      </c>
    </row>
    <row r="16" spans="1:11" x14ac:dyDescent="0.45">
      <c r="A16" s="42" t="s">
        <v>1007</v>
      </c>
      <c r="B16" s="42">
        <v>1</v>
      </c>
      <c r="C16" s="71">
        <f>'Bearing Seats'!G26</f>
        <v>44.259763695637588</v>
      </c>
      <c r="D16" s="71">
        <f>'Bearing Seats'!J26</f>
        <v>44.261378012764986</v>
      </c>
      <c r="E16" s="71">
        <f>'Bearing Seats'!G26</f>
        <v>44.259763695637588</v>
      </c>
      <c r="F16" s="71">
        <f>'Bearing Seats'!J26</f>
        <v>44.261378012764986</v>
      </c>
      <c r="G16" s="71">
        <f>'Bearing Seats'!H26</f>
        <v>44.266863200630297</v>
      </c>
      <c r="H16" s="71">
        <f>'Bearing Seats'!I26</f>
        <v>44.266259130867788</v>
      </c>
      <c r="I16" s="71">
        <f>'Bearing Seats'!K26</f>
        <v>44.266561165749039</v>
      </c>
    </row>
    <row r="17" spans="1:9" x14ac:dyDescent="0.45">
      <c r="A17" s="42" t="s">
        <v>1007</v>
      </c>
      <c r="B17" s="42">
        <v>2</v>
      </c>
      <c r="C17" s="71">
        <f>'Bearing Seats'!G27</f>
        <v>44.259763695637588</v>
      </c>
      <c r="D17" s="71">
        <f>'Bearing Seats'!J27</f>
        <v>44.261378012764986</v>
      </c>
      <c r="E17" s="71">
        <f>'Bearing Seats'!G27</f>
        <v>44.259763695637588</v>
      </c>
      <c r="F17" s="71">
        <f>'Bearing Seats'!J27</f>
        <v>44.261378012764986</v>
      </c>
      <c r="G17" s="71">
        <f>'Bearing Seats'!H27</f>
        <v>44.266863200630297</v>
      </c>
      <c r="H17" s="71">
        <f>'Bearing Seats'!I27</f>
        <v>44.266259130867788</v>
      </c>
      <c r="I17" s="71">
        <f>'Bearing Seats'!K27</f>
        <v>44.266561165749039</v>
      </c>
    </row>
    <row r="19" spans="1:9" x14ac:dyDescent="0.45">
      <c r="A19" s="6" t="s">
        <v>1554</v>
      </c>
    </row>
    <row r="20" spans="1:9" ht="30" customHeight="1" x14ac:dyDescent="0.45">
      <c r="A20" s="19" t="s">
        <v>1555</v>
      </c>
      <c r="B20" s="19" t="s">
        <v>1556</v>
      </c>
      <c r="C20" s="19" t="s">
        <v>1557</v>
      </c>
      <c r="D20" s="19" t="s">
        <v>1558</v>
      </c>
      <c r="E20" s="19" t="s">
        <v>1559</v>
      </c>
      <c r="F20" s="19" t="s">
        <v>1560</v>
      </c>
    </row>
    <row r="21" spans="1:9" x14ac:dyDescent="0.45">
      <c r="A21" s="42" t="s">
        <v>860</v>
      </c>
      <c r="B21" s="42">
        <v>1</v>
      </c>
      <c r="C21" s="71">
        <f>Substructure!D51</f>
        <v>-7.5</v>
      </c>
      <c r="D21" s="71">
        <f>Substructure!G51</f>
        <v>43.764939909758922</v>
      </c>
      <c r="E21" s="71">
        <f>Substructure!H51</f>
        <v>40.764939909758922</v>
      </c>
      <c r="F21" s="71">
        <f>Substructure!J51</f>
        <v>41.764939909758922</v>
      </c>
    </row>
    <row r="22" spans="1:9" x14ac:dyDescent="0.45">
      <c r="A22" s="42" t="s">
        <v>860</v>
      </c>
      <c r="B22" s="42">
        <v>2</v>
      </c>
      <c r="C22" s="71">
        <f>Substructure!D52</f>
        <v>-2.5</v>
      </c>
      <c r="D22" s="71">
        <f>Substructure!G52</f>
        <v>43.764939909758922</v>
      </c>
      <c r="E22" s="71">
        <f>Substructure!H52</f>
        <v>40.764939909758922</v>
      </c>
      <c r="F22" s="71">
        <f>Substructure!J52</f>
        <v>41.764939909758922</v>
      </c>
    </row>
    <row r="23" spans="1:9" x14ac:dyDescent="0.45">
      <c r="A23" s="42" t="s">
        <v>860</v>
      </c>
      <c r="B23" s="42">
        <v>3</v>
      </c>
      <c r="C23" s="71">
        <f>Substructure!D53</f>
        <v>2.5</v>
      </c>
      <c r="D23" s="71">
        <f>Substructure!G53</f>
        <v>43.764939909758922</v>
      </c>
      <c r="E23" s="71">
        <f>Substructure!H53</f>
        <v>40.764939909758922</v>
      </c>
      <c r="F23" s="71">
        <f>Substructure!J53</f>
        <v>41.764939909758922</v>
      </c>
    </row>
    <row r="24" spans="1:9" x14ac:dyDescent="0.45">
      <c r="A24" s="42" t="s">
        <v>860</v>
      </c>
      <c r="B24" s="42">
        <v>4</v>
      </c>
      <c r="C24" s="71">
        <f>Substructure!D54</f>
        <v>7.5</v>
      </c>
      <c r="D24" s="71">
        <f>Substructure!G54</f>
        <v>43.764939909758922</v>
      </c>
      <c r="E24" s="71">
        <f>Substructure!H54</f>
        <v>40.764939909758922</v>
      </c>
      <c r="F24" s="71">
        <f>Substructure!J54</f>
        <v>41.764939909758922</v>
      </c>
    </row>
    <row r="25" spans="1:9" x14ac:dyDescent="0.45">
      <c r="A25" s="42" t="s">
        <v>859</v>
      </c>
      <c r="B25" s="42">
        <v>1</v>
      </c>
      <c r="C25" s="71">
        <f>Substructure!D55</f>
        <v>-6.75</v>
      </c>
      <c r="D25" s="71">
        <f>Substructure!G55</f>
        <v>43.237692232218137</v>
      </c>
      <c r="E25" s="71">
        <f>Substructure!H55</f>
        <v>40.237692232218137</v>
      </c>
      <c r="F25" s="71">
        <f>Substructure!J55</f>
        <v>41.237692232218137</v>
      </c>
    </row>
    <row r="26" spans="1:9" x14ac:dyDescent="0.45">
      <c r="A26" s="42" t="s">
        <v>859</v>
      </c>
      <c r="B26" s="42">
        <v>2</v>
      </c>
      <c r="C26" s="71">
        <f>Substructure!D56</f>
        <v>-2.25</v>
      </c>
      <c r="D26" s="71">
        <f>Substructure!G56</f>
        <v>43.237692232218137</v>
      </c>
      <c r="E26" s="71">
        <f>Substructure!H56</f>
        <v>40.237692232218137</v>
      </c>
      <c r="F26" s="71">
        <f>Substructure!J56</f>
        <v>41.237692232218137</v>
      </c>
    </row>
    <row r="27" spans="1:9" x14ac:dyDescent="0.45">
      <c r="A27" s="42" t="s">
        <v>859</v>
      </c>
      <c r="B27" s="42">
        <v>3</v>
      </c>
      <c r="C27" s="71">
        <f>Substructure!D57</f>
        <v>2.25</v>
      </c>
      <c r="D27" s="71">
        <f>Substructure!G57</f>
        <v>43.237692232218137</v>
      </c>
      <c r="E27" s="71">
        <f>Substructure!H57</f>
        <v>40.237692232218137</v>
      </c>
      <c r="F27" s="71">
        <f>Substructure!J57</f>
        <v>41.237692232218137</v>
      </c>
    </row>
    <row r="28" spans="1:9" x14ac:dyDescent="0.45">
      <c r="A28" s="42" t="s">
        <v>859</v>
      </c>
      <c r="B28" s="42">
        <v>4</v>
      </c>
      <c r="C28" s="71">
        <f>Substructure!D58</f>
        <v>6.75</v>
      </c>
      <c r="D28" s="71">
        <f>Substructure!G58</f>
        <v>43.237692232218137</v>
      </c>
      <c r="E28" s="71">
        <f>Substructure!H58</f>
        <v>40.237692232218137</v>
      </c>
      <c r="F28" s="71">
        <f>Substructure!J58</f>
        <v>41.237692232218137</v>
      </c>
    </row>
    <row r="29" spans="1:9" x14ac:dyDescent="0.45">
      <c r="A29" s="42" t="s">
        <v>861</v>
      </c>
      <c r="B29" s="42">
        <v>1</v>
      </c>
      <c r="C29" s="71">
        <f>Substructure!D59</f>
        <v>-6.75</v>
      </c>
      <c r="D29" s="71">
        <f>Substructure!G59</f>
        <v>43.249692144029659</v>
      </c>
      <c r="E29" s="71">
        <f>Substructure!H59</f>
        <v>40.249692144029659</v>
      </c>
      <c r="F29" s="71">
        <f>Substructure!J59</f>
        <v>41.249692144029659</v>
      </c>
    </row>
    <row r="30" spans="1:9" x14ac:dyDescent="0.45">
      <c r="A30" s="42" t="s">
        <v>861</v>
      </c>
      <c r="B30" s="42">
        <v>2</v>
      </c>
      <c r="C30" s="71">
        <f>Substructure!D60</f>
        <v>-2.25</v>
      </c>
      <c r="D30" s="71">
        <f>Substructure!G60</f>
        <v>43.249692144029659</v>
      </c>
      <c r="E30" s="71">
        <f>Substructure!H60</f>
        <v>40.249692144029659</v>
      </c>
      <c r="F30" s="71">
        <f>Substructure!J60</f>
        <v>41.249692144029659</v>
      </c>
    </row>
    <row r="31" spans="1:9" x14ac:dyDescent="0.45">
      <c r="A31" s="42" t="s">
        <v>861</v>
      </c>
      <c r="B31" s="42">
        <v>3</v>
      </c>
      <c r="C31" s="71">
        <f>Substructure!D61</f>
        <v>2.25</v>
      </c>
      <c r="D31" s="71">
        <f>Substructure!G61</f>
        <v>43.249692144029659</v>
      </c>
      <c r="E31" s="71">
        <f>Substructure!H61</f>
        <v>40.249692144029659</v>
      </c>
      <c r="F31" s="71">
        <f>Substructure!J61</f>
        <v>41.249692144029659</v>
      </c>
    </row>
    <row r="32" spans="1:9" x14ac:dyDescent="0.45">
      <c r="A32" s="42" t="s">
        <v>861</v>
      </c>
      <c r="B32" s="42">
        <v>4</v>
      </c>
      <c r="C32" s="71">
        <f>Substructure!D62</f>
        <v>6.75</v>
      </c>
      <c r="D32" s="71">
        <f>Substructure!G62</f>
        <v>43.249692144029659</v>
      </c>
      <c r="E32" s="71">
        <f>Substructure!H62</f>
        <v>40.249692144029659</v>
      </c>
      <c r="F32" s="71">
        <f>Substructure!J62</f>
        <v>41.249692144029659</v>
      </c>
    </row>
    <row r="34" spans="1:9" x14ac:dyDescent="0.45">
      <c r="A34" s="6" t="s">
        <v>1561</v>
      </c>
    </row>
    <row r="35" spans="1:9" ht="54" customHeight="1" x14ac:dyDescent="0.45">
      <c r="A35" s="19" t="s">
        <v>1543</v>
      </c>
      <c r="B35" s="19" t="s">
        <v>1562</v>
      </c>
      <c r="C35" s="19" t="s">
        <v>1563</v>
      </c>
      <c r="D35" s="19" t="s">
        <v>1564</v>
      </c>
      <c r="E35" s="19" t="s">
        <v>1565</v>
      </c>
      <c r="F35" s="19" t="s">
        <v>1566</v>
      </c>
      <c r="G35" s="19" t="s">
        <v>1567</v>
      </c>
      <c r="H35" s="19" t="s">
        <v>1568</v>
      </c>
      <c r="I35" s="19" t="s">
        <v>1569</v>
      </c>
    </row>
    <row r="36" spans="1:9" x14ac:dyDescent="0.45">
      <c r="A36" s="42" t="s">
        <v>1007</v>
      </c>
      <c r="B36" s="71">
        <f>EB1_BwTopL</f>
        <v>47.111000000000004</v>
      </c>
      <c r="C36" s="71">
        <f>EB1_BwTop0</f>
        <v>47.306833333333337</v>
      </c>
      <c r="D36" s="71">
        <f>EB1_BwTopR</f>
        <v>47.111000000000004</v>
      </c>
      <c r="E36" s="71">
        <f>EB1_CkTopLv</f>
        <v>48.269044756099099</v>
      </c>
      <c r="F36" s="71">
        <f>EB1_CkTopRv</f>
        <v>48.264512455291452</v>
      </c>
      <c r="G36" s="71">
        <f>EB1_CkBotL</f>
        <v>40.237692232218137</v>
      </c>
      <c r="H36" s="71">
        <f>EB1_LugBotL</f>
        <v>39.737692232218137</v>
      </c>
      <c r="I36" s="75">
        <f>EB1_LugFace</f>
        <v>1591.72</v>
      </c>
    </row>
    <row r="37" spans="1:9" x14ac:dyDescent="0.45">
      <c r="A37" s="42" t="s">
        <v>1008</v>
      </c>
      <c r="B37" s="71">
        <f>EB2_BwTopL</f>
        <v>47.123000000000005</v>
      </c>
      <c r="C37" s="71">
        <f>EB2_BwTop0</f>
        <v>47.318833333333338</v>
      </c>
      <c r="D37" s="71">
        <f>EB2_BwTopR</f>
        <v>47.123000000000005</v>
      </c>
      <c r="E37" s="71">
        <f>EB2_CkTopLv</f>
        <v>48.277042695716602</v>
      </c>
      <c r="F37" s="71">
        <f>EB2_CkTopRv</f>
        <v>48.259802877755398</v>
      </c>
      <c r="G37" s="71">
        <f>EB2_CkBotL</f>
        <v>40.249692144029659</v>
      </c>
      <c r="H37" s="71">
        <f>EB2_LugBotL</f>
        <v>39.749692144029659</v>
      </c>
      <c r="I37" s="75">
        <f>EB2_LugFace</f>
        <v>1806.97</v>
      </c>
    </row>
    <row r="38" spans="1:9" x14ac:dyDescent="0.45">
      <c r="A38" s="8" t="s">
        <v>1570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8A96A3"/>
    <pageSetUpPr fitToPage="1"/>
  </sheetPr>
  <dimension ref="B1:S225"/>
  <sheetViews>
    <sheetView showGridLines="0" workbookViewId="0"/>
  </sheetViews>
  <sheetFormatPr defaultRowHeight="14.25" x14ac:dyDescent="0.45"/>
  <cols>
    <col min="1" max="1" width="2" customWidth="1"/>
    <col min="2" max="13" width="11.46484375" customWidth="1"/>
    <col min="16" max="16" width="46" customWidth="1"/>
    <col min="17" max="18" width="14" customWidth="1"/>
    <col min="19" max="19" width="12" customWidth="1"/>
  </cols>
  <sheetData>
    <row r="1" spans="2:19" ht="20.65" x14ac:dyDescent="0.6">
      <c r="B1" s="35" t="s">
        <v>1571</v>
      </c>
      <c r="P1" s="43" t="s">
        <v>785</v>
      </c>
    </row>
    <row r="2" spans="2:19" x14ac:dyDescent="0.45">
      <c r="B2" s="8" t="s">
        <v>1572</v>
      </c>
      <c r="P2" s="44" t="s">
        <v>787</v>
      </c>
    </row>
    <row r="3" spans="2:19"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9" ht="42.6" customHeight="1" x14ac:dyDescent="0.45">
      <c r="B4" s="85" t="s">
        <v>1573</v>
      </c>
      <c r="C4" s="83"/>
      <c r="D4" s="83"/>
      <c r="E4" s="83"/>
      <c r="F4" s="83"/>
      <c r="G4" s="83"/>
      <c r="H4" s="83"/>
      <c r="I4" s="83"/>
      <c r="J4" s="83"/>
      <c r="K4" s="83"/>
      <c r="L4" s="83"/>
      <c r="M4" s="83"/>
      <c r="P4" s="45" t="s">
        <v>1111</v>
      </c>
    </row>
    <row r="5" spans="2:19" ht="15" customHeight="1" x14ac:dyDescent="0.45">
      <c r="P5" s="46" t="s">
        <v>790</v>
      </c>
      <c r="Q5" s="46" t="s">
        <v>791</v>
      </c>
      <c r="R5" s="46" t="s">
        <v>792</v>
      </c>
      <c r="S5" s="46" t="s">
        <v>793</v>
      </c>
    </row>
    <row r="6" spans="2:19" ht="15" customHeight="1" x14ac:dyDescent="0.45">
      <c r="P6" s="44" t="s">
        <v>1114</v>
      </c>
      <c r="Q6" s="48">
        <f>MIN('Bearing Seats'!$G$26,'Bearing Seats'!$H$26,'Bearing Seats'!$I$26,'Bearing Seats'!$J$26)-0.006</f>
        <v>44.253763695637588</v>
      </c>
    </row>
    <row r="7" spans="2:19" ht="15" customHeight="1" x14ac:dyDescent="0.45">
      <c r="P7" s="44" t="s">
        <v>1115</v>
      </c>
      <c r="Q7" s="48">
        <f>MAX('Bearing Seats'!$G$26,'Bearing Seats'!$H$26,'Bearing Seats'!$I$26,'Bearing Seats'!$J$26)+0.004</f>
        <v>44.270863200630295</v>
      </c>
    </row>
    <row r="8" spans="2:19" ht="15" customHeight="1" x14ac:dyDescent="0.45">
      <c r="P8" s="44" t="s">
        <v>1116</v>
      </c>
      <c r="Q8" s="47">
        <f>'Bearing Seats'!$C$26</f>
        <v>1698.57</v>
      </c>
      <c r="R8" s="47">
        <f>$Q$6</f>
        <v>44.253763695637588</v>
      </c>
    </row>
    <row r="9" spans="2:19" ht="15" customHeight="1" x14ac:dyDescent="0.45">
      <c r="Q9" s="47">
        <f>'Bearing Seats'!$C$26</f>
        <v>1698.57</v>
      </c>
      <c r="R9" s="47">
        <f>'Bearing Seats'!$G$26</f>
        <v>44.259763695637588</v>
      </c>
    </row>
    <row r="10" spans="2:19" ht="15" customHeight="1" x14ac:dyDescent="0.45">
      <c r="Q10" s="47">
        <f>'Bearing Seats'!$D$26</f>
        <v>1700.1116666666667</v>
      </c>
      <c r="R10" s="47">
        <f>'Bearing Seats'!$H$26</f>
        <v>44.266863200630297</v>
      </c>
    </row>
    <row r="11" spans="2:19" ht="15" customHeight="1" x14ac:dyDescent="0.45">
      <c r="Q11" s="47">
        <f>'Bearing Seats'!$E$26</f>
        <v>1701.0283333333332</v>
      </c>
      <c r="R11" s="47">
        <f>'Bearing Seats'!$I$26</f>
        <v>44.266259130867788</v>
      </c>
    </row>
    <row r="12" spans="2:19" ht="15" customHeight="1" x14ac:dyDescent="0.45">
      <c r="Q12" s="47">
        <f>'Bearing Seats'!$F$26</f>
        <v>1702.57</v>
      </c>
      <c r="R12" s="47">
        <f>'Bearing Seats'!$J$26</f>
        <v>44.261378012764986</v>
      </c>
    </row>
    <row r="13" spans="2:19" ht="15" customHeight="1" x14ac:dyDescent="0.45">
      <c r="Q13" s="47">
        <f>'Bearing Seats'!$F$26</f>
        <v>1702.57</v>
      </c>
      <c r="R13" s="47">
        <f>$Q$6</f>
        <v>44.253763695637588</v>
      </c>
    </row>
    <row r="14" spans="2:19" ht="15" customHeight="1" x14ac:dyDescent="0.45">
      <c r="Q14" s="47">
        <f>'Bearing Seats'!$C$26</f>
        <v>1698.57</v>
      </c>
      <c r="R14" s="47">
        <f>$Q$6</f>
        <v>44.253763695637588</v>
      </c>
    </row>
    <row r="15" spans="2:19" ht="15" customHeight="1" x14ac:dyDescent="0.45"/>
    <row r="16" spans="2:19" ht="15" customHeight="1" x14ac:dyDescent="0.45">
      <c r="P16" s="44" t="s">
        <v>1117</v>
      </c>
      <c r="Q16" s="47">
        <f>'Bearing Seats'!$C$26</f>
        <v>1698.57</v>
      </c>
      <c r="R16" s="47">
        <f>'Bearing Seats'!$G$26</f>
        <v>44.259763695637588</v>
      </c>
    </row>
    <row r="17" spans="2:18" ht="15" customHeight="1" x14ac:dyDescent="0.45">
      <c r="Q17" s="47">
        <f>'Bearing Seats'!$D$26</f>
        <v>1700.1116666666667</v>
      </c>
      <c r="R17" s="47">
        <f>'Bearing Seats'!$H$26</f>
        <v>44.266863200630297</v>
      </c>
    </row>
    <row r="18" spans="2:18" ht="15" customHeight="1" x14ac:dyDescent="0.45">
      <c r="Q18" s="47">
        <f>'Bearing Seats'!$E$26</f>
        <v>1701.0283333333332</v>
      </c>
      <c r="R18" s="47">
        <f>'Bearing Seats'!$I$26</f>
        <v>44.266259130867788</v>
      </c>
    </row>
    <row r="19" spans="2:18" ht="15" customHeight="1" x14ac:dyDescent="0.45">
      <c r="Q19" s="47">
        <f>'Bearing Seats'!$F$26</f>
        <v>1702.57</v>
      </c>
      <c r="R19" s="47">
        <f>'Bearing Seats'!$J$26</f>
        <v>44.261378012764986</v>
      </c>
    </row>
    <row r="20" spans="2:18" ht="15" customHeight="1" x14ac:dyDescent="0.45"/>
    <row r="21" spans="2:18" ht="15" customHeight="1" x14ac:dyDescent="0.45">
      <c r="P21" s="44" t="s">
        <v>1118</v>
      </c>
      <c r="Q21" s="47">
        <f>Pier_Sta</f>
        <v>1700.57</v>
      </c>
      <c r="R21" s="47">
        <f>$Q$6</f>
        <v>44.253763695637588</v>
      </c>
    </row>
    <row r="22" spans="2:18" ht="15" customHeight="1" x14ac:dyDescent="0.45">
      <c r="Q22" s="47">
        <f>Pier_Sta</f>
        <v>1700.57</v>
      </c>
      <c r="R22" s="47">
        <f>$Q$7</f>
        <v>44.270863200630295</v>
      </c>
    </row>
    <row r="23" spans="2:18" ht="16.25" customHeight="1" x14ac:dyDescent="0.45">
      <c r="B23" s="82" t="s">
        <v>1574</v>
      </c>
      <c r="C23" s="83"/>
      <c r="D23" s="83"/>
      <c r="E23" s="83"/>
      <c r="F23" s="83"/>
      <c r="G23" s="83"/>
      <c r="H23" s="83"/>
      <c r="I23" s="83"/>
      <c r="J23" s="83"/>
      <c r="K23" s="83"/>
      <c r="L23" s="83"/>
      <c r="M23" s="83"/>
    </row>
    <row r="24" spans="2:18" ht="15" customHeight="1" x14ac:dyDescent="0.45">
      <c r="P24" s="44" t="s">
        <v>1118</v>
      </c>
      <c r="Q24" s="47">
        <f>Pier_Sta</f>
        <v>1700.57</v>
      </c>
      <c r="R24" s="47">
        <f>$Q$7</f>
        <v>44.270863200630295</v>
      </c>
    </row>
    <row r="25" spans="2:18" ht="15" customHeight="1" x14ac:dyDescent="0.45"/>
    <row r="26" spans="2:18" ht="15" customHeight="1" x14ac:dyDescent="0.45">
      <c r="P26" s="44" t="str">
        <f>"A/C"&amp;CHAR(10)&amp;TEXT('Bearing Seats'!$G$26,"0.0000")</f>
        <v>A/C
44.2598</v>
      </c>
      <c r="Q26" s="47">
        <f>'Bearing Seats'!$C$26</f>
        <v>1698.57</v>
      </c>
      <c r="R26" s="47">
        <f>'Bearing Seats'!$G$26</f>
        <v>44.259763695637588</v>
      </c>
    </row>
    <row r="27" spans="2:18" ht="15" customHeight="1" x14ac:dyDescent="0.45"/>
    <row r="28" spans="2:18" ht="15" customHeight="1" x14ac:dyDescent="0.45">
      <c r="P28" s="44" t="str">
        <f>"E"&amp;CHAR(10)&amp;TEXT('Bearing Seats'!$H$26,"0.0000")</f>
        <v>E
44.2669</v>
      </c>
      <c r="Q28" s="47">
        <f>'Bearing Seats'!$D$26</f>
        <v>1700.1116666666667</v>
      </c>
      <c r="R28" s="47">
        <f>'Bearing Seats'!$H$26</f>
        <v>44.266863200630297</v>
      </c>
    </row>
    <row r="29" spans="2:18" ht="15" customHeight="1" x14ac:dyDescent="0.45"/>
    <row r="30" spans="2:18" ht="15" customHeight="1" x14ac:dyDescent="0.45">
      <c r="P30" s="44" t="str">
        <f>"F"&amp;CHAR(10)&amp;TEXT('Bearing Seats'!$I$26,"0.0000")</f>
        <v>F
44.2663</v>
      </c>
      <c r="Q30" s="47">
        <f>'Bearing Seats'!$E$26</f>
        <v>1701.0283333333332</v>
      </c>
      <c r="R30" s="47">
        <f>'Bearing Seats'!$I$26</f>
        <v>44.266259130867788</v>
      </c>
    </row>
    <row r="31" spans="2:18" ht="15" customHeight="1" x14ac:dyDescent="0.45"/>
    <row r="32" spans="2:18" ht="15" customHeight="1" x14ac:dyDescent="0.45">
      <c r="P32" s="44" t="str">
        <f>"B/D"&amp;CHAR(10)&amp;TEXT('Bearing Seats'!$J$26,"0.0000")</f>
        <v>B/D
44.2614</v>
      </c>
      <c r="Q32" s="47">
        <f>'Bearing Seats'!$F$26</f>
        <v>1702.57</v>
      </c>
      <c r="R32" s="47">
        <f>'Bearing Seats'!$J$26</f>
        <v>44.261378012764986</v>
      </c>
    </row>
    <row r="33" spans="2:19" ht="15" customHeight="1" x14ac:dyDescent="0.45"/>
    <row r="34" spans="2:19" ht="15" customHeight="1" x14ac:dyDescent="0.45"/>
    <row r="35" spans="2:19" ht="15" customHeight="1" x14ac:dyDescent="0.45">
      <c r="P35" s="45" t="s">
        <v>1251</v>
      </c>
    </row>
    <row r="36" spans="2:19" ht="15" customHeight="1" x14ac:dyDescent="0.45">
      <c r="P36" s="46" t="s">
        <v>790</v>
      </c>
      <c r="Q36" s="46" t="s">
        <v>791</v>
      </c>
      <c r="R36" s="46" t="s">
        <v>792</v>
      </c>
      <c r="S36" s="46" t="s">
        <v>793</v>
      </c>
    </row>
    <row r="37" spans="2:19" ht="15" customHeight="1" x14ac:dyDescent="0.45">
      <c r="P37" s="44" t="s">
        <v>1219</v>
      </c>
      <c r="Q37" s="48">
        <f>Pier_Top</f>
        <v>43.764939909758922</v>
      </c>
    </row>
    <row r="38" spans="2:19" ht="15" customHeight="1" x14ac:dyDescent="0.45">
      <c r="P38" s="44" t="s">
        <v>1220</v>
      </c>
      <c r="Q38" s="48">
        <f>MIN(((Pier_Top+Pier_Slope*((Pier_Ctr-Pier_Len/2)-Pier_Ctr)))-$Q$37,((Pier_Top+Pier_Slope*((Pier_Ctr+Pier_Len/2)-Pier_Ctr)))-$Q$37)-Pier_Depth</f>
        <v>-3</v>
      </c>
    </row>
    <row r="39" spans="2:19" ht="15" customHeight="1" x14ac:dyDescent="0.45">
      <c r="P39" s="44" t="s">
        <v>1226</v>
      </c>
      <c r="Q39" s="47">
        <f>Pier_Ctr-Pier_Len/2</f>
        <v>-9.5833333333333339</v>
      </c>
      <c r="R39" s="47">
        <f>((Pier_Top+Pier_Slope*((Pier_Ctr-Pier_Len/2)-Pier_Ctr)))-$Q$37</f>
        <v>0</v>
      </c>
    </row>
    <row r="40" spans="2:19" ht="16.25" customHeight="1" x14ac:dyDescent="0.45">
      <c r="B40" s="82" t="s">
        <v>1575</v>
      </c>
      <c r="C40" s="83"/>
      <c r="D40" s="83"/>
      <c r="E40" s="83"/>
      <c r="F40" s="83"/>
      <c r="G40" s="83"/>
      <c r="H40" s="83"/>
      <c r="I40" s="83"/>
      <c r="J40" s="83"/>
      <c r="K40" s="83"/>
      <c r="L40" s="83"/>
      <c r="M40" s="83"/>
      <c r="Q40" s="47">
        <f>Pier_Ctr+Pier_Len/2</f>
        <v>9.5833333333333339</v>
      </c>
      <c r="R40" s="47">
        <f>((Pier_Top+Pier_Slope*((Pier_Ctr+Pier_Len/2)-Pier_Ctr)))-$Q$37</f>
        <v>0</v>
      </c>
    </row>
    <row r="41" spans="2:19" ht="16.25" customHeight="1" x14ac:dyDescent="0.45">
      <c r="B41" s="85" t="s">
        <v>1576</v>
      </c>
      <c r="C41" s="83"/>
      <c r="D41" s="83"/>
      <c r="E41" s="83"/>
      <c r="F41" s="83"/>
      <c r="G41" s="83"/>
      <c r="H41" s="83"/>
      <c r="I41" s="83"/>
      <c r="J41" s="83"/>
      <c r="K41" s="83"/>
      <c r="L41" s="83"/>
      <c r="M41" s="83"/>
      <c r="Q41" s="47">
        <f>Pier_Ctr+Pier_Len/2</f>
        <v>9.5833333333333339</v>
      </c>
      <c r="R41" s="47">
        <f>((Pier_Top+Pier_Slope*((Pier_Ctr+Pier_Len/2)-Pier_Ctr))-Pier_Depth)-$Q$37</f>
        <v>-3</v>
      </c>
    </row>
    <row r="42" spans="2:19" ht="15" customHeight="1" x14ac:dyDescent="0.45">
      <c r="Q42" s="47">
        <f>Pier_Ctr-Pier_Len/2</f>
        <v>-9.5833333333333339</v>
      </c>
      <c r="R42" s="47">
        <f>((Pier_Top+Pier_Slope*((Pier_Ctr-Pier_Len/2)-Pier_Ctr))-Pier_Depth)-$Q$37</f>
        <v>-3</v>
      </c>
    </row>
    <row r="43" spans="2:19" ht="15" customHeight="1" x14ac:dyDescent="0.45">
      <c r="Q43" s="47">
        <f>Pier_Ctr-Pier_Len/2</f>
        <v>-9.5833333333333339</v>
      </c>
      <c r="R43" s="47">
        <f>((Pier_Top+Pier_Slope*((Pier_Ctr-Pier_Len/2)-Pier_Ctr)))-$Q$37</f>
        <v>0</v>
      </c>
    </row>
    <row r="44" spans="2:19" ht="15" customHeight="1" x14ac:dyDescent="0.45"/>
    <row r="45" spans="2:19" ht="15" customHeight="1" x14ac:dyDescent="0.45">
      <c r="P45" s="44" t="s">
        <v>1228</v>
      </c>
      <c r="Q45" s="47">
        <f>Substructure!$D$51-Pier_PileD/12/2</f>
        <v>-8.3333333333333339</v>
      </c>
      <c r="R45" s="47">
        <f>(Substructure!$J$51)-$Q$37</f>
        <v>-2</v>
      </c>
    </row>
    <row r="46" spans="2:19" ht="15" customHeight="1" x14ac:dyDescent="0.45">
      <c r="Q46" s="47">
        <f>Substructure!$D$51+Pier_PileD/12/2</f>
        <v>-6.666666666666667</v>
      </c>
      <c r="R46" s="47">
        <f>(Substructure!$J$51)-$Q$37</f>
        <v>-2</v>
      </c>
    </row>
    <row r="47" spans="2:19" ht="15" customHeight="1" x14ac:dyDescent="0.45">
      <c r="Q47" s="47">
        <f>Substructure!$D$51+Pier_PileD/12/2</f>
        <v>-6.666666666666667</v>
      </c>
      <c r="R47" s="47">
        <f>(Substructure!$H$51)-$Q$37-2.2</f>
        <v>-5.2</v>
      </c>
    </row>
    <row r="48" spans="2:19" ht="15" customHeight="1" x14ac:dyDescent="0.45">
      <c r="Q48" s="47">
        <f>Substructure!$D$51-Pier_PileD/12/2</f>
        <v>-8.3333333333333339</v>
      </c>
      <c r="R48" s="47">
        <f>(Substructure!$H$51)-$Q$37-2.2</f>
        <v>-5.2</v>
      </c>
    </row>
    <row r="49" spans="2:18" ht="15" customHeight="1" x14ac:dyDescent="0.45">
      <c r="Q49" s="47">
        <f>Substructure!$D$51-Pier_PileD/12/2</f>
        <v>-8.3333333333333339</v>
      </c>
      <c r="R49" s="47">
        <f>(Substructure!$J$51)-$Q$37</f>
        <v>-2</v>
      </c>
    </row>
    <row r="50" spans="2:18" ht="15" customHeight="1" x14ac:dyDescent="0.45"/>
    <row r="51" spans="2:18" ht="15" customHeight="1" x14ac:dyDescent="0.45">
      <c r="Q51" s="47">
        <f>Substructure!$D$52-Pier_PileD/12/2</f>
        <v>-3.3333333333333335</v>
      </c>
      <c r="R51" s="47">
        <f>(Substructure!$J$52)-$Q$37</f>
        <v>-2</v>
      </c>
    </row>
    <row r="52" spans="2:18" ht="15" customHeight="1" x14ac:dyDescent="0.45">
      <c r="Q52" s="47">
        <f>Substructure!$D$52+Pier_PileD/12/2</f>
        <v>-1.6666666666666665</v>
      </c>
      <c r="R52" s="47">
        <f>(Substructure!$J$52)-$Q$37</f>
        <v>-2</v>
      </c>
    </row>
    <row r="53" spans="2:18" ht="15" customHeight="1" x14ac:dyDescent="0.45">
      <c r="Q53" s="47">
        <f>Substructure!$D$52+Pier_PileD/12/2</f>
        <v>-1.6666666666666665</v>
      </c>
      <c r="R53" s="47">
        <f>(Substructure!$H$52)-$Q$37-2.2</f>
        <v>-5.2</v>
      </c>
    </row>
    <row r="54" spans="2:18" ht="15" customHeight="1" x14ac:dyDescent="0.45">
      <c r="Q54" s="47">
        <f>Substructure!$D$52-Pier_PileD/12/2</f>
        <v>-3.3333333333333335</v>
      </c>
      <c r="R54" s="47">
        <f>(Substructure!$H$52)-$Q$37-2.2</f>
        <v>-5.2</v>
      </c>
    </row>
    <row r="55" spans="2:18" ht="15" customHeight="1" x14ac:dyDescent="0.45">
      <c r="Q55" s="47">
        <f>Substructure!$D$52-Pier_PileD/12/2</f>
        <v>-3.3333333333333335</v>
      </c>
      <c r="R55" s="47">
        <f>(Substructure!$J$52)-$Q$37</f>
        <v>-2</v>
      </c>
    </row>
    <row r="56" spans="2:18" ht="15" customHeight="1" x14ac:dyDescent="0.45"/>
    <row r="57" spans="2:18" ht="15" customHeight="1" x14ac:dyDescent="0.45">
      <c r="Q57" s="47">
        <f>Substructure!$D$53-Pier_PileD/12/2</f>
        <v>1.6666666666666665</v>
      </c>
      <c r="R57" s="47">
        <f>(Substructure!$J$53)-$Q$37</f>
        <v>-2</v>
      </c>
    </row>
    <row r="58" spans="2:18" ht="15" customHeight="1" x14ac:dyDescent="0.45">
      <c r="Q58" s="47">
        <f>Substructure!$D$53+Pier_PileD/12/2</f>
        <v>3.3333333333333335</v>
      </c>
      <c r="R58" s="47">
        <f>(Substructure!$J$53)-$Q$37</f>
        <v>-2</v>
      </c>
    </row>
    <row r="59" spans="2:18" ht="15" customHeight="1" x14ac:dyDescent="0.45">
      <c r="Q59" s="47">
        <f>Substructure!$D$53+Pier_PileD/12/2</f>
        <v>3.3333333333333335</v>
      </c>
      <c r="R59" s="47">
        <f>(Substructure!$H$53)-$Q$37-2.2</f>
        <v>-5.2</v>
      </c>
    </row>
    <row r="60" spans="2:18" ht="15" customHeight="1" x14ac:dyDescent="0.45">
      <c r="Q60" s="47">
        <f>Substructure!$D$53-Pier_PileD/12/2</f>
        <v>1.6666666666666665</v>
      </c>
      <c r="R60" s="47">
        <f>(Substructure!$H$53)-$Q$37-2.2</f>
        <v>-5.2</v>
      </c>
    </row>
    <row r="61" spans="2:18" ht="15" customHeight="1" x14ac:dyDescent="0.45">
      <c r="Q61" s="47">
        <f>Substructure!$D$53-Pier_PileD/12/2</f>
        <v>1.6666666666666665</v>
      </c>
      <c r="R61" s="47">
        <f>(Substructure!$J$53)-$Q$37</f>
        <v>-2</v>
      </c>
    </row>
    <row r="62" spans="2:18" ht="16.25" customHeight="1" x14ac:dyDescent="0.45">
      <c r="B62" s="82" t="s">
        <v>1577</v>
      </c>
      <c r="C62" s="83"/>
      <c r="D62" s="83"/>
      <c r="E62" s="83"/>
      <c r="F62" s="83"/>
      <c r="G62" s="83"/>
      <c r="H62" s="83"/>
      <c r="I62" s="83"/>
      <c r="J62" s="83"/>
      <c r="K62" s="83"/>
      <c r="L62" s="83"/>
      <c r="M62" s="83"/>
    </row>
    <row r="63" spans="2:18" ht="54" customHeight="1" x14ac:dyDescent="0.45">
      <c r="B63" s="85" t="str">
        <f>"The end-bent wall table lists the backwall top at both cap ends and at the PGL (deck-top line at the FFBW less the "&amp;TEXT(EB1_BwDrop,"General")&amp;"-in EB1 / "&amp;TEXT(EB2_BwDrop,"General")&amp;"-in EB2 seat), both cheek tops (D-033 return bases), the cheek bottom at the cap underside, the lug bottom and the rear-lug face station where the MSE copings stop. All values link to Substructure section F."</f>
        <v>The end-bent wall table lists the backwall top at both cap ends and at the PGL (deck-top line at the FFBW less the 4.25-in EB1 / 4.25-in EB2 seat), both cheek tops (D-033 return bases), the cheek bottom at the cap underside, the lug bottom and the rear-lug face station where the MSE copings stop. All values link to Substructure section F.</v>
      </c>
      <c r="C63" s="83"/>
      <c r="D63" s="83"/>
      <c r="E63" s="83"/>
      <c r="F63" s="83"/>
      <c r="G63" s="83"/>
      <c r="H63" s="83"/>
      <c r="I63" s="83"/>
      <c r="J63" s="83"/>
      <c r="K63" s="83"/>
      <c r="L63" s="83"/>
      <c r="M63" s="83"/>
      <c r="Q63" s="47">
        <f>Substructure!$D$54-Pier_PileD/12/2</f>
        <v>6.666666666666667</v>
      </c>
      <c r="R63" s="47">
        <f>(Substructure!$J$54)-$Q$37</f>
        <v>-2</v>
      </c>
    </row>
    <row r="64" spans="2:18" ht="15" customHeight="1" x14ac:dyDescent="0.45">
      <c r="Q64" s="47">
        <f>Substructure!$D$54+Pier_PileD/12/2</f>
        <v>8.3333333333333339</v>
      </c>
      <c r="R64" s="47">
        <f>(Substructure!$J$54)-$Q$37</f>
        <v>-2</v>
      </c>
    </row>
    <row r="65" spans="16:18" ht="15" customHeight="1" x14ac:dyDescent="0.45">
      <c r="Q65" s="47">
        <f>Substructure!$D$54+Pier_PileD/12/2</f>
        <v>8.3333333333333339</v>
      </c>
      <c r="R65" s="47">
        <f>(Substructure!$H$54)-$Q$37-2.2</f>
        <v>-5.2</v>
      </c>
    </row>
    <row r="66" spans="16:18" ht="15" customHeight="1" x14ac:dyDescent="0.45">
      <c r="Q66" s="47">
        <f>Substructure!$D$54-Pier_PileD/12/2</f>
        <v>6.666666666666667</v>
      </c>
      <c r="R66" s="47">
        <f>(Substructure!$H$54)-$Q$37-2.2</f>
        <v>-5.2</v>
      </c>
    </row>
    <row r="67" spans="16:18" ht="15" customHeight="1" x14ac:dyDescent="0.45">
      <c r="Q67" s="47">
        <f>Substructure!$D$54-Pier_PileD/12/2</f>
        <v>6.666666666666667</v>
      </c>
      <c r="R67" s="47">
        <f>(Substructure!$J$54)-$Q$37</f>
        <v>-2</v>
      </c>
    </row>
    <row r="68" spans="16:18" ht="15" customHeight="1" x14ac:dyDescent="0.45"/>
    <row r="69" spans="16:18" ht="15" customHeight="1" x14ac:dyDescent="0.45">
      <c r="P69" s="44" t="str">
        <f>"pile cutoff"&amp;CHAR(10)&amp;TEXT(Substructure!$J$51,"0.0000")</f>
        <v>pile cutoff
41.7649</v>
      </c>
      <c r="Q69" s="47">
        <f>Substructure!$D$51</f>
        <v>-7.5</v>
      </c>
      <c r="R69" s="47">
        <f>(Substructure!$J$51)-$Q$37</f>
        <v>-2</v>
      </c>
    </row>
    <row r="70" spans="16:18" ht="15" customHeight="1" x14ac:dyDescent="0.45"/>
    <row r="71" spans="16:18" ht="15" customHeight="1" x14ac:dyDescent="0.45">
      <c r="P71" s="44" t="str">
        <f>"pad top"&amp;CHAR(10)&amp;TEXT('Bearing Seats'!$S$10,"0.000")</f>
        <v>pad top
44.478</v>
      </c>
      <c r="Q71" s="47">
        <f>Bm1_Off</f>
        <v>-4.291666666666667</v>
      </c>
      <c r="R71" s="47">
        <f>('Bearing Seats'!$V$10)-$Q$37+Pier_Pad/12</f>
        <v>0.71354617240487761</v>
      </c>
    </row>
    <row r="72" spans="16:18" ht="15" customHeight="1" x14ac:dyDescent="0.45"/>
    <row r="73" spans="16:18" ht="15" customHeight="1" x14ac:dyDescent="0.45">
      <c r="P73" s="44" t="str">
        <f>"pad top"&amp;CHAR(10)&amp;TEXT('Bearing Seats'!$S$11,"0.000")</f>
        <v>pad top
44.478</v>
      </c>
      <c r="Q73" s="47">
        <f>Bm2_Off</f>
        <v>4.291666666666667</v>
      </c>
      <c r="R73" s="47">
        <f>('Bearing Seats'!$V$11)-$Q$37+Pier_Pad/12</f>
        <v>0.71354617240487761</v>
      </c>
    </row>
    <row r="74" spans="16:18" ht="15" customHeight="1" x14ac:dyDescent="0.45"/>
    <row r="75" spans="16:18" ht="15" customHeight="1" x14ac:dyDescent="0.45">
      <c r="P75" s="44" t="s">
        <v>1231</v>
      </c>
      <c r="Q75" s="47">
        <f>Bm1_Off-Pier_PedW/24</f>
        <v>-6.041666666666667</v>
      </c>
      <c r="R75" s="47">
        <f>((Pier_Top+Pier_Slope*((Bm1_Off-Pier_PedW/24)-Pier_Ctr)))-$Q$37</f>
        <v>0</v>
      </c>
    </row>
    <row r="76" spans="16:18" ht="15" customHeight="1" x14ac:dyDescent="0.45">
      <c r="Q76" s="47">
        <f>Bm1_Off+Pier_PedW/24</f>
        <v>-2.541666666666667</v>
      </c>
      <c r="R76" s="47">
        <f>((Pier_Top+Pier_Slope*((Bm1_Off+Pier_PedW/24)-Pier_Ctr)))-$Q$37</f>
        <v>0</v>
      </c>
    </row>
    <row r="77" spans="16:18" ht="15" customHeight="1" x14ac:dyDescent="0.45">
      <c r="Q77" s="47">
        <f>Bm1_Off+Pier_PedW/24</f>
        <v>-2.541666666666667</v>
      </c>
      <c r="R77" s="47">
        <f>('Bearing Seats'!$V$10)-$Q$37</f>
        <v>0.50000450573821098</v>
      </c>
    </row>
    <row r="78" spans="16:18" ht="15" customHeight="1" x14ac:dyDescent="0.45">
      <c r="Q78" s="47">
        <f>Bm1_Off-Pier_PedW/24</f>
        <v>-6.041666666666667</v>
      </c>
      <c r="R78" s="47">
        <f>('Bearing Seats'!$V$10)-$Q$37</f>
        <v>0.50000450573821098</v>
      </c>
    </row>
    <row r="79" spans="16:18" ht="15" customHeight="1" x14ac:dyDescent="0.45">
      <c r="Q79" s="47">
        <f>Bm1_Off-Pier_PedW/24</f>
        <v>-6.041666666666667</v>
      </c>
      <c r="R79" s="47">
        <f>((Pier_Top+Pier_Slope*((Bm1_Off-Pier_PedW/24)-Pier_Ctr)))-$Q$37</f>
        <v>0</v>
      </c>
    </row>
    <row r="80" spans="16:18" ht="15" customHeight="1" x14ac:dyDescent="0.45"/>
    <row r="81" spans="2:18" ht="15" customHeight="1" x14ac:dyDescent="0.45">
      <c r="Q81" s="47">
        <f>Bm2_Off-Pier_PedW/24</f>
        <v>2.541666666666667</v>
      </c>
      <c r="R81" s="47">
        <f>((Pier_Top+Pier_Slope*((Bm2_Off-Pier_PedW/24)-Pier_Ctr)))-$Q$37</f>
        <v>0</v>
      </c>
    </row>
    <row r="82" spans="2:18" ht="15" customHeight="1" x14ac:dyDescent="0.45">
      <c r="Q82" s="47">
        <f>Bm2_Off+Pier_PedW/24</f>
        <v>6.041666666666667</v>
      </c>
      <c r="R82" s="47">
        <f>((Pier_Top+Pier_Slope*((Bm2_Off+Pier_PedW/24)-Pier_Ctr)))-$Q$37</f>
        <v>0</v>
      </c>
    </row>
    <row r="83" spans="2:18" ht="15" customHeight="1" x14ac:dyDescent="0.45">
      <c r="Q83" s="47">
        <f>Bm2_Off+Pier_PedW/24</f>
        <v>6.041666666666667</v>
      </c>
      <c r="R83" s="47">
        <f>('Bearing Seats'!$V$11)-$Q$37</f>
        <v>0.50000450573821098</v>
      </c>
    </row>
    <row r="84" spans="2:18" ht="16.25" customHeight="1" x14ac:dyDescent="0.45">
      <c r="B84" s="82" t="s">
        <v>1578</v>
      </c>
      <c r="C84" s="83"/>
      <c r="D84" s="83"/>
      <c r="E84" s="83"/>
      <c r="F84" s="83"/>
      <c r="G84" s="83"/>
      <c r="H84" s="83"/>
      <c r="I84" s="83"/>
      <c r="J84" s="83"/>
      <c r="K84" s="83"/>
      <c r="L84" s="83"/>
      <c r="M84" s="83"/>
      <c r="Q84" s="47">
        <f>Bm2_Off-Pier_PedW/24</f>
        <v>2.541666666666667</v>
      </c>
      <c r="R84" s="47">
        <f>('Bearing Seats'!$V$11)-$Q$37</f>
        <v>0.50000450573821098</v>
      </c>
    </row>
    <row r="85" spans="2:18" x14ac:dyDescent="0.45">
      <c r="Q85" s="47">
        <f>Bm2_Off-Pier_PedW/24</f>
        <v>2.541666666666667</v>
      </c>
      <c r="R85" s="47">
        <f>((Pier_Top+Pier_Slope*((Bm2_Off-Pier_PedW/24)-Pier_Ctr)))-$Q$37</f>
        <v>0</v>
      </c>
    </row>
    <row r="87" spans="2:18" x14ac:dyDescent="0.45">
      <c r="P87" s="44" t="s">
        <v>1242</v>
      </c>
      <c r="Q87" s="47">
        <f>Bm1_Off-Pier_PadW/24</f>
        <v>-5.625</v>
      </c>
      <c r="R87" s="47">
        <f>('Bearing Seats'!$V$10)-$Q$37</f>
        <v>0.50000450573821098</v>
      </c>
    </row>
    <row r="88" spans="2:18" x14ac:dyDescent="0.45">
      <c r="Q88" s="47">
        <f>Bm1_Off+Pier_PadW/24</f>
        <v>-2.9583333333333339</v>
      </c>
      <c r="R88" s="47">
        <f>('Bearing Seats'!$V$10)-$Q$37</f>
        <v>0.50000450573821098</v>
      </c>
    </row>
    <row r="89" spans="2:18" x14ac:dyDescent="0.45">
      <c r="Q89" s="47">
        <f>Bm1_Off+Pier_PadW/24</f>
        <v>-2.9583333333333339</v>
      </c>
      <c r="R89" s="47">
        <f>('Bearing Seats'!$V$10)-$Q$37+Pier_Pad/12</f>
        <v>0.71354617240487761</v>
      </c>
    </row>
    <row r="90" spans="2:18" x14ac:dyDescent="0.45">
      <c r="Q90" s="47">
        <f>Bm1_Off-Pier_PadW/24</f>
        <v>-5.625</v>
      </c>
      <c r="R90" s="47">
        <f>('Bearing Seats'!$V$10)-$Q$37+Pier_Pad/12</f>
        <v>0.71354617240487761</v>
      </c>
    </row>
    <row r="91" spans="2:18" x14ac:dyDescent="0.45">
      <c r="Q91" s="47">
        <f>Bm1_Off-Pier_PadW/24</f>
        <v>-5.625</v>
      </c>
      <c r="R91" s="47">
        <f>('Bearing Seats'!$V$10)-$Q$37</f>
        <v>0.50000450573821098</v>
      </c>
    </row>
    <row r="93" spans="2:18" x14ac:dyDescent="0.45">
      <c r="Q93" s="47">
        <f>Bm2_Off-Pier_PadW/24</f>
        <v>2.9583333333333339</v>
      </c>
      <c r="R93" s="47">
        <f>('Bearing Seats'!$V$11)-$Q$37</f>
        <v>0.50000450573821098</v>
      </c>
    </row>
    <row r="94" spans="2:18" x14ac:dyDescent="0.45">
      <c r="Q94" s="47">
        <f>Bm2_Off+Pier_PadW/24</f>
        <v>5.625</v>
      </c>
      <c r="R94" s="47">
        <f>('Bearing Seats'!$V$11)-$Q$37</f>
        <v>0.50000450573821098</v>
      </c>
    </row>
    <row r="95" spans="2:18" x14ac:dyDescent="0.45">
      <c r="Q95" s="47">
        <f>Bm2_Off+Pier_PadW/24</f>
        <v>5.625</v>
      </c>
      <c r="R95" s="47">
        <f>('Bearing Seats'!$V$11)-$Q$37+Pier_Pad/12</f>
        <v>0.71354617240487761</v>
      </c>
    </row>
    <row r="96" spans="2:18" x14ac:dyDescent="0.45">
      <c r="Q96" s="47">
        <f>Bm2_Off-Pier_PadW/24</f>
        <v>2.9583333333333339</v>
      </c>
      <c r="R96" s="47">
        <f>('Bearing Seats'!$V$11)-$Q$37+Pier_Pad/12</f>
        <v>0.71354617240487761</v>
      </c>
    </row>
    <row r="97" spans="16:18" x14ac:dyDescent="0.45">
      <c r="Q97" s="47">
        <f>Bm2_Off-Pier_PadW/24</f>
        <v>2.9583333333333339</v>
      </c>
      <c r="R97" s="47">
        <f>('Bearing Seats'!$V$11)-$Q$37</f>
        <v>0.50000450573821098</v>
      </c>
    </row>
    <row r="99" spans="16:18" x14ac:dyDescent="0.45">
      <c r="P99" s="44" t="str">
        <f>"cap top "&amp;TEXT(Pier_Top,"0.0000")</f>
        <v>cap top 43.7649</v>
      </c>
      <c r="Q99" s="47">
        <f>Pier_Ctr</f>
        <v>0</v>
      </c>
      <c r="R99" s="47">
        <f>((Pier_Top+Pier_Slope*((Pier_Ctr)-Pier_Ctr)))-$Q$37</f>
        <v>0</v>
      </c>
    </row>
    <row r="101" spans="16:18" x14ac:dyDescent="0.45">
      <c r="P101" s="44" t="str">
        <f>"cap underside"&amp;CHAR(10)&amp;TEXT(Pier_Under,"0.0000")</f>
        <v>cap underside
40.7649</v>
      </c>
      <c r="Q101" s="47">
        <f>Pier_Ctr</f>
        <v>0</v>
      </c>
      <c r="R101" s="47">
        <f>((Pier_Top+Pier_Slope*((Pier_Ctr)-Pier_Ctr)))-$Q$37-Pier_Depth</f>
        <v>-3</v>
      </c>
    </row>
    <row r="103" spans="16:18" x14ac:dyDescent="0.45">
      <c r="P103" s="44" t="s">
        <v>1246</v>
      </c>
      <c r="Q103" s="48">
        <f>$Q$38-2.7</f>
        <v>-5.7</v>
      </c>
    </row>
    <row r="104" spans="16:18" x14ac:dyDescent="0.45">
      <c r="P104" s="44" t="s">
        <v>1247</v>
      </c>
      <c r="Q104" s="47">
        <f>Pier_Ctr-Pier_Len/2</f>
        <v>-9.5833333333333339</v>
      </c>
      <c r="R104" s="47">
        <f>$Q$103</f>
        <v>-5.7</v>
      </c>
    </row>
    <row r="105" spans="16:18" x14ac:dyDescent="0.45">
      <c r="Q105" s="47">
        <f>Pier_Ctr+Pier_Len/2</f>
        <v>9.5833333333333339</v>
      </c>
      <c r="R105" s="47">
        <f>$Q$103</f>
        <v>-5.7</v>
      </c>
    </row>
    <row r="107" spans="16:18" x14ac:dyDescent="0.45">
      <c r="P107" s="44" t="str">
        <f>"cap length "&amp;TEXT(Pier_Len*12,"0.0")&amp;" in"</f>
        <v>cap length 230.0 in</v>
      </c>
      <c r="Q107" s="47">
        <f>Pier_Ctr</f>
        <v>0</v>
      </c>
      <c r="R107" s="47">
        <f>$Q$103</f>
        <v>-5.7</v>
      </c>
    </row>
    <row r="109" spans="16:18" x14ac:dyDescent="0.45">
      <c r="P109" s="44" t="s">
        <v>1250</v>
      </c>
      <c r="Q109" s="48">
        <f>MAX(('Bearing Seats'!$V$10)-$Q$37+Pier_Pad/12,('Bearing Seats'!$V$11)-$Q$37+Pier_Pad/12)+1</f>
        <v>1.7135461724048775</v>
      </c>
    </row>
    <row r="110" spans="16:18" x14ac:dyDescent="0.45">
      <c r="P110" s="44" t="s">
        <v>802</v>
      </c>
      <c r="Q110" s="47">
        <f>Pier_Ctr-Pier_Len/2-1.3</f>
        <v>-10.883333333333335</v>
      </c>
      <c r="R110" s="47">
        <f>$Q$103-0.3</f>
        <v>-6</v>
      </c>
    </row>
    <row r="111" spans="16:18" x14ac:dyDescent="0.45">
      <c r="Q111" s="47">
        <f>Pier_Ctr+Pier_Len/2+1.3</f>
        <v>10.883333333333335</v>
      </c>
      <c r="R111" s="47">
        <f>$Q$109</f>
        <v>1.7135461724048775</v>
      </c>
    </row>
    <row r="114" spans="16:19" x14ac:dyDescent="0.45">
      <c r="P114" s="45" t="s">
        <v>1579</v>
      </c>
    </row>
    <row r="115" spans="16:19" x14ac:dyDescent="0.45">
      <c r="P115" s="46" t="s">
        <v>790</v>
      </c>
      <c r="Q115" s="46" t="s">
        <v>791</v>
      </c>
      <c r="R115" s="46" t="s">
        <v>792</v>
      </c>
      <c r="S115" s="46" t="s">
        <v>793</v>
      </c>
    </row>
    <row r="116" spans="16:19" x14ac:dyDescent="0.45">
      <c r="P116" s="44" t="s">
        <v>1219</v>
      </c>
      <c r="Q116" s="48">
        <f>EB2_Top</f>
        <v>43.249692144029659</v>
      </c>
    </row>
    <row r="117" spans="16:19" x14ac:dyDescent="0.45">
      <c r="P117" s="44" t="s">
        <v>1220</v>
      </c>
      <c r="Q117" s="48">
        <f>MIN(((EB2_Top+EB2_Slope*((EB2_Ctr-EB2_Len/2)-EB2_Ctr)))-$Q$116,((EB2_Top+EB2_Slope*((EB2_Ctr+EB2_Len/2)-EB2_Ctr)))-$Q$116)-EB2_Depth</f>
        <v>-3</v>
      </c>
    </row>
    <row r="118" spans="16:19" x14ac:dyDescent="0.45">
      <c r="P118" s="44" t="s">
        <v>1221</v>
      </c>
      <c r="Q118" s="47">
        <f>Substructure!$G$71</f>
        <v>-9.7916666666666661</v>
      </c>
      <c r="R118" s="47">
        <f>(Substructure!$G$78)-$Q$116</f>
        <v>0</v>
      </c>
    </row>
    <row r="119" spans="16:19" x14ac:dyDescent="0.45">
      <c r="Q119" s="47">
        <f>Substructure!$G$72</f>
        <v>9.7916666666666661</v>
      </c>
      <c r="R119" s="47">
        <f>(Substructure!$G$80)-$Q$116</f>
        <v>0</v>
      </c>
    </row>
    <row r="120" spans="16:19" x14ac:dyDescent="0.45">
      <c r="Q120" s="47">
        <f>Substructure!$G$72</f>
        <v>9.7916666666666661</v>
      </c>
      <c r="R120" s="47">
        <f>(Substructure!$G$77)-$Q$116</f>
        <v>3.8733078559703458</v>
      </c>
    </row>
    <row r="121" spans="16:19" x14ac:dyDescent="0.45">
      <c r="Q121" s="47">
        <f>MAX(Substructure!$G$71,MIN(0,Substructure!$G$72))</f>
        <v>0</v>
      </c>
      <c r="R121" s="47">
        <f>(Substructure!$G$76)-$Q$116</f>
        <v>4.0691411893036786</v>
      </c>
    </row>
    <row r="122" spans="16:19" x14ac:dyDescent="0.45">
      <c r="Q122" s="47">
        <f>Substructure!$G$71</f>
        <v>-9.7916666666666661</v>
      </c>
      <c r="R122" s="47">
        <f>(Substructure!$G$75)-$Q$116</f>
        <v>3.8733078559703458</v>
      </c>
    </row>
    <row r="123" spans="16:19" x14ac:dyDescent="0.45">
      <c r="Q123" s="47">
        <f>Substructure!$G$71</f>
        <v>-9.7916666666666661</v>
      </c>
      <c r="R123" s="47">
        <f>(Substructure!$G$78)-$Q$116</f>
        <v>0</v>
      </c>
    </row>
    <row r="125" spans="16:19" x14ac:dyDescent="0.45">
      <c r="P125" s="44" t="s">
        <v>1224</v>
      </c>
      <c r="Q125" s="47">
        <f>Substructure!$G$71-EB2_CkT/12</f>
        <v>-10.458333333333332</v>
      </c>
      <c r="R125" s="47">
        <f>(Substructure!$G$87)-$Q$116</f>
        <v>-3.5</v>
      </c>
    </row>
    <row r="126" spans="16:19" x14ac:dyDescent="0.45">
      <c r="Q126" s="47">
        <f>Substructure!$G$71-EB2_CkT/12+EB2_LugW/12</f>
        <v>-9.9999999999999982</v>
      </c>
      <c r="R126" s="47">
        <f>(Substructure!$G$87)-$Q$116</f>
        <v>-3.5</v>
      </c>
    </row>
    <row r="127" spans="16:19" x14ac:dyDescent="0.45">
      <c r="Q127" s="47">
        <f>Substructure!$G$71-EB2_CkT/12+EB2_LugW/12</f>
        <v>-9.9999999999999982</v>
      </c>
      <c r="R127" s="47">
        <f>(Substructure!$G$85)-$Q$116</f>
        <v>-3</v>
      </c>
    </row>
    <row r="128" spans="16:19" x14ac:dyDescent="0.45">
      <c r="Q128" s="47">
        <f>Substructure!$G$71</f>
        <v>-9.7916666666666661</v>
      </c>
      <c r="R128" s="47">
        <f>(Substructure!$G$85)-$Q$116</f>
        <v>-3</v>
      </c>
    </row>
    <row r="129" spans="16:18" x14ac:dyDescent="0.45">
      <c r="Q129" s="47">
        <f>Substructure!$G$71</f>
        <v>-9.7916666666666661</v>
      </c>
      <c r="R129" s="47">
        <f>(Substructure!$G$89)-$Q$116</f>
        <v>5.0273505516869434</v>
      </c>
    </row>
    <row r="130" spans="16:18" x14ac:dyDescent="0.45">
      <c r="Q130" s="47">
        <f>Substructure!$G$71-EB2_CkT/12</f>
        <v>-10.458333333333332</v>
      </c>
      <c r="R130" s="47">
        <f>(Substructure!$G$89)-$Q$116</f>
        <v>5.0273505516869434</v>
      </c>
    </row>
    <row r="131" spans="16:18" x14ac:dyDescent="0.45">
      <c r="Q131" s="47">
        <f>Substructure!$G$71-EB2_CkT/12</f>
        <v>-10.458333333333332</v>
      </c>
      <c r="R131" s="47">
        <f>(Substructure!$G$87)-$Q$116</f>
        <v>-3.5</v>
      </c>
    </row>
    <row r="133" spans="16:18" x14ac:dyDescent="0.45">
      <c r="Q133" s="47">
        <f>Substructure!$G$72+EB2_CkT/12-EB2_LugW/12</f>
        <v>9.9999999999999982</v>
      </c>
      <c r="R133" s="47">
        <f>(Substructure!$G$88)-$Q$116</f>
        <v>-3.5</v>
      </c>
    </row>
    <row r="134" spans="16:18" x14ac:dyDescent="0.45">
      <c r="Q134" s="47">
        <f>Substructure!$G$72+EB2_CkT/12</f>
        <v>10.458333333333332</v>
      </c>
      <c r="R134" s="47">
        <f>(Substructure!$G$88)-$Q$116</f>
        <v>-3.5</v>
      </c>
    </row>
    <row r="135" spans="16:18" x14ac:dyDescent="0.45">
      <c r="Q135" s="47">
        <f>Substructure!$G$72+EB2_CkT/12</f>
        <v>10.458333333333332</v>
      </c>
      <c r="R135" s="47">
        <f>(Substructure!$G$90)-$Q$116</f>
        <v>5.0101107337257389</v>
      </c>
    </row>
    <row r="136" spans="16:18" x14ac:dyDescent="0.45">
      <c r="Q136" s="47">
        <f>Substructure!$G$72</f>
        <v>9.7916666666666661</v>
      </c>
      <c r="R136" s="47">
        <f>(Substructure!$G$90)-$Q$116</f>
        <v>5.0101107337257389</v>
      </c>
    </row>
    <row r="137" spans="16:18" x14ac:dyDescent="0.45">
      <c r="Q137" s="47">
        <f>Substructure!$G$72</f>
        <v>9.7916666666666661</v>
      </c>
      <c r="R137" s="47">
        <f>(Substructure!$G$86)-$Q$116</f>
        <v>-3</v>
      </c>
    </row>
    <row r="138" spans="16:18" x14ac:dyDescent="0.45">
      <c r="Q138" s="47">
        <f>Substructure!$G$72+EB2_CkT/12-EB2_LugW/12</f>
        <v>9.9999999999999982</v>
      </c>
      <c r="R138" s="47">
        <f>(Substructure!$G$86)-$Q$116</f>
        <v>-3</v>
      </c>
    </row>
    <row r="139" spans="16:18" x14ac:dyDescent="0.45">
      <c r="Q139" s="47">
        <f>Substructure!$G$72+EB2_CkT/12-EB2_LugW/12</f>
        <v>9.9999999999999982</v>
      </c>
      <c r="R139" s="47">
        <f>(Substructure!$G$88)-$Q$116</f>
        <v>-3.5</v>
      </c>
    </row>
    <row r="141" spans="16:18" x14ac:dyDescent="0.45">
      <c r="P141" s="44" t="str">
        <f>"backwall top "&amp;TEXT(Substructure!$G$76,"0.000")&amp;""&amp;CHAR(10)&amp;"(behind, at FFBW)"</f>
        <v>backwall top 47.319
(behind, at FFBW)</v>
      </c>
      <c r="Q141" s="47">
        <f>0</f>
        <v>0</v>
      </c>
      <c r="R141" s="47">
        <f>(Substructure!$G$76)-$Q$116</f>
        <v>4.0691411893036786</v>
      </c>
    </row>
    <row r="143" spans="16:18" x14ac:dyDescent="0.45">
      <c r="P143" s="44" t="str">
        <f>"cheek top"&amp;CHAR(10)&amp;TEXT(Substructure!$G$89,"0.000")</f>
        <v>cheek top
48.277</v>
      </c>
      <c r="Q143" s="47">
        <f>Substructure!$G$71-EB2_CkT/12/2</f>
        <v>-10.125</v>
      </c>
      <c r="R143" s="47">
        <f>(Substructure!$G$89)-$Q$116</f>
        <v>5.0273505516869434</v>
      </c>
    </row>
    <row r="145" spans="16:18" x14ac:dyDescent="0.45">
      <c r="P145" s="44" t="str">
        <f>"cheek top"&amp;CHAR(10)&amp;TEXT(Substructure!$G$90,"0.000")</f>
        <v>cheek top
48.260</v>
      </c>
      <c r="Q145" s="47">
        <f>Substructure!$G$72+EB2_CkT/12/2</f>
        <v>10.125</v>
      </c>
      <c r="R145" s="47">
        <f>(Substructure!$G$90)-$Q$116</f>
        <v>5.0101107337257389</v>
      </c>
    </row>
    <row r="147" spans="16:18" x14ac:dyDescent="0.45">
      <c r="P147" s="44" t="s">
        <v>1226</v>
      </c>
      <c r="Q147" s="47">
        <f>EB2_Ctr-EB2_Len/2</f>
        <v>-9.7916666666666661</v>
      </c>
      <c r="R147" s="47">
        <f>((EB2_Top+EB2_Slope*((EB2_Ctr-EB2_Len/2)-EB2_Ctr)))-$Q$116</f>
        <v>0</v>
      </c>
    </row>
    <row r="148" spans="16:18" x14ac:dyDescent="0.45">
      <c r="Q148" s="47">
        <f>EB2_Ctr+EB2_Len/2</f>
        <v>9.7916666666666661</v>
      </c>
      <c r="R148" s="47">
        <f>((EB2_Top+EB2_Slope*((EB2_Ctr+EB2_Len/2)-EB2_Ctr)))-$Q$116</f>
        <v>0</v>
      </c>
    </row>
    <row r="149" spans="16:18" x14ac:dyDescent="0.45">
      <c r="Q149" s="47">
        <f>EB2_Ctr+EB2_Len/2</f>
        <v>9.7916666666666661</v>
      </c>
      <c r="R149" s="47">
        <f>((EB2_Top+EB2_Slope*((EB2_Ctr+EB2_Len/2)-EB2_Ctr))-EB2_Depth)-$Q$116</f>
        <v>-3</v>
      </c>
    </row>
    <row r="150" spans="16:18" x14ac:dyDescent="0.45">
      <c r="Q150" s="47">
        <f>EB2_Ctr-EB2_Len/2</f>
        <v>-9.7916666666666661</v>
      </c>
      <c r="R150" s="47">
        <f>((EB2_Top+EB2_Slope*((EB2_Ctr-EB2_Len/2)-EB2_Ctr))-EB2_Depth)-$Q$116</f>
        <v>-3</v>
      </c>
    </row>
    <row r="151" spans="16:18" x14ac:dyDescent="0.45">
      <c r="Q151" s="47">
        <f>EB2_Ctr-EB2_Len/2</f>
        <v>-9.7916666666666661</v>
      </c>
      <c r="R151" s="47">
        <f>((EB2_Top+EB2_Slope*((EB2_Ctr-EB2_Len/2)-EB2_Ctr)))-$Q$116</f>
        <v>0</v>
      </c>
    </row>
    <row r="153" spans="16:18" x14ac:dyDescent="0.45">
      <c r="P153" s="44" t="s">
        <v>1228</v>
      </c>
      <c r="Q153" s="47">
        <f>Substructure!$D$59-EB2_PileW/12/2</f>
        <v>-7.5</v>
      </c>
      <c r="R153" s="47">
        <f>(Substructure!$J$59)-$Q$116</f>
        <v>-2</v>
      </c>
    </row>
    <row r="154" spans="16:18" x14ac:dyDescent="0.45">
      <c r="Q154" s="47">
        <f>Substructure!$D$59+EB2_PileW/12/2</f>
        <v>-6</v>
      </c>
      <c r="R154" s="47">
        <f>(Substructure!$J$59)-$Q$116</f>
        <v>-2</v>
      </c>
    </row>
    <row r="155" spans="16:18" x14ac:dyDescent="0.45">
      <c r="Q155" s="47">
        <f>Substructure!$D$59+EB2_PileW/12/2</f>
        <v>-6</v>
      </c>
      <c r="R155" s="47">
        <f>(Substructure!$H$59)-$Q$116-2.2</f>
        <v>-5.2</v>
      </c>
    </row>
    <row r="156" spans="16:18" x14ac:dyDescent="0.45">
      <c r="Q156" s="47">
        <f>Substructure!$D$59-EB2_PileW/12/2</f>
        <v>-7.5</v>
      </c>
      <c r="R156" s="47">
        <f>(Substructure!$H$59)-$Q$116-2.2</f>
        <v>-5.2</v>
      </c>
    </row>
    <row r="157" spans="16:18" x14ac:dyDescent="0.45">
      <c r="Q157" s="47">
        <f>Substructure!$D$59-EB2_PileW/12/2</f>
        <v>-7.5</v>
      </c>
      <c r="R157" s="47">
        <f>(Substructure!$J$59)-$Q$116</f>
        <v>-2</v>
      </c>
    </row>
    <row r="159" spans="16:18" x14ac:dyDescent="0.45">
      <c r="Q159" s="47">
        <f>Substructure!$D$60-EB2_PileW/12/2</f>
        <v>-3</v>
      </c>
      <c r="R159" s="47">
        <f>(Substructure!$J$60)-$Q$116</f>
        <v>-2</v>
      </c>
    </row>
    <row r="160" spans="16:18" x14ac:dyDescent="0.45">
      <c r="Q160" s="47">
        <f>Substructure!$D$60+EB2_PileW/12/2</f>
        <v>-1.5</v>
      </c>
      <c r="R160" s="47">
        <f>(Substructure!$J$60)-$Q$116</f>
        <v>-2</v>
      </c>
    </row>
    <row r="161" spans="17:18" x14ac:dyDescent="0.45">
      <c r="Q161" s="47">
        <f>Substructure!$D$60+EB2_PileW/12/2</f>
        <v>-1.5</v>
      </c>
      <c r="R161" s="47">
        <f>(Substructure!$H$60)-$Q$116-2.2</f>
        <v>-5.2</v>
      </c>
    </row>
    <row r="162" spans="17:18" x14ac:dyDescent="0.45">
      <c r="Q162" s="47">
        <f>Substructure!$D$60-EB2_PileW/12/2</f>
        <v>-3</v>
      </c>
      <c r="R162" s="47">
        <f>(Substructure!$H$60)-$Q$116-2.2</f>
        <v>-5.2</v>
      </c>
    </row>
    <row r="163" spans="17:18" x14ac:dyDescent="0.45">
      <c r="Q163" s="47">
        <f>Substructure!$D$60-EB2_PileW/12/2</f>
        <v>-3</v>
      </c>
      <c r="R163" s="47">
        <f>(Substructure!$J$60)-$Q$116</f>
        <v>-2</v>
      </c>
    </row>
    <row r="165" spans="17:18" x14ac:dyDescent="0.45">
      <c r="Q165" s="47">
        <f>Substructure!$D$61-EB2_PileW/12/2</f>
        <v>1.5</v>
      </c>
      <c r="R165" s="47">
        <f>(Substructure!$J$61)-$Q$116</f>
        <v>-2</v>
      </c>
    </row>
    <row r="166" spans="17:18" x14ac:dyDescent="0.45">
      <c r="Q166" s="47">
        <f>Substructure!$D$61+EB2_PileW/12/2</f>
        <v>3</v>
      </c>
      <c r="R166" s="47">
        <f>(Substructure!$J$61)-$Q$116</f>
        <v>-2</v>
      </c>
    </row>
    <row r="167" spans="17:18" x14ac:dyDescent="0.45">
      <c r="Q167" s="47">
        <f>Substructure!$D$61+EB2_PileW/12/2</f>
        <v>3</v>
      </c>
      <c r="R167" s="47">
        <f>(Substructure!$H$61)-$Q$116-2.2</f>
        <v>-5.2</v>
      </c>
    </row>
    <row r="168" spans="17:18" x14ac:dyDescent="0.45">
      <c r="Q168" s="47">
        <f>Substructure!$D$61-EB2_PileW/12/2</f>
        <v>1.5</v>
      </c>
      <c r="R168" s="47">
        <f>(Substructure!$H$61)-$Q$116-2.2</f>
        <v>-5.2</v>
      </c>
    </row>
    <row r="169" spans="17:18" x14ac:dyDescent="0.45">
      <c r="Q169" s="47">
        <f>Substructure!$D$61-EB2_PileW/12/2</f>
        <v>1.5</v>
      </c>
      <c r="R169" s="47">
        <f>(Substructure!$J$61)-$Q$116</f>
        <v>-2</v>
      </c>
    </row>
    <row r="171" spans="17:18" x14ac:dyDescent="0.45">
      <c r="Q171" s="47">
        <f>Substructure!$D$62-EB2_PileW/12/2</f>
        <v>6</v>
      </c>
      <c r="R171" s="47">
        <f>(Substructure!$J$62)-$Q$116</f>
        <v>-2</v>
      </c>
    </row>
    <row r="172" spans="17:18" x14ac:dyDescent="0.45">
      <c r="Q172" s="47">
        <f>Substructure!$D$62+EB2_PileW/12/2</f>
        <v>7.5</v>
      </c>
      <c r="R172" s="47">
        <f>(Substructure!$J$62)-$Q$116</f>
        <v>-2</v>
      </c>
    </row>
    <row r="173" spans="17:18" x14ac:dyDescent="0.45">
      <c r="Q173" s="47">
        <f>Substructure!$D$62+EB2_PileW/12/2</f>
        <v>7.5</v>
      </c>
      <c r="R173" s="47">
        <f>(Substructure!$H$62)-$Q$116-2.2</f>
        <v>-5.2</v>
      </c>
    </row>
    <row r="174" spans="17:18" x14ac:dyDescent="0.45">
      <c r="Q174" s="47">
        <f>Substructure!$D$62-EB2_PileW/12/2</f>
        <v>6</v>
      </c>
      <c r="R174" s="47">
        <f>(Substructure!$H$62)-$Q$116-2.2</f>
        <v>-5.2</v>
      </c>
    </row>
    <row r="175" spans="17:18" x14ac:dyDescent="0.45">
      <c r="Q175" s="47">
        <f>Substructure!$D$62-EB2_PileW/12/2</f>
        <v>6</v>
      </c>
      <c r="R175" s="47">
        <f>(Substructure!$J$62)-$Q$116</f>
        <v>-2</v>
      </c>
    </row>
    <row r="177" spans="16:18" x14ac:dyDescent="0.45">
      <c r="P177" s="44" t="str">
        <f>"pile cutoff"&amp;CHAR(10)&amp;TEXT(Substructure!$J$59,"0.0000")</f>
        <v>pile cutoff
41.2497</v>
      </c>
      <c r="Q177" s="47">
        <f>Substructure!$D$59</f>
        <v>-6.75</v>
      </c>
      <c r="R177" s="47">
        <f>(Substructure!$J$59)-$Q$116</f>
        <v>-2</v>
      </c>
    </row>
    <row r="179" spans="16:18" x14ac:dyDescent="0.45">
      <c r="P179" s="44" t="str">
        <f>"pad top"&amp;CHAR(10)&amp;TEXT('Bearing Seats'!$S$14,"0.000")</f>
        <v>pad top
43.963</v>
      </c>
      <c r="Q179" s="47">
        <f>Bm1_Off</f>
        <v>-4.291666666666667</v>
      </c>
      <c r="R179" s="47">
        <f>('Bearing Seats'!$V$14)-$Q$116+EB2_Pad/12</f>
        <v>0.71354166666666663</v>
      </c>
    </row>
    <row r="181" spans="16:18" x14ac:dyDescent="0.45">
      <c r="P181" s="44" t="str">
        <f>"pad top"&amp;CHAR(10)&amp;TEXT('Bearing Seats'!$S$15,"0.000")</f>
        <v>pad top
43.963</v>
      </c>
      <c r="Q181" s="47">
        <f>Bm2_Off</f>
        <v>4.291666666666667</v>
      </c>
      <c r="R181" s="47">
        <f>('Bearing Seats'!$V$15)-$Q$116+EB2_Pad/12</f>
        <v>0.71354166666666663</v>
      </c>
    </row>
    <row r="183" spans="16:18" x14ac:dyDescent="0.45">
      <c r="P183" s="44" t="s">
        <v>1231</v>
      </c>
      <c r="Q183" s="47">
        <f>Bm1_Off-EB2_PedW/24</f>
        <v>-6.041666666666667</v>
      </c>
      <c r="R183" s="47">
        <f>((EB2_Top+EB2_Slope*((Bm1_Off-EB2_PedW/24)-EB2_Ctr)))-$Q$116</f>
        <v>0</v>
      </c>
    </row>
    <row r="184" spans="16:18" x14ac:dyDescent="0.45">
      <c r="Q184" s="47">
        <f>Bm1_Off+EB2_PedW/24</f>
        <v>-2.541666666666667</v>
      </c>
      <c r="R184" s="47">
        <f>((EB2_Top+EB2_Slope*((Bm1_Off+EB2_PedW/24)-EB2_Ctr)))-$Q$116</f>
        <v>0</v>
      </c>
    </row>
    <row r="185" spans="16:18" x14ac:dyDescent="0.45">
      <c r="Q185" s="47">
        <f>Bm1_Off+EB2_PedW/24</f>
        <v>-2.541666666666667</v>
      </c>
      <c r="R185" s="47">
        <f>('Bearing Seats'!$V$14)-$Q$116</f>
        <v>0.5</v>
      </c>
    </row>
    <row r="186" spans="16:18" x14ac:dyDescent="0.45">
      <c r="Q186" s="47">
        <f>Bm1_Off-EB2_PedW/24</f>
        <v>-6.041666666666667</v>
      </c>
      <c r="R186" s="47">
        <f>('Bearing Seats'!$V$14)-$Q$116</f>
        <v>0.5</v>
      </c>
    </row>
    <row r="187" spans="16:18" x14ac:dyDescent="0.45">
      <c r="Q187" s="47">
        <f>Bm1_Off-EB2_PedW/24</f>
        <v>-6.041666666666667</v>
      </c>
      <c r="R187" s="47">
        <f>((EB2_Top+EB2_Slope*((Bm1_Off-EB2_PedW/24)-EB2_Ctr)))-$Q$116</f>
        <v>0</v>
      </c>
    </row>
    <row r="189" spans="16:18" x14ac:dyDescent="0.45">
      <c r="Q189" s="47">
        <f>Bm2_Off-EB2_PedW/24</f>
        <v>2.541666666666667</v>
      </c>
      <c r="R189" s="47">
        <f>((EB2_Top+EB2_Slope*((Bm2_Off-EB2_PedW/24)-EB2_Ctr)))-$Q$116</f>
        <v>0</v>
      </c>
    </row>
    <row r="190" spans="16:18" x14ac:dyDescent="0.45">
      <c r="Q190" s="47">
        <f>Bm2_Off+EB2_PedW/24</f>
        <v>6.041666666666667</v>
      </c>
      <c r="R190" s="47">
        <f>((EB2_Top+EB2_Slope*((Bm2_Off+EB2_PedW/24)-EB2_Ctr)))-$Q$116</f>
        <v>0</v>
      </c>
    </row>
    <row r="191" spans="16:18" x14ac:dyDescent="0.45">
      <c r="Q191" s="47">
        <f>Bm2_Off+EB2_PedW/24</f>
        <v>6.041666666666667</v>
      </c>
      <c r="R191" s="47">
        <f>('Bearing Seats'!$V$15)-$Q$116</f>
        <v>0.5</v>
      </c>
    </row>
    <row r="192" spans="16:18" x14ac:dyDescent="0.45">
      <c r="Q192" s="47">
        <f>Bm2_Off-EB2_PedW/24</f>
        <v>2.541666666666667</v>
      </c>
      <c r="R192" s="47">
        <f>('Bearing Seats'!$V$15)-$Q$116</f>
        <v>0.5</v>
      </c>
    </row>
    <row r="193" spans="16:18" x14ac:dyDescent="0.45">
      <c r="Q193" s="47">
        <f>Bm2_Off-EB2_PedW/24</f>
        <v>2.541666666666667</v>
      </c>
      <c r="R193" s="47">
        <f>((EB2_Top+EB2_Slope*((Bm2_Off-EB2_PedW/24)-EB2_Ctr)))-$Q$116</f>
        <v>0</v>
      </c>
    </row>
    <row r="195" spans="16:18" x14ac:dyDescent="0.45">
      <c r="P195" s="44" t="s">
        <v>1242</v>
      </c>
      <c r="Q195" s="47">
        <f>Bm1_Off-EB2_PadW/24</f>
        <v>-5.625</v>
      </c>
      <c r="R195" s="47">
        <f>('Bearing Seats'!$V$14)-$Q$116</f>
        <v>0.5</v>
      </c>
    </row>
    <row r="196" spans="16:18" x14ac:dyDescent="0.45">
      <c r="Q196" s="47">
        <f>Bm1_Off+EB2_PadW/24</f>
        <v>-2.9583333333333339</v>
      </c>
      <c r="R196" s="47">
        <f>('Bearing Seats'!$V$14)-$Q$116</f>
        <v>0.5</v>
      </c>
    </row>
    <row r="197" spans="16:18" x14ac:dyDescent="0.45">
      <c r="Q197" s="47">
        <f>Bm1_Off+EB2_PadW/24</f>
        <v>-2.9583333333333339</v>
      </c>
      <c r="R197" s="47">
        <f>('Bearing Seats'!$V$14)-$Q$116+EB2_Pad/12</f>
        <v>0.71354166666666663</v>
      </c>
    </row>
    <row r="198" spans="16:18" x14ac:dyDescent="0.45">
      <c r="Q198" s="47">
        <f>Bm1_Off-EB2_PadW/24</f>
        <v>-5.625</v>
      </c>
      <c r="R198" s="47">
        <f>('Bearing Seats'!$V$14)-$Q$116+EB2_Pad/12</f>
        <v>0.71354166666666663</v>
      </c>
    </row>
    <row r="199" spans="16:18" x14ac:dyDescent="0.45">
      <c r="Q199" s="47">
        <f>Bm1_Off-EB2_PadW/24</f>
        <v>-5.625</v>
      </c>
      <c r="R199" s="47">
        <f>('Bearing Seats'!$V$14)-$Q$116</f>
        <v>0.5</v>
      </c>
    </row>
    <row r="201" spans="16:18" x14ac:dyDescent="0.45">
      <c r="Q201" s="47">
        <f>Bm2_Off-EB2_PadW/24</f>
        <v>2.9583333333333339</v>
      </c>
      <c r="R201" s="47">
        <f>('Bearing Seats'!$V$15)-$Q$116</f>
        <v>0.5</v>
      </c>
    </row>
    <row r="202" spans="16:18" x14ac:dyDescent="0.45">
      <c r="Q202" s="47">
        <f>Bm2_Off+EB2_PadW/24</f>
        <v>5.625</v>
      </c>
      <c r="R202" s="47">
        <f>('Bearing Seats'!$V$15)-$Q$116</f>
        <v>0.5</v>
      </c>
    </row>
    <row r="203" spans="16:18" x14ac:dyDescent="0.45">
      <c r="Q203" s="47">
        <f>Bm2_Off+EB2_PadW/24</f>
        <v>5.625</v>
      </c>
      <c r="R203" s="47">
        <f>('Bearing Seats'!$V$15)-$Q$116+EB2_Pad/12</f>
        <v>0.71354166666666663</v>
      </c>
    </row>
    <row r="204" spans="16:18" x14ac:dyDescent="0.45">
      <c r="Q204" s="47">
        <f>Bm2_Off-EB2_PadW/24</f>
        <v>2.9583333333333339</v>
      </c>
      <c r="R204" s="47">
        <f>('Bearing Seats'!$V$15)-$Q$116+EB2_Pad/12</f>
        <v>0.71354166666666663</v>
      </c>
    </row>
    <row r="205" spans="16:18" x14ac:dyDescent="0.45">
      <c r="Q205" s="47">
        <f>Bm2_Off-EB2_PadW/24</f>
        <v>2.9583333333333339</v>
      </c>
      <c r="R205" s="47">
        <f>('Bearing Seats'!$V$15)-$Q$116</f>
        <v>0.5</v>
      </c>
    </row>
    <row r="207" spans="16:18" x14ac:dyDescent="0.45">
      <c r="P207" s="44" t="str">
        <f>"cap top "&amp;TEXT(EB2_Top,"0.0000")</f>
        <v>cap top 43.2497</v>
      </c>
      <c r="Q207" s="47">
        <f>EB2_Ctr</f>
        <v>0</v>
      </c>
      <c r="R207" s="47">
        <f>((EB2_Top+EB2_Slope*((EB2_Ctr)-EB2_Ctr)))-$Q$116</f>
        <v>0</v>
      </c>
    </row>
    <row r="209" spans="16:18" x14ac:dyDescent="0.45">
      <c r="P209" s="44" t="str">
        <f>"cap underside"&amp;CHAR(10)&amp;TEXT(EB2_Under,"0.0000")</f>
        <v>cap underside
40.2497</v>
      </c>
      <c r="Q209" s="47">
        <f>EB2_Ctr</f>
        <v>0</v>
      </c>
      <c r="R209" s="47">
        <f>((EB2_Top+EB2_Slope*((EB2_Ctr)-EB2_Ctr)))-$Q$116-EB2_Depth</f>
        <v>-3</v>
      </c>
    </row>
    <row r="211" spans="16:18" x14ac:dyDescent="0.45">
      <c r="P211" s="44" t="s">
        <v>1246</v>
      </c>
      <c r="Q211" s="48">
        <f>$Q$117-2.7</f>
        <v>-5.7</v>
      </c>
    </row>
    <row r="212" spans="16:18" x14ac:dyDescent="0.45">
      <c r="P212" s="44" t="s">
        <v>1247</v>
      </c>
      <c r="Q212" s="47">
        <f>EB2_Ctr-EB2_Len/2</f>
        <v>-9.7916666666666661</v>
      </c>
      <c r="R212" s="47">
        <f>$Q$211</f>
        <v>-5.7</v>
      </c>
    </row>
    <row r="213" spans="16:18" x14ac:dyDescent="0.45">
      <c r="Q213" s="47">
        <f>EB2_Ctr+EB2_Len/2</f>
        <v>9.7916666666666661</v>
      </c>
      <c r="R213" s="47">
        <f>$Q$211</f>
        <v>-5.7</v>
      </c>
    </row>
    <row r="215" spans="16:18" x14ac:dyDescent="0.45">
      <c r="P215" s="44" t="str">
        <f>"cap length "&amp;TEXT(EB2_Len*12,"0.0")&amp;" in"</f>
        <v>cap length 235.0 in</v>
      </c>
      <c r="Q215" s="47">
        <f>EB2_Ctr</f>
        <v>0</v>
      </c>
      <c r="R215" s="47">
        <f>$Q$211</f>
        <v>-5.7</v>
      </c>
    </row>
    <row r="217" spans="16:18" x14ac:dyDescent="0.45">
      <c r="P217" s="44" t="s">
        <v>1248</v>
      </c>
      <c r="Q217" s="48">
        <f>$Q$117-3.2</f>
        <v>-6.2</v>
      </c>
    </row>
    <row r="218" spans="16:18" x14ac:dyDescent="0.45">
      <c r="P218" s="44" t="s">
        <v>1249</v>
      </c>
      <c r="Q218" s="47">
        <f>EB2_Ctr-EB2_Len/2-EB2_CkT/12</f>
        <v>-10.458333333333332</v>
      </c>
      <c r="R218" s="47">
        <f>$Q$217</f>
        <v>-6.2</v>
      </c>
    </row>
    <row r="219" spans="16:18" x14ac:dyDescent="0.45">
      <c r="Q219" s="47">
        <f>EB2_Ctr+EB2_Len/2+EB2_CkT/12</f>
        <v>10.458333333333332</v>
      </c>
      <c r="R219" s="47">
        <f>$Q$217</f>
        <v>-6.2</v>
      </c>
    </row>
    <row r="221" spans="16:18" x14ac:dyDescent="0.45">
      <c r="P221" s="44" t="str">
        <f>"out-to-out with cheeks "&amp;TEXT(EB2_OutIn,"0.0")&amp;" in"</f>
        <v>out-to-out with cheeks 251.0 in</v>
      </c>
      <c r="Q221" s="47">
        <f>EB2_Ctr</f>
        <v>0</v>
      </c>
      <c r="R221" s="47">
        <f>$Q$217</f>
        <v>-6.2</v>
      </c>
    </row>
    <row r="223" spans="16:18" x14ac:dyDescent="0.45">
      <c r="P223" s="44" t="s">
        <v>1250</v>
      </c>
      <c r="Q223" s="48">
        <f>MAX(('Bearing Seats'!$V$14)-$Q$116+EB2_Pad/12,('Bearing Seats'!$V$15)-$Q$116+EB2_Pad/12,(Substructure!$G$89)-$Q$116,(Substructure!$G$90)-$Q$116)+1</f>
        <v>6.0273505516869434</v>
      </c>
    </row>
    <row r="224" spans="16:18" x14ac:dyDescent="0.45">
      <c r="P224" s="44" t="s">
        <v>802</v>
      </c>
      <c r="Q224" s="47">
        <f>EB2_Ctr-EB2_Len/2-1.3</f>
        <v>-11.091666666666667</v>
      </c>
      <c r="R224" s="47">
        <f>$Q$217-0.5-0.3</f>
        <v>-7</v>
      </c>
    </row>
    <row r="225" spans="17:18" x14ac:dyDescent="0.45">
      <c r="Q225" s="47">
        <f>EB2_Ctr+EB2_Len/2+1.3</f>
        <v>11.091666666666667</v>
      </c>
      <c r="R225" s="47">
        <f>$Q$223</f>
        <v>6.0273505516869434</v>
      </c>
    </row>
  </sheetData>
  <mergeCells count="8">
    <mergeCell ref="B62:M62"/>
    <mergeCell ref="B3:M3"/>
    <mergeCell ref="B63:M63"/>
    <mergeCell ref="B23:M23"/>
    <mergeCell ref="B84:M84"/>
    <mergeCell ref="B40:M40"/>
    <mergeCell ref="B41:M41"/>
    <mergeCell ref="B4:M4"/>
  </mergeCells>
  <conditionalFormatting sqref="B3:M3">
    <cfRule type="expression" dxfId="6" priority="1">
      <formula>Inputs_Edited=0</formula>
    </cfRule>
    <cfRule type="expression" dxfId="5" priority="2">
      <formula>Inputs_Edited&gt;0</formula>
    </cfRule>
  </conditionalFormatting>
  <pageMargins left="0.75" right="0.75" top="1" bottom="1" header="0.5" footer="0.5"/>
  <pageSetup fitToHeight="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F855A"/>
  </sheetPr>
  <dimension ref="A1:R929"/>
  <sheetViews>
    <sheetView showGridLines="0" workbookViewId="0">
      <pane ySplit="8" topLeftCell="A9" activePane="bottomLeft" state="frozen"/>
      <selection pane="bottomLeft"/>
    </sheetView>
  </sheetViews>
  <sheetFormatPr defaultRowHeight="14.25" x14ac:dyDescent="0.45"/>
  <cols>
    <col min="1" max="1" width="3" customWidth="1"/>
    <col min="2" max="2" width="58" customWidth="1"/>
    <col min="3" max="4" width="17" customWidth="1"/>
    <col min="5" max="5" width="14" customWidth="1"/>
    <col min="6" max="6" width="11" customWidth="1"/>
    <col min="7" max="7" width="10" customWidth="1"/>
    <col min="12" max="13" width="13" hidden="1" customWidth="1"/>
    <col min="15" max="18" width="13" hidden="1" customWidth="1"/>
  </cols>
  <sheetData>
    <row r="1" spans="1:18" ht="17.649999999999999" x14ac:dyDescent="0.5">
      <c r="A1" s="15" t="s">
        <v>1580</v>
      </c>
      <c r="I1" s="37" t="s">
        <v>107</v>
      </c>
      <c r="J1" s="2" t="str">
        <f>""&amp;TB_Project</f>
        <v>D2 I-95 Pedestrian Bridge</v>
      </c>
    </row>
    <row r="2" spans="1:18" x14ac:dyDescent="0.45">
      <c r="A2" s="8" t="s">
        <v>1581</v>
      </c>
      <c r="I2" s="37" t="s">
        <v>115</v>
      </c>
      <c r="J2" s="2" t="str">
        <f>""&amp;TB_JobNo</f>
        <v/>
      </c>
    </row>
    <row r="3" spans="1:18" x14ac:dyDescent="0.45">
      <c r="I3" s="37" t="s">
        <v>722</v>
      </c>
      <c r="J3" s="2" t="str">
        <f>TB_CalcBy&amp;"  "&amp;TB_CalcDate</f>
        <v xml:space="preserve">  </v>
      </c>
    </row>
    <row r="4" spans="1:18" x14ac:dyDescent="0.45">
      <c r="I4" s="37" t="s">
        <v>723</v>
      </c>
      <c r="J4" s="2" t="str">
        <f>TB_CheckBy&amp;"  "&amp;TB_CheckDate</f>
        <v xml:space="preserve">  </v>
      </c>
    </row>
    <row r="6" spans="1:18" x14ac:dyDescent="0.45">
      <c r="A6" s="17" t="s">
        <v>1582</v>
      </c>
      <c r="B6" s="18"/>
      <c r="C6" s="18"/>
      <c r="D6" s="18"/>
      <c r="E6" s="18"/>
      <c r="F6" s="18"/>
      <c r="G6" s="18"/>
    </row>
    <row r="7" spans="1:18" ht="30" customHeight="1" x14ac:dyDescent="0.45">
      <c r="B7" s="19" t="s">
        <v>967</v>
      </c>
      <c r="C7" s="19" t="s">
        <v>1583</v>
      </c>
      <c r="D7" s="19" t="s">
        <v>1584</v>
      </c>
      <c r="E7" s="19" t="s">
        <v>1585</v>
      </c>
      <c r="F7" s="19" t="s">
        <v>1586</v>
      </c>
      <c r="G7" s="19" t="s">
        <v>1334</v>
      </c>
    </row>
    <row r="8" spans="1:18" x14ac:dyDescent="0.45">
      <c r="B8" s="11" t="s">
        <v>936</v>
      </c>
      <c r="C8" s="77">
        <f>Sup_Drop</f>
        <v>3.7147642885879173</v>
      </c>
      <c r="D8" s="78">
        <v>3.7147642885879169</v>
      </c>
      <c r="E8" s="79">
        <f t="shared" ref="E8:E39" si="0">C8-D8</f>
        <v>0</v>
      </c>
      <c r="F8" s="79">
        <v>1.0000000000000001E-9</v>
      </c>
      <c r="G8" s="42" t="str">
        <f t="shared" ref="G8:G39" si="1">IF(ABS(E8)&lt;=F8,"PASS","FAIL")</f>
        <v>PASS</v>
      </c>
      <c r="O8" s="37" t="s">
        <v>1587</v>
      </c>
      <c r="P8" s="37" t="s">
        <v>1588</v>
      </c>
      <c r="Q8" s="37" t="s">
        <v>1589</v>
      </c>
      <c r="R8" s="37" t="s">
        <v>1590</v>
      </c>
    </row>
    <row r="9" spans="1:18" x14ac:dyDescent="0.45">
      <c r="B9" s="11" t="s">
        <v>1591</v>
      </c>
      <c r="C9" s="77">
        <f>Prof_G1</f>
        <v>4.9988355845365746E-3</v>
      </c>
      <c r="D9" s="78">
        <v>4.9988355845365746E-3</v>
      </c>
      <c r="E9" s="79">
        <f t="shared" si="0"/>
        <v>0</v>
      </c>
      <c r="F9" s="79">
        <v>9.9999999999999998E-13</v>
      </c>
      <c r="G9" s="42" t="str">
        <f t="shared" si="1"/>
        <v>PASS</v>
      </c>
      <c r="O9" s="8" t="s">
        <v>1592</v>
      </c>
      <c r="P9" t="s">
        <v>130</v>
      </c>
      <c r="Q9" t="str">
        <f>IF(ISBLANK(Inputs!D16),"",Inputs!D16)</f>
        <v>brokeback</v>
      </c>
      <c r="R9">
        <f>IF(ISBLANK(Inputs!D16),1,IF(EXACT(Inputs!D16&amp;"",P9&amp;""),0,1))</f>
        <v>0</v>
      </c>
    </row>
    <row r="10" spans="1:18" x14ac:dyDescent="0.45">
      <c r="B10" s="11" t="s">
        <v>1593</v>
      </c>
      <c r="C10" s="77">
        <f>Prof_G2</f>
        <v>-5.0011916110581497E-3</v>
      </c>
      <c r="D10" s="78">
        <v>-5.0011916110581497E-3</v>
      </c>
      <c r="E10" s="79">
        <f t="shared" si="0"/>
        <v>0</v>
      </c>
      <c r="F10" s="79">
        <v>9.9999999999999998E-13</v>
      </c>
      <c r="G10" s="42" t="str">
        <f t="shared" si="1"/>
        <v>PASS</v>
      </c>
      <c r="O10" s="8" t="s">
        <v>1594</v>
      </c>
      <c r="P10">
        <v>1593.22</v>
      </c>
      <c r="Q10">
        <f>IF(ISBLANK(Inputs!D17),"",Inputs!D17)</f>
        <v>1593.22</v>
      </c>
      <c r="R10">
        <f>IF(ISNUMBER(Inputs!D17),IF(ABS(Inputs!D17-P10)&lt;=0.000000000001*MAX(1,ABS(P10)),0,1),1)</f>
        <v>0</v>
      </c>
    </row>
    <row r="11" spans="1:18" x14ac:dyDescent="0.45">
      <c r="B11" s="11" t="s">
        <v>1595</v>
      </c>
      <c r="C11" s="77">
        <f>Prof_PIZ</f>
        <v>48.197625000000002</v>
      </c>
      <c r="D11" s="78">
        <v>48.197625000000002</v>
      </c>
      <c r="E11" s="79">
        <f t="shared" si="0"/>
        <v>0</v>
      </c>
      <c r="F11" s="79">
        <v>1.0000000000000001E-9</v>
      </c>
      <c r="G11" s="42" t="str">
        <f t="shared" si="1"/>
        <v>PASS</v>
      </c>
      <c r="O11" s="8" t="s">
        <v>1596</v>
      </c>
      <c r="P11">
        <v>1805.47</v>
      </c>
      <c r="Q11">
        <f>IF(ISBLANK(Inputs!D18),"",Inputs!D18)</f>
        <v>1805.47</v>
      </c>
      <c r="R11">
        <f>IF(ISNUMBER(Inputs!D18),IF(ABS(Inputs!D18-P11)&lt;=0.000000000001*MAX(1,ABS(P11)),0,1),1)</f>
        <v>0</v>
      </c>
    </row>
    <row r="12" spans="1:18" x14ac:dyDescent="0.45">
      <c r="B12" s="11" t="s">
        <v>1597</v>
      </c>
      <c r="C12" s="77">
        <f>Sp1_BrgA</f>
        <v>1594.22</v>
      </c>
      <c r="D12" s="78">
        <v>1594.22</v>
      </c>
      <c r="E12" s="79">
        <f t="shared" si="0"/>
        <v>0</v>
      </c>
      <c r="F12" s="79">
        <v>1.0000000000000001E-9</v>
      </c>
      <c r="G12" s="42" t="str">
        <f t="shared" si="1"/>
        <v>PASS</v>
      </c>
      <c r="O12" s="8" t="s">
        <v>1598</v>
      </c>
      <c r="P12">
        <v>47.661000000000001</v>
      </c>
      <c r="Q12">
        <f>IF(ISBLANK(Inputs!D19),"",Inputs!D19)</f>
        <v>47.661000000000001</v>
      </c>
      <c r="R12">
        <f>IF(ISNUMBER(Inputs!D19),IF(ABS(Inputs!D19-P12)&lt;=0.000000000001*MAX(1,ABS(P12)),0,1),1)</f>
        <v>0</v>
      </c>
    </row>
    <row r="13" spans="1:18" x14ac:dyDescent="0.45">
      <c r="B13" s="11" t="s">
        <v>1599</v>
      </c>
      <c r="C13" s="77">
        <f>Sp1_BrgB</f>
        <v>1699.6949999999999</v>
      </c>
      <c r="D13" s="78">
        <v>1699.6949999999999</v>
      </c>
      <c r="E13" s="79">
        <f t="shared" si="0"/>
        <v>0</v>
      </c>
      <c r="F13" s="79">
        <v>1.0000000000000001E-9</v>
      </c>
      <c r="G13" s="42" t="str">
        <f t="shared" si="1"/>
        <v>PASS</v>
      </c>
      <c r="O13" s="8" t="s">
        <v>1600</v>
      </c>
      <c r="P13">
        <v>47.673000000000002</v>
      </c>
      <c r="Q13">
        <f>IF(ISBLANK(Inputs!D20),"",Inputs!D20)</f>
        <v>47.673000000000002</v>
      </c>
      <c r="R13">
        <f>IF(ISNUMBER(Inputs!D20),IF(ABS(Inputs!D20-P13)&lt;=0.000000000001*MAX(1,ABS(P13)),0,1),1)</f>
        <v>0</v>
      </c>
    </row>
    <row r="14" spans="1:18" x14ac:dyDescent="0.45">
      <c r="B14" s="11" t="s">
        <v>1601</v>
      </c>
      <c r="C14" s="77">
        <f>Sp1_Bm0</f>
        <v>1593.47</v>
      </c>
      <c r="D14" s="78">
        <v>1593.47</v>
      </c>
      <c r="E14" s="79">
        <f t="shared" si="0"/>
        <v>0</v>
      </c>
      <c r="F14" s="79">
        <v>1.0000000000000001E-9</v>
      </c>
      <c r="G14" s="42" t="str">
        <f t="shared" si="1"/>
        <v>PASS</v>
      </c>
      <c r="O14" s="8" t="s">
        <v>1602</v>
      </c>
      <c r="P14">
        <v>1700.57</v>
      </c>
      <c r="Q14">
        <f>IF(ISBLANK(Inputs!D21),"",Inputs!D21)</f>
        <v>1700.57</v>
      </c>
      <c r="R14">
        <f>IF(ISNUMBER(Inputs!D21),IF(ABS(Inputs!D21-P14)&lt;=0.000000000001*MAX(1,ABS(P14)),0,1),1)</f>
        <v>0</v>
      </c>
    </row>
    <row r="15" spans="1:18" x14ac:dyDescent="0.45">
      <c r="B15" s="11" t="s">
        <v>1603</v>
      </c>
      <c r="C15" s="77">
        <f>Sp1_Bm1</f>
        <v>1700.4449999999999</v>
      </c>
      <c r="D15" s="78">
        <v>1700.4449999999999</v>
      </c>
      <c r="E15" s="79">
        <f t="shared" si="0"/>
        <v>0</v>
      </c>
      <c r="F15" s="79">
        <v>1.0000000000000001E-9</v>
      </c>
      <c r="G15" s="42" t="str">
        <f t="shared" si="1"/>
        <v>PASS</v>
      </c>
      <c r="O15" s="8" t="s">
        <v>1604</v>
      </c>
      <c r="P15">
        <v>5.0000000000000001E-3</v>
      </c>
      <c r="Q15">
        <f>IF(ISBLANK(Inputs!D22),"",Inputs!D22)</f>
        <v>5.0000000000000001E-3</v>
      </c>
      <c r="R15">
        <f>IF(ISNUMBER(Inputs!D22),IF(ABS(Inputs!D22-P15)&lt;=0.000000000001*MAX(1,ABS(P15)),0,1),1)</f>
        <v>0</v>
      </c>
    </row>
    <row r="16" spans="1:18" x14ac:dyDescent="0.45">
      <c r="B16" s="11" t="s">
        <v>1605</v>
      </c>
      <c r="C16" s="77">
        <f>Sp1_ZA</f>
        <v>47.665998835584539</v>
      </c>
      <c r="D16" s="78">
        <v>47.665998835584539</v>
      </c>
      <c r="E16" s="79">
        <f t="shared" si="0"/>
        <v>0</v>
      </c>
      <c r="F16" s="79">
        <v>1.0000000000000001E-9</v>
      </c>
      <c r="G16" s="42" t="str">
        <f t="shared" si="1"/>
        <v>PASS</v>
      </c>
      <c r="O16" s="8" t="s">
        <v>1606</v>
      </c>
      <c r="P16">
        <v>-0.01</v>
      </c>
      <c r="Q16">
        <f>IF(ISBLANK(Inputs!D23),"",Inputs!D23)</f>
        <v>-0.01</v>
      </c>
      <c r="R16">
        <f>IF(ISNUMBER(Inputs!D23),IF(ABS(Inputs!D23-P16)&lt;=0.000000000001*MAX(1,ABS(P16)),0,1),1)</f>
        <v>0</v>
      </c>
    </row>
    <row r="17" spans="2:18" x14ac:dyDescent="0.45">
      <c r="B17" s="11" t="s">
        <v>1607</v>
      </c>
      <c r="C17" s="77">
        <f>Sp1_ZB</f>
        <v>48.193251018863535</v>
      </c>
      <c r="D17" s="78">
        <v>48.193251018863528</v>
      </c>
      <c r="E17" s="79">
        <f t="shared" si="0"/>
        <v>0</v>
      </c>
      <c r="F17" s="79">
        <v>1.0000000000000001E-9</v>
      </c>
      <c r="G17" s="42" t="str">
        <f t="shared" si="1"/>
        <v>PASS</v>
      </c>
      <c r="O17" s="8" t="s">
        <v>1608</v>
      </c>
      <c r="P17" t="s">
        <v>165</v>
      </c>
      <c r="Q17" t="str">
        <f>IF(ISBLANK(Inputs!D27),"",Inputs!D27)</f>
        <v>crowned</v>
      </c>
      <c r="R17">
        <f>IF(ISBLANK(Inputs!D27),1,IF(EXACT(Inputs!D27&amp;"",P17&amp;""),0,1))</f>
        <v>0</v>
      </c>
    </row>
    <row r="18" spans="2:18" x14ac:dyDescent="0.45">
      <c r="B18" s="11" t="s">
        <v>1609</v>
      </c>
      <c r="C18" s="77">
        <f>Sp2_BrgA</f>
        <v>1701.4449999999999</v>
      </c>
      <c r="D18" s="78">
        <v>1701.4449999999999</v>
      </c>
      <c r="E18" s="79">
        <f t="shared" si="0"/>
        <v>0</v>
      </c>
      <c r="F18" s="79">
        <v>1.0000000000000001E-9</v>
      </c>
      <c r="G18" s="42" t="str">
        <f t="shared" si="1"/>
        <v>PASS</v>
      </c>
      <c r="O18" s="8" t="s">
        <v>1610</v>
      </c>
      <c r="P18">
        <v>13.58333333333333</v>
      </c>
      <c r="Q18">
        <f>IF(ISBLANK(Inputs!D28),"",Inputs!D28)</f>
        <v>13.58333333333333</v>
      </c>
      <c r="R18">
        <f>IF(ISNUMBER(Inputs!D28),IF(ABS(Inputs!D28-P18)&lt;=0.000000000001*MAX(1,ABS(P18)),0,1),1)</f>
        <v>0</v>
      </c>
    </row>
    <row r="19" spans="2:18" x14ac:dyDescent="0.45">
      <c r="B19" s="11" t="s">
        <v>1611</v>
      </c>
      <c r="C19" s="77">
        <f>Sp2_BrgB</f>
        <v>1804.47</v>
      </c>
      <c r="D19" s="78">
        <v>1804.47</v>
      </c>
      <c r="E19" s="79">
        <f t="shared" si="0"/>
        <v>0</v>
      </c>
      <c r="F19" s="79">
        <v>1.0000000000000001E-9</v>
      </c>
      <c r="G19" s="42" t="str">
        <f t="shared" si="1"/>
        <v>PASS</v>
      </c>
      <c r="O19" s="8" t="s">
        <v>1612</v>
      </c>
      <c r="P19">
        <v>0</v>
      </c>
      <c r="Q19">
        <f>IF(ISBLANK(Inputs!D29),"",Inputs!D29)</f>
        <v>0</v>
      </c>
      <c r="R19">
        <f>IF(ISNUMBER(Inputs!D29),IF(ABS(Inputs!D29-P19)&lt;=0.000000000001*MAX(1,ABS(P19)),0,1),1)</f>
        <v>0</v>
      </c>
    </row>
    <row r="20" spans="2:18" x14ac:dyDescent="0.45">
      <c r="B20" s="11" t="s">
        <v>1613</v>
      </c>
      <c r="C20" s="77">
        <f>Sp2_Bm0</f>
        <v>1700.6949999999999</v>
      </c>
      <c r="D20" s="78">
        <v>1700.6949999999999</v>
      </c>
      <c r="E20" s="79">
        <f t="shared" si="0"/>
        <v>0</v>
      </c>
      <c r="F20" s="79">
        <v>1.0000000000000001E-9</v>
      </c>
      <c r="G20" s="42" t="str">
        <f t="shared" si="1"/>
        <v>PASS</v>
      </c>
      <c r="O20" s="8" t="s">
        <v>1614</v>
      </c>
      <c r="P20">
        <v>0.5</v>
      </c>
      <c r="Q20">
        <f>IF(ISBLANK(Inputs!D30),"",Inputs!D30)</f>
        <v>0.5</v>
      </c>
      <c r="R20">
        <f>IF(ISNUMBER(Inputs!D30),IF(ABS(Inputs!D30-P20)&lt;=0.000000000001*MAX(1,ABS(P20)),0,1),1)</f>
        <v>0</v>
      </c>
    </row>
    <row r="21" spans="2:18" x14ac:dyDescent="0.45">
      <c r="B21" s="11" t="s">
        <v>1615</v>
      </c>
      <c r="C21" s="77">
        <f>Sp2_Bm1</f>
        <v>1805.22</v>
      </c>
      <c r="D21" s="78">
        <v>1805.22</v>
      </c>
      <c r="E21" s="79">
        <f t="shared" si="0"/>
        <v>0</v>
      </c>
      <c r="F21" s="79">
        <v>1.0000000000000001E-9</v>
      </c>
      <c r="G21" s="42" t="str">
        <f t="shared" si="1"/>
        <v>PASS</v>
      </c>
      <c r="O21" s="8" t="s">
        <v>1616</v>
      </c>
      <c r="P21">
        <v>-0.02</v>
      </c>
      <c r="Q21">
        <f>IF(ISBLANK(Inputs!D31),"",Inputs!D31)</f>
        <v>-0.02</v>
      </c>
      <c r="R21">
        <f>IF(ISNUMBER(Inputs!D31),IF(ABS(Inputs!D31-P21)&lt;=0.000000000001*MAX(1,ABS(P21)),0,1),1)</f>
        <v>0</v>
      </c>
    </row>
    <row r="22" spans="2:18" x14ac:dyDescent="0.45">
      <c r="B22" s="11" t="s">
        <v>1617</v>
      </c>
      <c r="C22" s="77">
        <f>Sp2_ZA</f>
        <v>48.193248957340323</v>
      </c>
      <c r="D22" s="78">
        <v>48.193248957340323</v>
      </c>
      <c r="E22" s="79">
        <f t="shared" si="0"/>
        <v>0</v>
      </c>
      <c r="F22" s="79">
        <v>1.0000000000000001E-9</v>
      </c>
      <c r="G22" s="42" t="str">
        <f t="shared" si="1"/>
        <v>PASS</v>
      </c>
      <c r="O22" s="8" t="s">
        <v>1618</v>
      </c>
      <c r="P22">
        <v>-0.02</v>
      </c>
      <c r="Q22">
        <f>IF(ISBLANK(Inputs!D32),"",Inputs!D32)</f>
        <v>-0.02</v>
      </c>
      <c r="R22">
        <f>IF(ISNUMBER(Inputs!D32),IF(ABS(Inputs!D32-P22)&lt;=0.000000000001*MAX(1,ABS(P22)),0,1),1)</f>
        <v>0</v>
      </c>
    </row>
    <row r="23" spans="2:18" x14ac:dyDescent="0.45">
      <c r="B23" s="11" t="s">
        <v>1619</v>
      </c>
      <c r="C23" s="77">
        <f>Sp2_ZB</f>
        <v>47.67800119161106</v>
      </c>
      <c r="D23" s="78">
        <v>47.67800119161106</v>
      </c>
      <c r="E23" s="79">
        <f t="shared" si="0"/>
        <v>0</v>
      </c>
      <c r="F23" s="79">
        <v>1.0000000000000001E-9</v>
      </c>
      <c r="G23" s="42" t="str">
        <f t="shared" si="1"/>
        <v>PASS</v>
      </c>
      <c r="O23" s="8" t="s">
        <v>1620</v>
      </c>
      <c r="P23" t="s">
        <v>190</v>
      </c>
      <c r="Q23" t="str">
        <f>IF(ISBLANK(Inputs!D36),"",Inputs!D36)</f>
        <v>FIB-36</v>
      </c>
      <c r="R23">
        <f>IF(ISBLANK(Inputs!D36),1,IF(EXACT(Inputs!D36&amp;"",P23&amp;""),0,1))</f>
        <v>0</v>
      </c>
    </row>
    <row r="24" spans="2:18" x14ac:dyDescent="0.45">
      <c r="B24" s="11" t="s">
        <v>1621</v>
      </c>
      <c r="C24" s="77">
        <f>Haunch_Min</f>
        <v>0.49999999999999822</v>
      </c>
      <c r="D24" s="78">
        <v>0.49999999999999822</v>
      </c>
      <c r="E24" s="79">
        <f t="shared" si="0"/>
        <v>0</v>
      </c>
      <c r="F24" s="79">
        <v>9.9999999999999995E-7</v>
      </c>
      <c r="G24" s="42" t="str">
        <f t="shared" si="1"/>
        <v>PASS</v>
      </c>
      <c r="O24" s="8" t="s">
        <v>1622</v>
      </c>
      <c r="P24">
        <v>2</v>
      </c>
      <c r="Q24">
        <f>IF(ISBLANK(Inputs!D37),"",Inputs!D37)</f>
        <v>2</v>
      </c>
      <c r="R24">
        <f>IF(ISNUMBER(Inputs!D37),IF(ABS(Inputs!D37-P24)&lt;=0.000000000001*MAX(1,ABS(P24)),0,1),1)</f>
        <v>0</v>
      </c>
    </row>
    <row r="25" spans="2:18" x14ac:dyDescent="0.45">
      <c r="B25" s="11" t="s">
        <v>1623</v>
      </c>
      <c r="C25" s="77">
        <f>'Camber &amp; Haunch'!L23</f>
        <v>1.5471714630549798</v>
      </c>
      <c r="D25" s="78">
        <v>1.54717146305498</v>
      </c>
      <c r="E25" s="79">
        <f t="shared" si="0"/>
        <v>0</v>
      </c>
      <c r="F25" s="79">
        <v>9.9999999999999995E-7</v>
      </c>
      <c r="G25" s="42" t="str">
        <f t="shared" si="1"/>
        <v>PASS</v>
      </c>
      <c r="O25" s="8" t="s">
        <v>1624</v>
      </c>
      <c r="P25">
        <v>8.5833333333333339</v>
      </c>
      <c r="Q25">
        <f>IF(ISBLANK(Inputs!D38),"",Inputs!D38)</f>
        <v>8.5833333333333339</v>
      </c>
      <c r="R25">
        <f>IF(ISNUMBER(Inputs!D38),IF(ABS(Inputs!D38-P25)&lt;=0.000000000001*MAX(1,ABS(P25)),0,1),1)</f>
        <v>0</v>
      </c>
    </row>
    <row r="26" spans="2:18" x14ac:dyDescent="0.45">
      <c r="B26" s="11" t="s">
        <v>1625</v>
      </c>
      <c r="C26" s="77">
        <f>'Camber &amp; Haunch'!M23</f>
        <v>1.06717146305499</v>
      </c>
      <c r="D26" s="78">
        <v>1.06717146305499</v>
      </c>
      <c r="E26" s="79">
        <f t="shared" si="0"/>
        <v>0</v>
      </c>
      <c r="F26" s="79">
        <v>9.9999999999999995E-7</v>
      </c>
      <c r="G26" s="42" t="str">
        <f t="shared" si="1"/>
        <v>PASS</v>
      </c>
      <c r="O26" s="8" t="s">
        <v>1626</v>
      </c>
      <c r="Q26" t="str">
        <f>IF(ISBLANK(Inputs!D39),"",Inputs!D39)</f>
        <v/>
      </c>
      <c r="R26">
        <f>IF(ISBLANK(Inputs!D39),0,1)</f>
        <v>0</v>
      </c>
    </row>
    <row r="27" spans="2:18" x14ac:dyDescent="0.45">
      <c r="B27" s="11" t="s">
        <v>1627</v>
      </c>
      <c r="C27" s="77">
        <f>'Camber &amp; Haunch'!L24</f>
        <v>1.422578719048289</v>
      </c>
      <c r="D27" s="78">
        <v>1.422578719048289</v>
      </c>
      <c r="E27" s="79">
        <f t="shared" si="0"/>
        <v>0</v>
      </c>
      <c r="F27" s="79">
        <v>9.9999999999999995E-7</v>
      </c>
      <c r="G27" s="42" t="str">
        <f t="shared" si="1"/>
        <v>PASS</v>
      </c>
      <c r="O27" s="8" t="s">
        <v>1628</v>
      </c>
      <c r="P27">
        <v>3</v>
      </c>
      <c r="Q27">
        <f>IF(ISBLANK(Inputs!D40),"",Inputs!D40)</f>
        <v>3</v>
      </c>
      <c r="R27">
        <f>IF(ISNUMBER(Inputs!D40),IF(ABS(Inputs!D40-P27)&lt;=0.000000000001*MAX(1,ABS(P27)),0,1),1)</f>
        <v>0</v>
      </c>
    </row>
    <row r="28" spans="2:18" x14ac:dyDescent="0.45">
      <c r="B28" s="11" t="s">
        <v>1629</v>
      </c>
      <c r="C28" s="77">
        <f>'Camber &amp; Haunch'!M24</f>
        <v>0.94257871904829926</v>
      </c>
      <c r="D28" s="78">
        <v>0.94257871904829926</v>
      </c>
      <c r="E28" s="79">
        <f t="shared" si="0"/>
        <v>0</v>
      </c>
      <c r="F28" s="79">
        <v>9.9999999999999995E-7</v>
      </c>
      <c r="G28" s="42" t="str">
        <f t="shared" si="1"/>
        <v>PASS</v>
      </c>
      <c r="O28" s="8" t="s">
        <v>1630</v>
      </c>
      <c r="P28">
        <v>48</v>
      </c>
      <c r="Q28">
        <f>IF(ISBLANK(Inputs!D41),"",Inputs!D41)</f>
        <v>48</v>
      </c>
      <c r="R28">
        <f>IF(ISNUMBER(Inputs!D41),IF(ABS(Inputs!D41-P28)&lt;=0.000000000001*MAX(1,ABS(P28)),0,1),1)</f>
        <v>0</v>
      </c>
    </row>
    <row r="29" spans="2:18" x14ac:dyDescent="0.45">
      <c r="B29" s="11" t="s">
        <v>1631</v>
      </c>
      <c r="C29" s="77">
        <f>'Camber &amp; Haunch'!L25</f>
        <v>1.5471714630549798</v>
      </c>
      <c r="D29" s="78">
        <v>1.54717146305498</v>
      </c>
      <c r="E29" s="79">
        <f t="shared" si="0"/>
        <v>0</v>
      </c>
      <c r="F29" s="79">
        <v>9.9999999999999995E-7</v>
      </c>
      <c r="G29" s="42" t="str">
        <f t="shared" si="1"/>
        <v>PASS</v>
      </c>
      <c r="O29" s="8" t="s">
        <v>1632</v>
      </c>
      <c r="P29">
        <v>0.5</v>
      </c>
      <c r="Q29">
        <f>IF(ISBLANK(Inputs!D42),"",Inputs!D42)</f>
        <v>0.5</v>
      </c>
      <c r="R29">
        <f>IF(ISNUMBER(Inputs!D42),IF(ABS(Inputs!D42-P29)&lt;=0.000000000001*MAX(1,ABS(P29)),0,1),1)</f>
        <v>0</v>
      </c>
    </row>
    <row r="30" spans="2:18" x14ac:dyDescent="0.45">
      <c r="B30" s="11" t="s">
        <v>1633</v>
      </c>
      <c r="C30" s="77">
        <f>'Camber &amp; Haunch'!M25</f>
        <v>1.06717146305499</v>
      </c>
      <c r="D30" s="78">
        <v>1.06717146305499</v>
      </c>
      <c r="E30" s="79">
        <f t="shared" si="0"/>
        <v>0</v>
      </c>
      <c r="F30" s="79">
        <v>9.9999999999999995E-7</v>
      </c>
      <c r="G30" s="42" t="str">
        <f t="shared" si="1"/>
        <v>PASS</v>
      </c>
      <c r="O30" s="8" t="s">
        <v>1634</v>
      </c>
      <c r="P30">
        <v>0</v>
      </c>
      <c r="Q30">
        <f>IF(ISBLANK(Inputs!D43),"",Inputs!D43)</f>
        <v>0</v>
      </c>
      <c r="R30">
        <f>IF(ISNUMBER(Inputs!D43),IF(ABS(Inputs!D43-P30)&lt;=0.000000000001*MAX(1,ABS(P30)),0,1),1)</f>
        <v>0</v>
      </c>
    </row>
    <row r="31" spans="2:18" x14ac:dyDescent="0.45">
      <c r="B31" s="11" t="s">
        <v>1635</v>
      </c>
      <c r="C31" s="77">
        <f>'Camber &amp; Haunch'!L26</f>
        <v>1.5471714630549798</v>
      </c>
      <c r="D31" s="78">
        <v>1.54717146305498</v>
      </c>
      <c r="E31" s="79">
        <f t="shared" si="0"/>
        <v>0</v>
      </c>
      <c r="F31" s="79">
        <v>9.9999999999999995E-7</v>
      </c>
      <c r="G31" s="42" t="str">
        <f t="shared" si="1"/>
        <v>PASS</v>
      </c>
      <c r="O31" s="8" t="s">
        <v>1636</v>
      </c>
      <c r="P31">
        <v>0</v>
      </c>
      <c r="Q31">
        <f>IF(ISBLANK(Inputs!D44),"",Inputs!D44)</f>
        <v>0</v>
      </c>
      <c r="R31">
        <f>IF(ISNUMBER(Inputs!D44),IF(ABS(Inputs!D44-P31)&lt;=0.000000000001*MAX(1,ABS(P31)),0,1),1)</f>
        <v>0</v>
      </c>
    </row>
    <row r="32" spans="2:18" x14ac:dyDescent="0.45">
      <c r="B32" s="11" t="s">
        <v>1637</v>
      </c>
      <c r="C32" s="77">
        <f>'Camber &amp; Haunch'!M26</f>
        <v>1.06717146305499</v>
      </c>
      <c r="D32" s="78">
        <v>1.06717146305499</v>
      </c>
      <c r="E32" s="79">
        <f t="shared" si="0"/>
        <v>0</v>
      </c>
      <c r="F32" s="79">
        <v>9.9999999999999995E-7</v>
      </c>
      <c r="G32" s="42" t="str">
        <f t="shared" si="1"/>
        <v>PASS</v>
      </c>
      <c r="O32" s="8" t="s">
        <v>1638</v>
      </c>
      <c r="P32">
        <v>1593.22</v>
      </c>
      <c r="Q32">
        <f>IF(ISBLANK(Inputs!D49),"",Inputs!D49)</f>
        <v>1593.22</v>
      </c>
      <c r="R32">
        <f>IF(ISNUMBER(Inputs!D49),IF(ABS(Inputs!D49-P32)&lt;=0.000000000001*MAX(1,ABS(P32)),0,1),1)</f>
        <v>0</v>
      </c>
    </row>
    <row r="33" spans="2:18" x14ac:dyDescent="0.45">
      <c r="B33" s="11" t="s">
        <v>1639</v>
      </c>
      <c r="C33" s="77">
        <f>'Camber &amp; Haunch'!L27</f>
        <v>1.422578719048289</v>
      </c>
      <c r="D33" s="78">
        <v>1.422578719048289</v>
      </c>
      <c r="E33" s="79">
        <f t="shared" si="0"/>
        <v>0</v>
      </c>
      <c r="F33" s="79">
        <v>9.9999999999999995E-7</v>
      </c>
      <c r="G33" s="42" t="str">
        <f t="shared" si="1"/>
        <v>PASS</v>
      </c>
      <c r="O33" s="8" t="s">
        <v>1640</v>
      </c>
      <c r="P33">
        <v>1700.57</v>
      </c>
      <c r="Q33">
        <f>IF(ISBLANK(Inputs!D50),"",Inputs!D50)</f>
        <v>1700.57</v>
      </c>
      <c r="R33">
        <f>IF(ISNUMBER(Inputs!D50),IF(ABS(Inputs!D50-P33)&lt;=0.000000000001*MAX(1,ABS(P33)),0,1),1)</f>
        <v>0</v>
      </c>
    </row>
    <row r="34" spans="2:18" x14ac:dyDescent="0.45">
      <c r="B34" s="11" t="s">
        <v>1641</v>
      </c>
      <c r="C34" s="77">
        <f>'Camber &amp; Haunch'!M27</f>
        <v>0.94257871904829926</v>
      </c>
      <c r="D34" s="78">
        <v>0.94257871904829926</v>
      </c>
      <c r="E34" s="79">
        <f t="shared" si="0"/>
        <v>0</v>
      </c>
      <c r="F34" s="79">
        <v>9.9999999999999995E-7</v>
      </c>
      <c r="G34" s="42" t="str">
        <f t="shared" si="1"/>
        <v>PASS</v>
      </c>
      <c r="O34" s="8" t="s">
        <v>1642</v>
      </c>
      <c r="P34">
        <v>0.124592744006574</v>
      </c>
      <c r="Q34">
        <f>IF(ISBLANK(Inputs!D51),"",Inputs!D51)</f>
        <v>0.124592744006574</v>
      </c>
      <c r="R34">
        <f>IF(ISNUMBER(Inputs!D51),IF(ABS(Inputs!D51-P34)&lt;=0.000000000001*MAX(1,ABS(P34)),0,1),1)</f>
        <v>0</v>
      </c>
    </row>
    <row r="35" spans="2:18" x14ac:dyDescent="0.45">
      <c r="B35" s="11" t="s">
        <v>1643</v>
      </c>
      <c r="C35" s="77">
        <f>'Camber &amp; Haunch'!L28</f>
        <v>1.5471714630549798</v>
      </c>
      <c r="D35" s="78">
        <v>1.54717146305498</v>
      </c>
      <c r="E35" s="79">
        <f t="shared" si="0"/>
        <v>0</v>
      </c>
      <c r="F35" s="79">
        <v>9.9999999999999995E-7</v>
      </c>
      <c r="G35" s="42" t="str">
        <f t="shared" si="1"/>
        <v>PASS</v>
      </c>
      <c r="O35" s="8" t="s">
        <v>1644</v>
      </c>
      <c r="P35">
        <v>1700.57</v>
      </c>
      <c r="Q35">
        <f>IF(ISBLANK(Inputs!D52),"",Inputs!D52)</f>
        <v>1700.57</v>
      </c>
      <c r="R35">
        <f>IF(ISNUMBER(Inputs!D52),IF(ABS(Inputs!D52-P35)&lt;=0.000000000001*MAX(1,ABS(P35)),0,1),1)</f>
        <v>0</v>
      </c>
    </row>
    <row r="36" spans="2:18" x14ac:dyDescent="0.45">
      <c r="B36" s="11" t="s">
        <v>1645</v>
      </c>
      <c r="C36" s="77">
        <f>'Camber &amp; Haunch'!M28</f>
        <v>1.06717146305499</v>
      </c>
      <c r="D36" s="78">
        <v>1.06717146305499</v>
      </c>
      <c r="E36" s="79">
        <f t="shared" si="0"/>
        <v>0</v>
      </c>
      <c r="F36" s="79">
        <v>9.9999999999999995E-7</v>
      </c>
      <c r="G36" s="42" t="str">
        <f t="shared" si="1"/>
        <v>PASS</v>
      </c>
      <c r="O36" s="8" t="s">
        <v>1646</v>
      </c>
      <c r="P36">
        <v>1805.47</v>
      </c>
      <c r="Q36">
        <f>IF(ISBLANK(Inputs!D53),"",Inputs!D53)</f>
        <v>1805.47</v>
      </c>
      <c r="R36">
        <f>IF(ISNUMBER(Inputs!D53),IF(ABS(Inputs!D53-P36)&lt;=0.000000000001*MAX(1,ABS(P36)),0,1),1)</f>
        <v>0</v>
      </c>
    </row>
    <row r="37" spans="2:18" x14ac:dyDescent="0.45">
      <c r="B37" s="11" t="s">
        <v>1647</v>
      </c>
      <c r="C37" s="77">
        <f>'Camber &amp; Haunch'!L29</f>
        <v>1.5471714630549798</v>
      </c>
      <c r="D37" s="78">
        <v>1.54717146305498</v>
      </c>
      <c r="E37" s="79">
        <f t="shared" si="0"/>
        <v>0</v>
      </c>
      <c r="F37" s="79">
        <v>9.9999999999999995E-7</v>
      </c>
      <c r="G37" s="42" t="str">
        <f t="shared" si="1"/>
        <v>PASS</v>
      </c>
      <c r="O37" s="8" t="s">
        <v>1648</v>
      </c>
      <c r="P37">
        <v>0.56717146305500721</v>
      </c>
      <c r="Q37">
        <f>IF(ISBLANK(Inputs!D54),"",Inputs!D54)</f>
        <v>0.56717146305500721</v>
      </c>
      <c r="R37">
        <f>IF(ISNUMBER(Inputs!D54),IF(ABS(Inputs!D54-P37)&lt;=0.000000000001*MAX(1,ABS(P37)),0,1),1)</f>
        <v>0</v>
      </c>
    </row>
    <row r="38" spans="2:18" x14ac:dyDescent="0.45">
      <c r="B38" s="11" t="s">
        <v>1649</v>
      </c>
      <c r="C38" s="77">
        <f>'Camber &amp; Haunch'!M29</f>
        <v>1.06717146305499</v>
      </c>
      <c r="D38" s="78">
        <v>1.06717146305499</v>
      </c>
      <c r="E38" s="79">
        <f t="shared" si="0"/>
        <v>0</v>
      </c>
      <c r="F38" s="79">
        <v>9.9999999999999995E-7</v>
      </c>
      <c r="G38" s="42" t="str">
        <f t="shared" si="1"/>
        <v>PASS</v>
      </c>
      <c r="O38" s="8" t="s">
        <v>1650</v>
      </c>
      <c r="P38">
        <v>3</v>
      </c>
      <c r="Q38">
        <f>IF(ISBLANK(Inputs!D58),"",Inputs!D58)</f>
        <v>3</v>
      </c>
      <c r="R38">
        <f>IF(ISNUMBER(Inputs!D58),IF(ABS(Inputs!D58-P38)&lt;=0.000000000001*MAX(1,ABS(P38)),0,1),1)</f>
        <v>0</v>
      </c>
    </row>
    <row r="39" spans="2:18" x14ac:dyDescent="0.45">
      <c r="B39" s="11" t="s">
        <v>1651</v>
      </c>
      <c r="C39" s="77">
        <f>'Camber &amp; Haunch'!L30</f>
        <v>0.97999999999996135</v>
      </c>
      <c r="D39" s="78">
        <v>0.97999999999996135</v>
      </c>
      <c r="E39" s="79">
        <f t="shared" si="0"/>
        <v>0</v>
      </c>
      <c r="F39" s="79">
        <v>9.9999999999999995E-7</v>
      </c>
      <c r="G39" s="42" t="str">
        <f t="shared" si="1"/>
        <v>PASS</v>
      </c>
      <c r="O39" s="8" t="s">
        <v>1652</v>
      </c>
      <c r="P39">
        <v>3</v>
      </c>
      <c r="Q39">
        <f>IF(ISBLANK(Inputs!D59),"",Inputs!D59)</f>
        <v>3</v>
      </c>
      <c r="R39">
        <f>IF(ISNUMBER(Inputs!D59),IF(ABS(Inputs!D59-P39)&lt;=0.000000000001*MAX(1,ABS(P39)),0,1),1)</f>
        <v>0</v>
      </c>
    </row>
    <row r="40" spans="2:18" x14ac:dyDescent="0.45">
      <c r="B40" s="11" t="s">
        <v>1653</v>
      </c>
      <c r="C40" s="77">
        <f>'Camber &amp; Haunch'!M30</f>
        <v>0.49999999999997158</v>
      </c>
      <c r="D40" s="78">
        <v>0.49999999999997158</v>
      </c>
      <c r="E40" s="79">
        <f t="shared" ref="E40:E71" si="2">C40-D40</f>
        <v>0</v>
      </c>
      <c r="F40" s="79">
        <v>9.9999999999999995E-7</v>
      </c>
      <c r="G40" s="42" t="str">
        <f t="shared" ref="G40:G71" si="3">IF(ABS(E40)&lt;=F40,"PASS","FAIL")</f>
        <v>PASS</v>
      </c>
      <c r="O40" s="8" t="s">
        <v>1654</v>
      </c>
      <c r="P40">
        <v>9</v>
      </c>
      <c r="Q40">
        <f>IF(ISBLANK(Inputs!D60),"",Inputs!D60)</f>
        <v>9</v>
      </c>
      <c r="R40">
        <f>IF(ISNUMBER(Inputs!D60),IF(ABS(Inputs!D60-P40)&lt;=0.000000000001*MAX(1,ABS(P40)),0,1),1)</f>
        <v>0</v>
      </c>
    </row>
    <row r="41" spans="2:18" x14ac:dyDescent="0.45">
      <c r="B41" s="11" t="s">
        <v>1655</v>
      </c>
      <c r="C41" s="77">
        <f>'Camber &amp; Haunch'!L31</f>
        <v>1.5471714630549798</v>
      </c>
      <c r="D41" s="78">
        <v>1.54717146305498</v>
      </c>
      <c r="E41" s="79">
        <f t="shared" si="2"/>
        <v>0</v>
      </c>
      <c r="F41" s="79">
        <v>9.9999999999999995E-7</v>
      </c>
      <c r="G41" s="42" t="str">
        <f t="shared" si="3"/>
        <v>PASS</v>
      </c>
      <c r="O41" s="8" t="s">
        <v>1656</v>
      </c>
      <c r="P41">
        <v>3</v>
      </c>
      <c r="Q41">
        <f>IF(ISBLANK(Inputs!D61),"",Inputs!D61)</f>
        <v>3</v>
      </c>
      <c r="R41">
        <f>IF(ISNUMBER(Inputs!D61),IF(ABS(Inputs!D61-P41)&lt;=0.000000000001*MAX(1,ABS(P41)),0,1),1)</f>
        <v>0</v>
      </c>
    </row>
    <row r="42" spans="2:18" x14ac:dyDescent="0.45">
      <c r="B42" s="11" t="s">
        <v>1657</v>
      </c>
      <c r="C42" s="77">
        <f>'Camber &amp; Haunch'!M31</f>
        <v>1.06717146305499</v>
      </c>
      <c r="D42" s="78">
        <v>1.06717146305499</v>
      </c>
      <c r="E42" s="79">
        <f t="shared" si="2"/>
        <v>0</v>
      </c>
      <c r="F42" s="79">
        <v>9.9999999999999995E-7</v>
      </c>
      <c r="G42" s="42" t="str">
        <f t="shared" si="3"/>
        <v>PASS</v>
      </c>
      <c r="O42" s="8" t="s">
        <v>1658</v>
      </c>
      <c r="P42">
        <v>89.999999999999986</v>
      </c>
      <c r="Q42">
        <f>IF(ISBLANK(Inputs!D62),"",Inputs!D62)</f>
        <v>89.999999999999986</v>
      </c>
      <c r="R42">
        <f>IF(ISNUMBER(Inputs!D62),IF(ABS(Inputs!D62-P42)&lt;=0.000000000001*MAX(1,ABS(P42)),0,1),1)</f>
        <v>0</v>
      </c>
    </row>
    <row r="43" spans="2:18" x14ac:dyDescent="0.45">
      <c r="B43" s="11" t="s">
        <v>1659</v>
      </c>
      <c r="C43" s="77">
        <f>'Camber &amp; Haunch'!L32</f>
        <v>1.5471714630549798</v>
      </c>
      <c r="D43" s="78">
        <v>1.54717146305498</v>
      </c>
      <c r="E43" s="79">
        <f t="shared" si="2"/>
        <v>0</v>
      </c>
      <c r="F43" s="79">
        <v>9.9999999999999995E-7</v>
      </c>
      <c r="G43" s="42" t="str">
        <f t="shared" si="3"/>
        <v>PASS</v>
      </c>
      <c r="O43" s="8" t="s">
        <v>1660</v>
      </c>
      <c r="P43">
        <v>1700.57</v>
      </c>
      <c r="Q43">
        <f>IF(ISBLANK(Inputs!D66),"",Inputs!D66)</f>
        <v>1700.57</v>
      </c>
      <c r="R43">
        <f>IF(ISNUMBER(Inputs!D66),IF(ABS(Inputs!D66-P43)&lt;=0.000000000001*MAX(1,ABS(P43)),0,1),1)</f>
        <v>0</v>
      </c>
    </row>
    <row r="44" spans="2:18" x14ac:dyDescent="0.45">
      <c r="B44" s="11" t="s">
        <v>1661</v>
      </c>
      <c r="C44" s="77">
        <f>'Camber &amp; Haunch'!M32</f>
        <v>1.06717146305499</v>
      </c>
      <c r="D44" s="78">
        <v>1.06717146305499</v>
      </c>
      <c r="E44" s="79">
        <f t="shared" si="2"/>
        <v>0</v>
      </c>
      <c r="F44" s="79">
        <v>9.9999999999999995E-7</v>
      </c>
      <c r="G44" s="42" t="str">
        <f t="shared" si="3"/>
        <v>PASS</v>
      </c>
      <c r="O44" s="8" t="s">
        <v>1662</v>
      </c>
      <c r="P44">
        <v>2.5625</v>
      </c>
      <c r="Q44">
        <f>IF(ISBLANK(Inputs!D67),"",Inputs!D67)</f>
        <v>2.5625</v>
      </c>
      <c r="R44">
        <f>IF(ISNUMBER(Inputs!D67),IF(ABS(Inputs!D67-P44)&lt;=0.000000000001*MAX(1,ABS(P44)),0,1),1)</f>
        <v>0</v>
      </c>
    </row>
    <row r="45" spans="2:18" x14ac:dyDescent="0.45">
      <c r="B45" s="11" t="s">
        <v>1663</v>
      </c>
      <c r="C45" s="77">
        <f>'Camber &amp; Haunch'!L33</f>
        <v>0.97999999999996135</v>
      </c>
      <c r="D45" s="78">
        <v>0.97999999999996135</v>
      </c>
      <c r="E45" s="79">
        <f t="shared" si="2"/>
        <v>0</v>
      </c>
      <c r="F45" s="79">
        <v>9.9999999999999995E-7</v>
      </c>
      <c r="G45" s="42" t="str">
        <f t="shared" si="3"/>
        <v>PASS</v>
      </c>
      <c r="O45" s="8" t="s">
        <v>1664</v>
      </c>
      <c r="P45">
        <v>10</v>
      </c>
      <c r="Q45">
        <f>IF(ISBLANK(Inputs!D68),"",Inputs!D68)</f>
        <v>10</v>
      </c>
      <c r="R45">
        <f>IF(ISNUMBER(Inputs!D68),IF(ABS(Inputs!D68-P45)&lt;=0.000000000001*MAX(1,ABS(P45)),0,1),1)</f>
        <v>0</v>
      </c>
    </row>
    <row r="46" spans="2:18" x14ac:dyDescent="0.45">
      <c r="B46" s="11" t="s">
        <v>1665</v>
      </c>
      <c r="C46" s="77">
        <f>'Camber &amp; Haunch'!M33</f>
        <v>0.49999999999997158</v>
      </c>
      <c r="D46" s="78">
        <v>0.49999999999997158</v>
      </c>
      <c r="E46" s="79">
        <f t="shared" si="2"/>
        <v>0</v>
      </c>
      <c r="F46" s="79">
        <v>9.9999999999999995E-7</v>
      </c>
      <c r="G46" s="42" t="str">
        <f t="shared" si="3"/>
        <v>PASS</v>
      </c>
      <c r="O46" s="8" t="s">
        <v>1666</v>
      </c>
      <c r="P46">
        <v>32</v>
      </c>
      <c r="Q46">
        <f>IF(ISBLANK(Inputs!D69),"",Inputs!D69)</f>
        <v>32</v>
      </c>
      <c r="R46">
        <f>IF(ISNUMBER(Inputs!D69),IF(ABS(Inputs!D69-P46)&lt;=0.000000000001*MAX(1,ABS(P46)),0,1),1)</f>
        <v>0</v>
      </c>
    </row>
    <row r="47" spans="2:18" x14ac:dyDescent="0.45">
      <c r="B47" s="11" t="s">
        <v>1667</v>
      </c>
      <c r="C47" s="77">
        <f>'Camber &amp; Haunch'!L34</f>
        <v>1.5471714630549798</v>
      </c>
      <c r="D47" s="78">
        <v>1.54717146305498</v>
      </c>
      <c r="E47" s="79">
        <f t="shared" si="2"/>
        <v>0</v>
      </c>
      <c r="F47" s="79">
        <v>9.9999999999999995E-7</v>
      </c>
      <c r="G47" s="42" t="str">
        <f t="shared" si="3"/>
        <v>PASS</v>
      </c>
      <c r="O47" s="8" t="s">
        <v>1668</v>
      </c>
      <c r="P47">
        <v>3</v>
      </c>
      <c r="Q47">
        <f>IF(ISBLANK(Inputs!D70),"",Inputs!D70)</f>
        <v>3</v>
      </c>
      <c r="R47">
        <f>IF(ISNUMBER(Inputs!D70),IF(ABS(Inputs!D70-P47)&lt;=0.000000000001*MAX(1,ABS(P47)),0,1),1)</f>
        <v>0</v>
      </c>
    </row>
    <row r="48" spans="2:18" x14ac:dyDescent="0.45">
      <c r="B48" s="11" t="s">
        <v>1669</v>
      </c>
      <c r="C48" s="77">
        <f>'Camber &amp; Haunch'!M34</f>
        <v>1.06717146305499</v>
      </c>
      <c r="D48" s="78">
        <v>1.06717146305499</v>
      </c>
      <c r="E48" s="79">
        <f t="shared" si="2"/>
        <v>0</v>
      </c>
      <c r="F48" s="79">
        <v>9.9999999999999995E-7</v>
      </c>
      <c r="G48" s="42" t="str">
        <f t="shared" si="3"/>
        <v>PASS</v>
      </c>
      <c r="O48" s="8" t="s">
        <v>1670</v>
      </c>
      <c r="P48">
        <v>4</v>
      </c>
      <c r="Q48">
        <f>IF(ISBLANK(Inputs!D71),"",Inputs!D71)</f>
        <v>4</v>
      </c>
      <c r="R48">
        <f>IF(ISNUMBER(Inputs!D71),IF(ABS(Inputs!D71-P48)&lt;=0.000000000001*MAX(1,ABS(P48)),0,1),1)</f>
        <v>0</v>
      </c>
    </row>
    <row r="49" spans="2:18" x14ac:dyDescent="0.45">
      <c r="B49" s="11" t="s">
        <v>1671</v>
      </c>
      <c r="C49" s="77">
        <f>Pier_Top</f>
        <v>43.764939909758922</v>
      </c>
      <c r="D49" s="78">
        <v>43.76493990975893</v>
      </c>
      <c r="E49" s="79">
        <f t="shared" si="2"/>
        <v>0</v>
      </c>
      <c r="F49" s="79">
        <v>1.0000000000000001E-9</v>
      </c>
      <c r="G49" s="42" t="str">
        <f t="shared" si="3"/>
        <v>PASS</v>
      </c>
      <c r="O49" s="8" t="s">
        <v>1672</v>
      </c>
      <c r="Q49" t="str">
        <f>IF(ISBLANK(Inputs!D72),"",Inputs!D72)</f>
        <v/>
      </c>
      <c r="R49">
        <f>IF(ISBLANK(Inputs!D72),0,1)</f>
        <v>0</v>
      </c>
    </row>
    <row r="50" spans="2:18" x14ac:dyDescent="0.45">
      <c r="B50" s="11" t="s">
        <v>1673</v>
      </c>
      <c r="C50" s="77">
        <f>Pier_CapSta</f>
        <v>1700.57</v>
      </c>
      <c r="D50" s="78">
        <v>1700.57</v>
      </c>
      <c r="E50" s="79">
        <f t="shared" si="2"/>
        <v>0</v>
      </c>
      <c r="F50" s="79">
        <v>1.0000000000000001E-9</v>
      </c>
      <c r="G50" s="42" t="str">
        <f t="shared" si="3"/>
        <v>PASS</v>
      </c>
      <c r="O50" s="8" t="s">
        <v>1674</v>
      </c>
      <c r="P50">
        <v>4</v>
      </c>
      <c r="Q50">
        <f>IF(ISBLANK(Inputs!D73),"",Inputs!D73)</f>
        <v>4</v>
      </c>
      <c r="R50">
        <f>IF(ISNUMBER(Inputs!D73),IF(ABS(Inputs!D73-P50)&lt;=0.000000000001*MAX(1,ABS(P50)),0,1),1)</f>
        <v>0</v>
      </c>
    </row>
    <row r="51" spans="2:18" x14ac:dyDescent="0.45">
      <c r="B51" s="11" t="s">
        <v>1675</v>
      </c>
      <c r="C51" s="77">
        <f>Pier_Len</f>
        <v>19.166666666666668</v>
      </c>
      <c r="D51" s="78">
        <v>19.166666666666671</v>
      </c>
      <c r="E51" s="79">
        <f t="shared" si="2"/>
        <v>0</v>
      </c>
      <c r="F51" s="79">
        <v>1.0000000000000001E-9</v>
      </c>
      <c r="G51" s="42" t="str">
        <f t="shared" si="3"/>
        <v>PASS</v>
      </c>
      <c r="O51" s="8" t="s">
        <v>1676</v>
      </c>
      <c r="P51">
        <v>20</v>
      </c>
      <c r="Q51">
        <f>IF(ISBLANK(Inputs!D74),"",Inputs!D74)</f>
        <v>20</v>
      </c>
      <c r="R51">
        <f>IF(ISNUMBER(Inputs!D74),IF(ABS(Inputs!D74-P51)&lt;=0.000000000001*MAX(1,ABS(P51)),0,1),1)</f>
        <v>0</v>
      </c>
    </row>
    <row r="52" spans="2:18" x14ac:dyDescent="0.45">
      <c r="B52" s="11" t="s">
        <v>1677</v>
      </c>
      <c r="C52" s="77">
        <f>'Bearing Seats'!V10</f>
        <v>44.264944415497133</v>
      </c>
      <c r="D52" s="78">
        <v>44.264944415497133</v>
      </c>
      <c r="E52" s="79">
        <f t="shared" si="2"/>
        <v>0</v>
      </c>
      <c r="F52" s="79">
        <v>1.0000000000000001E-9</v>
      </c>
      <c r="G52" s="42" t="str">
        <f t="shared" si="3"/>
        <v>PASS</v>
      </c>
      <c r="O52" s="8" t="s">
        <v>1678</v>
      </c>
      <c r="P52">
        <v>0.625</v>
      </c>
      <c r="Q52">
        <f>IF(ISBLANK(Inputs!D75),"",Inputs!D75)</f>
        <v>0.625</v>
      </c>
      <c r="R52">
        <f>IF(ISNUMBER(Inputs!D75),IF(ABS(Inputs!D75-P52)&lt;=0.000000000001*MAX(1,ABS(P52)),0,1),1)</f>
        <v>0</v>
      </c>
    </row>
    <row r="53" spans="2:18" x14ac:dyDescent="0.45">
      <c r="B53" s="11" t="s">
        <v>1679</v>
      </c>
      <c r="C53" s="77">
        <f>'Bearing Seats'!T10</f>
        <v>4.6050843195928337E-3</v>
      </c>
      <c r="D53" s="78">
        <v>4.6050843195928337E-3</v>
      </c>
      <c r="E53" s="79">
        <f t="shared" si="2"/>
        <v>0</v>
      </c>
      <c r="F53" s="79">
        <v>1.0000000000000001E-9</v>
      </c>
      <c r="G53" s="42" t="str">
        <f t="shared" si="3"/>
        <v>PASS</v>
      </c>
      <c r="O53" s="8" t="s">
        <v>1680</v>
      </c>
      <c r="P53">
        <v>3</v>
      </c>
      <c r="Q53">
        <f>IF(ISBLANK(Inputs!D76),"",Inputs!D76)</f>
        <v>3</v>
      </c>
      <c r="R53">
        <f>IF(ISNUMBER(Inputs!D76),IF(ABS(Inputs!D76-P53)&lt;=0.000000000001*MAX(1,ABS(P53)),0,1),1)</f>
        <v>0</v>
      </c>
    </row>
    <row r="54" spans="2:18" x14ac:dyDescent="0.45">
      <c r="B54" s="11" t="s">
        <v>1681</v>
      </c>
      <c r="C54" s="77">
        <f>'Bearing Seats'!S10</f>
        <v>44.478486082163798</v>
      </c>
      <c r="D54" s="78">
        <v>44.478486082163798</v>
      </c>
      <c r="E54" s="79">
        <f t="shared" si="2"/>
        <v>0</v>
      </c>
      <c r="F54" s="79">
        <v>1.0000000000000001E-9</v>
      </c>
      <c r="G54" s="42" t="str">
        <f t="shared" si="3"/>
        <v>PASS</v>
      </c>
      <c r="O54" s="8" t="s">
        <v>1682</v>
      </c>
      <c r="P54">
        <v>15</v>
      </c>
      <c r="Q54">
        <f>IF(ISBLANK(Inputs!D77),"",Inputs!D77)</f>
        <v>15</v>
      </c>
      <c r="R54">
        <f>IF(ISNUMBER(Inputs!D77),IF(ABS(Inputs!D77-P54)&lt;=0.000000000001*MAX(1,ABS(P54)),0,1),1)</f>
        <v>0</v>
      </c>
    </row>
    <row r="55" spans="2:18" x14ac:dyDescent="0.45">
      <c r="B55" s="11" t="s">
        <v>1683</v>
      </c>
      <c r="C55" s="77">
        <f>Substructure!H18</f>
        <v>6.0000540688585318</v>
      </c>
      <c r="D55" s="78">
        <v>6.0000540688584456</v>
      </c>
      <c r="E55" s="79">
        <f t="shared" si="2"/>
        <v>8.6153306710912148E-14</v>
      </c>
      <c r="F55" s="79">
        <v>9.9999999999999995E-7</v>
      </c>
      <c r="G55" s="42" t="str">
        <f t="shared" si="3"/>
        <v>PASS</v>
      </c>
      <c r="O55" s="8" t="s">
        <v>1684</v>
      </c>
      <c r="P55">
        <v>12</v>
      </c>
      <c r="Q55">
        <f>IF(ISBLANK(Inputs!D78),"",Inputs!D78)</f>
        <v>12</v>
      </c>
      <c r="R55">
        <f>IF(ISNUMBER(Inputs!D78),IF(ABS(Inputs!D78-P55)&lt;=0.000000000001*MAX(1,ABS(P55)),0,1),1)</f>
        <v>0</v>
      </c>
    </row>
    <row r="56" spans="2:18" x14ac:dyDescent="0.45">
      <c r="B56" s="11" t="s">
        <v>1685</v>
      </c>
      <c r="C56" s="77">
        <f>'Bearing Seats'!V11</f>
        <v>44.264944415497133</v>
      </c>
      <c r="D56" s="78">
        <v>44.264944415497133</v>
      </c>
      <c r="E56" s="79">
        <f t="shared" si="2"/>
        <v>0</v>
      </c>
      <c r="F56" s="79">
        <v>1.0000000000000001E-9</v>
      </c>
      <c r="G56" s="42" t="str">
        <f t="shared" si="3"/>
        <v>PASS</v>
      </c>
      <c r="O56" s="8" t="s">
        <v>1686</v>
      </c>
      <c r="P56">
        <v>6</v>
      </c>
      <c r="Q56">
        <f>IF(ISBLANK(Inputs!D79),"",Inputs!D79)</f>
        <v>6</v>
      </c>
      <c r="R56">
        <f>IF(ISNUMBER(Inputs!D79),IF(ABS(Inputs!D79-P56)&lt;=0.000000000001*MAX(1,ABS(P56)),0,1),1)</f>
        <v>0</v>
      </c>
    </row>
    <row r="57" spans="2:18" x14ac:dyDescent="0.45">
      <c r="B57" s="11" t="s">
        <v>1687</v>
      </c>
      <c r="C57" s="77">
        <f>'Bearing Seats'!T11</f>
        <v>4.6050843195928337E-3</v>
      </c>
      <c r="D57" s="78">
        <v>4.6050843195928337E-3</v>
      </c>
      <c r="E57" s="79">
        <f t="shared" si="2"/>
        <v>0</v>
      </c>
      <c r="F57" s="79">
        <v>1.0000000000000001E-9</v>
      </c>
      <c r="G57" s="42" t="str">
        <f t="shared" si="3"/>
        <v>PASS</v>
      </c>
      <c r="O57" s="8" t="s">
        <v>1688</v>
      </c>
      <c r="Q57" t="str">
        <f>IF(ISBLANK(Inputs!D80),"",Inputs!D80)</f>
        <v/>
      </c>
      <c r="R57">
        <f>IF(ISBLANK(Inputs!D80),0,1)</f>
        <v>0</v>
      </c>
    </row>
    <row r="58" spans="2:18" x14ac:dyDescent="0.45">
      <c r="B58" s="11" t="s">
        <v>1689</v>
      </c>
      <c r="C58" s="77">
        <f>'Bearing Seats'!S11</f>
        <v>44.478486082163798</v>
      </c>
      <c r="D58" s="78">
        <v>44.478486082163798</v>
      </c>
      <c r="E58" s="79">
        <f t="shared" si="2"/>
        <v>0</v>
      </c>
      <c r="F58" s="79">
        <v>1.0000000000000001E-9</v>
      </c>
      <c r="G58" s="42" t="str">
        <f t="shared" si="3"/>
        <v>PASS</v>
      </c>
      <c r="O58" s="8" t="s">
        <v>1690</v>
      </c>
      <c r="P58">
        <v>0</v>
      </c>
      <c r="Q58">
        <f>IF(ISBLANK(Inputs!D81),"",Inputs!D81)</f>
        <v>0</v>
      </c>
      <c r="R58">
        <f>IF(ISNUMBER(Inputs!D81),IF(ABS(Inputs!D81-P58)&lt;=0.000000000001*MAX(1,ABS(P58)),0,1),1)</f>
        <v>0</v>
      </c>
    </row>
    <row r="59" spans="2:18" x14ac:dyDescent="0.45">
      <c r="B59" s="11" t="s">
        <v>1691</v>
      </c>
      <c r="C59" s="77">
        <f>Substructure!H19</f>
        <v>6.0000540688585318</v>
      </c>
      <c r="D59" s="78">
        <v>6.0000540688584456</v>
      </c>
      <c r="E59" s="79">
        <f t="shared" si="2"/>
        <v>8.6153306710912148E-14</v>
      </c>
      <c r="F59" s="79">
        <v>9.9999999999999995E-7</v>
      </c>
      <c r="G59" s="42" t="str">
        <f t="shared" si="3"/>
        <v>PASS</v>
      </c>
      <c r="O59" s="8" t="s">
        <v>1692</v>
      </c>
      <c r="P59">
        <v>0</v>
      </c>
      <c r="Q59">
        <f>IF(ISBLANK(Inputs!D82),"",Inputs!D82)</f>
        <v>0</v>
      </c>
      <c r="R59">
        <f>IF(ISNUMBER(Inputs!D82),IF(ABS(Inputs!D82-P59)&lt;=0.000000000001*MAX(1,ABS(P59)),0,1),1)</f>
        <v>0</v>
      </c>
    </row>
    <row r="60" spans="2:18" x14ac:dyDescent="0.45">
      <c r="B60" s="11" t="s">
        <v>1693</v>
      </c>
      <c r="C60" s="77">
        <f>'Bearing Seats'!V12</f>
        <v>44.264939909758922</v>
      </c>
      <c r="D60" s="78">
        <v>44.26493990975893</v>
      </c>
      <c r="E60" s="79">
        <f t="shared" si="2"/>
        <v>0</v>
      </c>
      <c r="F60" s="79">
        <v>1.0000000000000001E-9</v>
      </c>
      <c r="G60" s="42" t="str">
        <f t="shared" si="3"/>
        <v>PASS</v>
      </c>
      <c r="O60" s="8" t="s">
        <v>1694</v>
      </c>
      <c r="P60">
        <v>42</v>
      </c>
      <c r="Q60">
        <f>IF(ISBLANK(Inputs!D83),"",Inputs!D83)</f>
        <v>42</v>
      </c>
      <c r="R60">
        <f>IF(ISNUMBER(Inputs!D83),IF(ABS(Inputs!D83-P60)&lt;=0.000000000001*MAX(1,ABS(P60)),0,1),1)</f>
        <v>0</v>
      </c>
    </row>
    <row r="61" spans="2:18" x14ac:dyDescent="0.45">
      <c r="B61" s="11" t="s">
        <v>1695</v>
      </c>
      <c r="C61" s="77">
        <f>'Bearing Seats'!T12</f>
        <v>-3.1661306612761563E-3</v>
      </c>
      <c r="D61" s="78">
        <v>-3.1661306612846829E-3</v>
      </c>
      <c r="E61" s="79">
        <f t="shared" si="2"/>
        <v>8.5265995652950011E-15</v>
      </c>
      <c r="F61" s="79">
        <v>1.0000000000000001E-9</v>
      </c>
      <c r="G61" s="42" t="str">
        <f t="shared" si="3"/>
        <v>PASS</v>
      </c>
      <c r="O61" s="8" t="s">
        <v>1696</v>
      </c>
      <c r="P61">
        <v>48</v>
      </c>
      <c r="Q61">
        <f>IF(ISBLANK(Inputs!D84),"",Inputs!D84)</f>
        <v>48</v>
      </c>
      <c r="R61">
        <f>IF(ISNUMBER(Inputs!D84),IF(ABS(Inputs!D84-P61)&lt;=0.000000000001*MAX(1,ABS(P61)),0,1),1)</f>
        <v>0</v>
      </c>
    </row>
    <row r="62" spans="2:18" x14ac:dyDescent="0.45">
      <c r="B62" s="11" t="s">
        <v>1697</v>
      </c>
      <c r="C62" s="77">
        <f>'Bearing Seats'!S12</f>
        <v>44.478481576425587</v>
      </c>
      <c r="D62" s="78">
        <v>44.478481576425587</v>
      </c>
      <c r="E62" s="79">
        <f t="shared" si="2"/>
        <v>0</v>
      </c>
      <c r="F62" s="79">
        <v>1.0000000000000001E-9</v>
      </c>
      <c r="G62" s="42" t="str">
        <f t="shared" si="3"/>
        <v>PASS</v>
      </c>
      <c r="O62" s="8" t="s">
        <v>1698</v>
      </c>
      <c r="P62">
        <v>0.75</v>
      </c>
      <c r="Q62">
        <f>IF(ISBLANK(Inputs!D85),"",Inputs!D85)</f>
        <v>0.75</v>
      </c>
      <c r="R62">
        <f>IF(ISNUMBER(Inputs!D85),IF(ABS(Inputs!D85-P62)&lt;=0.000000000001*MAX(1,ABS(P62)),0,1),1)</f>
        <v>0</v>
      </c>
    </row>
    <row r="63" spans="2:18" x14ac:dyDescent="0.45">
      <c r="B63" s="11" t="s">
        <v>1699</v>
      </c>
      <c r="C63" s="77">
        <f>Substructure!H20</f>
        <v>6</v>
      </c>
      <c r="D63" s="78">
        <v>6</v>
      </c>
      <c r="E63" s="79">
        <f t="shared" si="2"/>
        <v>0</v>
      </c>
      <c r="F63" s="79">
        <v>9.9999999999999995E-7</v>
      </c>
      <c r="G63" s="42" t="str">
        <f t="shared" si="3"/>
        <v>PASS</v>
      </c>
      <c r="O63" s="8" t="s">
        <v>1700</v>
      </c>
      <c r="P63">
        <v>3.5</v>
      </c>
      <c r="Q63">
        <f>IF(ISBLANK(Inputs!D89),"",Inputs!D89)</f>
        <v>3.5</v>
      </c>
      <c r="R63">
        <f>IF(ISNUMBER(Inputs!D89),IF(ABS(Inputs!D89-P63)&lt;=0.000000000001*MAX(1,ABS(P63)),0,1),1)</f>
        <v>0</v>
      </c>
    </row>
    <row r="64" spans="2:18" x14ac:dyDescent="0.45">
      <c r="B64" s="11" t="s">
        <v>1701</v>
      </c>
      <c r="C64" s="77">
        <f>'Bearing Seats'!V13</f>
        <v>44.264939909758922</v>
      </c>
      <c r="D64" s="78">
        <v>44.26493990975893</v>
      </c>
      <c r="E64" s="79">
        <f t="shared" si="2"/>
        <v>0</v>
      </c>
      <c r="F64" s="79">
        <v>1.0000000000000001E-9</v>
      </c>
      <c r="G64" s="42" t="str">
        <f t="shared" si="3"/>
        <v>PASS</v>
      </c>
      <c r="O64" s="8" t="s">
        <v>1702</v>
      </c>
      <c r="P64">
        <v>3</v>
      </c>
      <c r="Q64">
        <f>IF(ISBLANK(Inputs!D90),"",Inputs!D90)</f>
        <v>3</v>
      </c>
      <c r="R64">
        <f>IF(ISNUMBER(Inputs!D90),IF(ABS(Inputs!D90-P64)&lt;=0.000000000001*MAX(1,ABS(P64)),0,1),1)</f>
        <v>0</v>
      </c>
    </row>
    <row r="65" spans="2:18" x14ac:dyDescent="0.45">
      <c r="B65" s="11" t="s">
        <v>1703</v>
      </c>
      <c r="C65" s="77">
        <f>'Bearing Seats'!T13</f>
        <v>-3.1661306612761563E-3</v>
      </c>
      <c r="D65" s="78">
        <v>-3.1661306612846829E-3</v>
      </c>
      <c r="E65" s="79">
        <f t="shared" si="2"/>
        <v>8.5265995652950011E-15</v>
      </c>
      <c r="F65" s="79">
        <v>1.0000000000000001E-9</v>
      </c>
      <c r="G65" s="42" t="str">
        <f t="shared" si="3"/>
        <v>PASS</v>
      </c>
      <c r="O65" s="8" t="s">
        <v>1704</v>
      </c>
      <c r="Q65" t="str">
        <f>IF(ISBLANK(Inputs!D91),"",Inputs!D91)</f>
        <v/>
      </c>
      <c r="R65">
        <f>IF(ISBLANK(Inputs!D91),0,1)</f>
        <v>0</v>
      </c>
    </row>
    <row r="66" spans="2:18" x14ac:dyDescent="0.45">
      <c r="B66" s="11" t="s">
        <v>1705</v>
      </c>
      <c r="C66" s="77">
        <f>'Bearing Seats'!S13</f>
        <v>44.478481576425587</v>
      </c>
      <c r="D66" s="78">
        <v>44.478481576425587</v>
      </c>
      <c r="E66" s="79">
        <f t="shared" si="2"/>
        <v>0</v>
      </c>
      <c r="F66" s="79">
        <v>1.0000000000000001E-9</v>
      </c>
      <c r="G66" s="42" t="str">
        <f t="shared" si="3"/>
        <v>PASS</v>
      </c>
      <c r="O66" s="8" t="s">
        <v>1706</v>
      </c>
      <c r="P66">
        <v>4</v>
      </c>
      <c r="Q66">
        <f>IF(ISBLANK(Inputs!D92),"",Inputs!D92)</f>
        <v>4</v>
      </c>
      <c r="R66">
        <f>IF(ISNUMBER(Inputs!D92),IF(ABS(Inputs!D92-P66)&lt;=0.000000000001*MAX(1,ABS(P66)),0,1),1)</f>
        <v>0</v>
      </c>
    </row>
    <row r="67" spans="2:18" x14ac:dyDescent="0.45">
      <c r="B67" s="11" t="s">
        <v>1707</v>
      </c>
      <c r="C67" s="77">
        <f>Substructure!H21</f>
        <v>6</v>
      </c>
      <c r="D67" s="78">
        <v>6</v>
      </c>
      <c r="E67" s="79">
        <f t="shared" si="2"/>
        <v>0</v>
      </c>
      <c r="F67" s="79">
        <v>9.9999999999999995E-7</v>
      </c>
      <c r="G67" s="42" t="str">
        <f t="shared" si="3"/>
        <v>PASS</v>
      </c>
      <c r="O67" s="8" t="s">
        <v>1708</v>
      </c>
      <c r="P67">
        <v>18</v>
      </c>
      <c r="Q67">
        <f>IF(ISBLANK(Inputs!D93),"",Inputs!D93)</f>
        <v>18</v>
      </c>
      <c r="R67">
        <f>IF(ISNUMBER(Inputs!D93),IF(ABS(Inputs!D93-P67)&lt;=0.000000000001*MAX(1,ABS(P67)),0,1),1)</f>
        <v>0</v>
      </c>
    </row>
    <row r="68" spans="2:18" x14ac:dyDescent="0.45">
      <c r="B68" s="11" t="s">
        <v>1709</v>
      </c>
      <c r="C68" s="77">
        <f>Substructure!D51</f>
        <v>-7.5</v>
      </c>
      <c r="D68" s="78">
        <v>-7.5</v>
      </c>
      <c r="E68" s="79">
        <f t="shared" si="2"/>
        <v>0</v>
      </c>
      <c r="F68" s="79">
        <v>1.0000000000000001E-9</v>
      </c>
      <c r="G68" s="42" t="str">
        <f t="shared" si="3"/>
        <v>PASS</v>
      </c>
      <c r="O68" s="8" t="s">
        <v>1710</v>
      </c>
      <c r="P68">
        <v>54</v>
      </c>
      <c r="Q68">
        <f>IF(ISBLANK(Inputs!D94),"",Inputs!D94)</f>
        <v>54</v>
      </c>
      <c r="R68">
        <f>IF(ISNUMBER(Inputs!D94),IF(ABS(Inputs!D94-P68)&lt;=0.000000000001*MAX(1,ABS(P68)),0,1),1)</f>
        <v>0</v>
      </c>
    </row>
    <row r="69" spans="2:18" x14ac:dyDescent="0.45">
      <c r="B69" s="11" t="s">
        <v>1711</v>
      </c>
      <c r="C69" s="77">
        <f>Substructure!J51</f>
        <v>41.764939909758922</v>
      </c>
      <c r="D69" s="78">
        <v>41.76493990975893</v>
      </c>
      <c r="E69" s="79">
        <f t="shared" si="2"/>
        <v>0</v>
      </c>
      <c r="F69" s="79">
        <v>1.0000000000000001E-9</v>
      </c>
      <c r="G69" s="42" t="str">
        <f t="shared" si="3"/>
        <v>PASS</v>
      </c>
      <c r="O69" s="8" t="s">
        <v>1712</v>
      </c>
      <c r="P69">
        <v>27.5</v>
      </c>
      <c r="Q69">
        <f>IF(ISBLANK(Inputs!D95),"",Inputs!D95)</f>
        <v>27.5</v>
      </c>
      <c r="R69">
        <f>IF(ISNUMBER(Inputs!D95),IF(ABS(Inputs!D95-P69)&lt;=0.000000000001*MAX(1,ABS(P69)),0,1),1)</f>
        <v>0</v>
      </c>
    </row>
    <row r="70" spans="2:18" x14ac:dyDescent="0.45">
      <c r="B70" s="11" t="s">
        <v>1713</v>
      </c>
      <c r="C70" s="77">
        <f>Substructure!D52</f>
        <v>-2.5</v>
      </c>
      <c r="D70" s="78">
        <v>-2.5</v>
      </c>
      <c r="E70" s="79">
        <f t="shared" si="2"/>
        <v>0</v>
      </c>
      <c r="F70" s="79">
        <v>1.0000000000000001E-9</v>
      </c>
      <c r="G70" s="42" t="str">
        <f t="shared" si="3"/>
        <v>PASS</v>
      </c>
      <c r="O70" s="8" t="s">
        <v>1714</v>
      </c>
      <c r="P70">
        <v>12</v>
      </c>
      <c r="Q70">
        <f>IF(ISBLANK(Inputs!D96),"",Inputs!D96)</f>
        <v>12</v>
      </c>
      <c r="R70">
        <f>IF(ISNUMBER(Inputs!D96),IF(ABS(Inputs!D96-P70)&lt;=0.000000000001*MAX(1,ABS(P70)),0,1),1)</f>
        <v>0</v>
      </c>
    </row>
    <row r="71" spans="2:18" x14ac:dyDescent="0.45">
      <c r="B71" s="11" t="s">
        <v>1715</v>
      </c>
      <c r="C71" s="77">
        <f>Substructure!J52</f>
        <v>41.764939909758922</v>
      </c>
      <c r="D71" s="78">
        <v>41.76493990975893</v>
      </c>
      <c r="E71" s="79">
        <f t="shared" si="2"/>
        <v>0</v>
      </c>
      <c r="F71" s="79">
        <v>1.0000000000000001E-9</v>
      </c>
      <c r="G71" s="42" t="str">
        <f t="shared" si="3"/>
        <v>PASS</v>
      </c>
      <c r="O71" s="8" t="s">
        <v>1716</v>
      </c>
      <c r="P71">
        <v>2.5625</v>
      </c>
      <c r="Q71">
        <f>IF(ISBLANK(Inputs!D97),"",Inputs!D97)</f>
        <v>2.5625</v>
      </c>
      <c r="R71">
        <f>IF(ISNUMBER(Inputs!D97),IF(ABS(Inputs!D97-P71)&lt;=0.000000000001*MAX(1,ABS(P71)),0,1),1)</f>
        <v>0</v>
      </c>
    </row>
    <row r="72" spans="2:18" x14ac:dyDescent="0.45">
      <c r="B72" s="11" t="s">
        <v>1717</v>
      </c>
      <c r="C72" s="77">
        <f>Substructure!D53</f>
        <v>2.5</v>
      </c>
      <c r="D72" s="78">
        <v>2.5</v>
      </c>
      <c r="E72" s="79">
        <f t="shared" ref="E72:E103" si="4">C72-D72</f>
        <v>0</v>
      </c>
      <c r="F72" s="79">
        <v>1.0000000000000001E-9</v>
      </c>
      <c r="G72" s="42" t="str">
        <f t="shared" ref="G72:G103" si="5">IF(ABS(E72)&lt;=F72,"PASS","FAIL")</f>
        <v>PASS</v>
      </c>
      <c r="O72" s="8" t="s">
        <v>1718</v>
      </c>
      <c r="P72">
        <v>10</v>
      </c>
      <c r="Q72">
        <f>IF(ISBLANK(Inputs!D98),"",Inputs!D98)</f>
        <v>10</v>
      </c>
      <c r="R72">
        <f>IF(ISNUMBER(Inputs!D98),IF(ABS(Inputs!D98-P72)&lt;=0.000000000001*MAX(1,ABS(P72)),0,1),1)</f>
        <v>0</v>
      </c>
    </row>
    <row r="73" spans="2:18" x14ac:dyDescent="0.45">
      <c r="B73" s="11" t="s">
        <v>1719</v>
      </c>
      <c r="C73" s="77">
        <f>Substructure!J53</f>
        <v>41.764939909758922</v>
      </c>
      <c r="D73" s="78">
        <v>41.76493990975893</v>
      </c>
      <c r="E73" s="79">
        <f t="shared" si="4"/>
        <v>0</v>
      </c>
      <c r="F73" s="79">
        <v>1.0000000000000001E-9</v>
      </c>
      <c r="G73" s="42" t="str">
        <f t="shared" si="5"/>
        <v>PASS</v>
      </c>
      <c r="O73" s="8" t="s">
        <v>1720</v>
      </c>
      <c r="P73">
        <v>32</v>
      </c>
      <c r="Q73">
        <f>IF(ISBLANK(Inputs!D99),"",Inputs!D99)</f>
        <v>32</v>
      </c>
      <c r="R73">
        <f>IF(ISNUMBER(Inputs!D99),IF(ABS(Inputs!D99-P73)&lt;=0.000000000001*MAX(1,ABS(P73)),0,1),1)</f>
        <v>0</v>
      </c>
    </row>
    <row r="74" spans="2:18" x14ac:dyDescent="0.45">
      <c r="B74" s="11" t="s">
        <v>1721</v>
      </c>
      <c r="C74" s="77">
        <f>Substructure!D54</f>
        <v>7.5</v>
      </c>
      <c r="D74" s="78">
        <v>7.5</v>
      </c>
      <c r="E74" s="79">
        <f t="shared" si="4"/>
        <v>0</v>
      </c>
      <c r="F74" s="79">
        <v>1.0000000000000001E-9</v>
      </c>
      <c r="G74" s="42" t="str">
        <f t="shared" si="5"/>
        <v>PASS</v>
      </c>
      <c r="O74" s="8" t="s">
        <v>1722</v>
      </c>
      <c r="P74">
        <v>6</v>
      </c>
      <c r="Q74">
        <f>IF(ISBLANK(Inputs!D100),"",Inputs!D100)</f>
        <v>6</v>
      </c>
      <c r="R74">
        <f>IF(ISNUMBER(Inputs!D100),IF(ABS(Inputs!D100-P74)&lt;=0.000000000001*MAX(1,ABS(P74)),0,1),1)</f>
        <v>0</v>
      </c>
    </row>
    <row r="75" spans="2:18" x14ac:dyDescent="0.45">
      <c r="B75" s="11" t="s">
        <v>1723</v>
      </c>
      <c r="C75" s="77">
        <f>Substructure!J54</f>
        <v>41.764939909758922</v>
      </c>
      <c r="D75" s="78">
        <v>41.76493990975893</v>
      </c>
      <c r="E75" s="79">
        <f t="shared" si="4"/>
        <v>0</v>
      </c>
      <c r="F75" s="79">
        <v>1.0000000000000001E-9</v>
      </c>
      <c r="G75" s="42" t="str">
        <f t="shared" si="5"/>
        <v>PASS</v>
      </c>
      <c r="O75" s="8" t="s">
        <v>1724</v>
      </c>
      <c r="Q75" t="str">
        <f>IF(ISBLANK(Inputs!D101),"",Inputs!D101)</f>
        <v/>
      </c>
      <c r="R75">
        <f>IF(ISBLANK(Inputs!D101),0,1)</f>
        <v>0</v>
      </c>
    </row>
    <row r="76" spans="2:18" x14ac:dyDescent="0.45">
      <c r="B76" s="11" t="s">
        <v>1725</v>
      </c>
      <c r="C76" s="77">
        <f>'Bearing Seats'!G26</f>
        <v>44.259763695637588</v>
      </c>
      <c r="D76" s="78">
        <v>44.259763695637588</v>
      </c>
      <c r="E76" s="79">
        <f t="shared" si="4"/>
        <v>0</v>
      </c>
      <c r="F76" s="79">
        <v>1.0000000000000001E-9</v>
      </c>
      <c r="G76" s="42" t="str">
        <f t="shared" si="5"/>
        <v>PASS</v>
      </c>
      <c r="O76" s="8" t="s">
        <v>1726</v>
      </c>
      <c r="P76">
        <v>0</v>
      </c>
      <c r="Q76">
        <f>IF(ISBLANK(Inputs!D102),"",Inputs!D102)</f>
        <v>0</v>
      </c>
      <c r="R76">
        <f>IF(ISNUMBER(Inputs!D102),IF(ABS(Inputs!D102-P76)&lt;=0.000000000001*MAX(1,ABS(P76)),0,1),1)</f>
        <v>0</v>
      </c>
    </row>
    <row r="77" spans="2:18" x14ac:dyDescent="0.45">
      <c r="B77" s="11" t="s">
        <v>1727</v>
      </c>
      <c r="C77" s="77">
        <f>'Bearing Seats'!H26</f>
        <v>44.266863200630297</v>
      </c>
      <c r="D77" s="78">
        <v>44.266863200630297</v>
      </c>
      <c r="E77" s="79">
        <f t="shared" si="4"/>
        <v>0</v>
      </c>
      <c r="F77" s="79">
        <v>1.0000000000000001E-9</v>
      </c>
      <c r="G77" s="42" t="str">
        <f t="shared" si="5"/>
        <v>PASS</v>
      </c>
      <c r="O77" s="8" t="s">
        <v>1728</v>
      </c>
      <c r="P77">
        <v>0</v>
      </c>
      <c r="Q77">
        <f>IF(ISBLANK(Inputs!D103),"",Inputs!D103)</f>
        <v>0</v>
      </c>
      <c r="R77">
        <f>IF(ISNUMBER(Inputs!D103),IF(ABS(Inputs!D103-P77)&lt;=0.000000000001*MAX(1,ABS(P77)),0,1),1)</f>
        <v>0</v>
      </c>
    </row>
    <row r="78" spans="2:18" x14ac:dyDescent="0.45">
      <c r="B78" s="11" t="s">
        <v>1729</v>
      </c>
      <c r="C78" s="77">
        <f>'Bearing Seats'!I26</f>
        <v>44.266259130867788</v>
      </c>
      <c r="D78" s="78">
        <v>44.266259130867802</v>
      </c>
      <c r="E78" s="79">
        <f t="shared" si="4"/>
        <v>0</v>
      </c>
      <c r="F78" s="79">
        <v>1.0000000000000001E-9</v>
      </c>
      <c r="G78" s="42" t="str">
        <f t="shared" si="5"/>
        <v>PASS</v>
      </c>
      <c r="O78" s="8" t="s">
        <v>1730</v>
      </c>
      <c r="P78">
        <v>42</v>
      </c>
      <c r="Q78">
        <f>IF(ISBLANK(Inputs!D104),"",Inputs!D104)</f>
        <v>42</v>
      </c>
      <c r="R78">
        <f>IF(ISNUMBER(Inputs!D104),IF(ABS(Inputs!D104-P78)&lt;=0.000000000001*MAX(1,ABS(P78)),0,1),1)</f>
        <v>0</v>
      </c>
    </row>
    <row r="79" spans="2:18" x14ac:dyDescent="0.45">
      <c r="B79" s="11" t="s">
        <v>1731</v>
      </c>
      <c r="C79" s="77">
        <f>'Bearing Seats'!J26</f>
        <v>44.261378012764986</v>
      </c>
      <c r="D79" s="78">
        <v>44.261378012764993</v>
      </c>
      <c r="E79" s="79">
        <f t="shared" si="4"/>
        <v>0</v>
      </c>
      <c r="F79" s="79">
        <v>1.0000000000000001E-9</v>
      </c>
      <c r="G79" s="42" t="str">
        <f t="shared" si="5"/>
        <v>PASS</v>
      </c>
      <c r="O79" s="8" t="s">
        <v>1732</v>
      </c>
      <c r="P79">
        <v>30</v>
      </c>
      <c r="Q79">
        <f>IF(ISBLANK(Inputs!D105),"",Inputs!D105)</f>
        <v>30</v>
      </c>
      <c r="R79">
        <f>IF(ISNUMBER(Inputs!D105),IF(ABS(Inputs!D105-P79)&lt;=0.000000000001*MAX(1,ABS(P79)),0,1),1)</f>
        <v>0</v>
      </c>
    </row>
    <row r="80" spans="2:18" x14ac:dyDescent="0.45">
      <c r="B80" s="11" t="s">
        <v>1733</v>
      </c>
      <c r="C80" s="77">
        <f>'Bearing Seats'!G27</f>
        <v>44.259763695637588</v>
      </c>
      <c r="D80" s="78">
        <v>44.259763695637588</v>
      </c>
      <c r="E80" s="79">
        <f t="shared" si="4"/>
        <v>0</v>
      </c>
      <c r="F80" s="79">
        <v>1.0000000000000001E-9</v>
      </c>
      <c r="G80" s="42" t="str">
        <f t="shared" si="5"/>
        <v>PASS</v>
      </c>
      <c r="O80" s="8" t="s">
        <v>1734</v>
      </c>
      <c r="P80">
        <v>0.75</v>
      </c>
      <c r="Q80">
        <f>IF(ISBLANK(Inputs!D106),"",Inputs!D106)</f>
        <v>0.75</v>
      </c>
      <c r="R80">
        <f>IF(ISNUMBER(Inputs!D106),IF(ABS(Inputs!D106-P80)&lt;=0.000000000001*MAX(1,ABS(P80)),0,1),1)</f>
        <v>0</v>
      </c>
    </row>
    <row r="81" spans="2:18" x14ac:dyDescent="0.45">
      <c r="B81" s="11" t="s">
        <v>1735</v>
      </c>
      <c r="C81" s="77">
        <f>'Bearing Seats'!H27</f>
        <v>44.266863200630297</v>
      </c>
      <c r="D81" s="78">
        <v>44.266863200630297</v>
      </c>
      <c r="E81" s="79">
        <f t="shared" si="4"/>
        <v>0</v>
      </c>
      <c r="F81" s="79">
        <v>1.0000000000000001E-9</v>
      </c>
      <c r="G81" s="42" t="str">
        <f t="shared" si="5"/>
        <v>PASS</v>
      </c>
      <c r="O81" s="8" t="s">
        <v>1736</v>
      </c>
      <c r="P81">
        <v>12</v>
      </c>
      <c r="Q81">
        <f>IF(ISBLANK(Inputs!D107),"",Inputs!D107)</f>
        <v>12</v>
      </c>
      <c r="R81">
        <f>IF(ISNUMBER(Inputs!D107),IF(ABS(Inputs!D107-P81)&lt;=0.000000000001*MAX(1,ABS(P81)),0,1),1)</f>
        <v>0</v>
      </c>
    </row>
    <row r="82" spans="2:18" x14ac:dyDescent="0.45">
      <c r="B82" s="11" t="s">
        <v>1737</v>
      </c>
      <c r="C82" s="77">
        <f>'Bearing Seats'!I27</f>
        <v>44.266259130867788</v>
      </c>
      <c r="D82" s="78">
        <v>44.266259130867802</v>
      </c>
      <c r="E82" s="79">
        <f t="shared" si="4"/>
        <v>0</v>
      </c>
      <c r="F82" s="79">
        <v>1.0000000000000001E-9</v>
      </c>
      <c r="G82" s="42" t="str">
        <f t="shared" si="5"/>
        <v>PASS</v>
      </c>
      <c r="O82" s="8" t="s">
        <v>1738</v>
      </c>
      <c r="P82">
        <v>0</v>
      </c>
      <c r="Q82">
        <f>IF(ISBLANK(Inputs!D108),"",Inputs!D108)</f>
        <v>0</v>
      </c>
      <c r="R82">
        <f>IF(ISNUMBER(Inputs!D108),IF(ABS(Inputs!D108-P82)&lt;=0.000000000001*MAX(1,ABS(P82)),0,1),1)</f>
        <v>0</v>
      </c>
    </row>
    <row r="83" spans="2:18" x14ac:dyDescent="0.45">
      <c r="B83" s="11" t="s">
        <v>1739</v>
      </c>
      <c r="C83" s="77">
        <f>'Bearing Seats'!J27</f>
        <v>44.261378012764986</v>
      </c>
      <c r="D83" s="78">
        <v>44.261378012764993</v>
      </c>
      <c r="E83" s="79">
        <f t="shared" si="4"/>
        <v>0</v>
      </c>
      <c r="F83" s="79">
        <v>1.0000000000000001E-9</v>
      </c>
      <c r="G83" s="42" t="str">
        <f t="shared" si="5"/>
        <v>PASS</v>
      </c>
      <c r="O83" s="8" t="s">
        <v>1740</v>
      </c>
      <c r="P83">
        <v>3</v>
      </c>
      <c r="Q83">
        <f>IF(ISBLANK(Inputs!D109),"",Inputs!D109)</f>
        <v>3</v>
      </c>
      <c r="R83">
        <f>IF(ISNUMBER(Inputs!D109),IF(ABS(Inputs!D109-P83)&lt;=0.000000000001*MAX(1,ABS(P83)),0,1),1)</f>
        <v>0</v>
      </c>
    </row>
    <row r="84" spans="2:18" x14ac:dyDescent="0.45">
      <c r="B84" s="11" t="s">
        <v>1741</v>
      </c>
      <c r="C84" s="77">
        <f>EB1_Top</f>
        <v>43.237692232218137</v>
      </c>
      <c r="D84" s="78">
        <v>43.237692232218137</v>
      </c>
      <c r="E84" s="79">
        <f t="shared" si="4"/>
        <v>0</v>
      </c>
      <c r="F84" s="79">
        <v>1.0000000000000001E-9</v>
      </c>
      <c r="G84" s="42" t="str">
        <f t="shared" si="5"/>
        <v>PASS</v>
      </c>
      <c r="O84" s="8" t="s">
        <v>1742</v>
      </c>
      <c r="P84">
        <v>9</v>
      </c>
      <c r="Q84">
        <f>IF(ISBLANK(Inputs!D110),"",Inputs!D110)</f>
        <v>9</v>
      </c>
      <c r="R84">
        <f>IF(ISNUMBER(Inputs!D110),IF(ABS(Inputs!D110-P84)&lt;=0.000000000001*MAX(1,ABS(P84)),0,1),1)</f>
        <v>0</v>
      </c>
    </row>
    <row r="85" spans="2:18" x14ac:dyDescent="0.45">
      <c r="B85" s="11" t="s">
        <v>1743</v>
      </c>
      <c r="C85" s="77">
        <f>EB1_CapSta</f>
        <v>1593.97</v>
      </c>
      <c r="D85" s="78">
        <v>1593.97</v>
      </c>
      <c r="E85" s="79">
        <f t="shared" si="4"/>
        <v>0</v>
      </c>
      <c r="F85" s="79">
        <v>1.0000000000000001E-9</v>
      </c>
      <c r="G85" s="42" t="str">
        <f t="shared" si="5"/>
        <v>PASS</v>
      </c>
      <c r="O85" s="8" t="s">
        <v>1744</v>
      </c>
      <c r="P85">
        <v>4.25</v>
      </c>
      <c r="Q85">
        <f>IF(ISBLANK(Inputs!D111),"",Inputs!D111)</f>
        <v>4.25</v>
      </c>
      <c r="R85">
        <f>IF(ISNUMBER(Inputs!D111),IF(ABS(Inputs!D111-P85)&lt;=0.000000000001*MAX(1,ABS(P85)),0,1),1)</f>
        <v>0</v>
      </c>
    </row>
    <row r="86" spans="2:18" x14ac:dyDescent="0.45">
      <c r="B86" s="11" t="s">
        <v>1745</v>
      </c>
      <c r="C86" s="77">
        <f>EB1_Len</f>
        <v>19.583333333333332</v>
      </c>
      <c r="D86" s="78">
        <v>19.583333333333329</v>
      </c>
      <c r="E86" s="79">
        <f t="shared" si="4"/>
        <v>0</v>
      </c>
      <c r="F86" s="79">
        <v>1.0000000000000001E-9</v>
      </c>
      <c r="G86" s="42" t="str">
        <f t="shared" si="5"/>
        <v>PASS</v>
      </c>
      <c r="O86" s="8" t="s">
        <v>1746</v>
      </c>
      <c r="P86">
        <v>8</v>
      </c>
      <c r="Q86">
        <f>IF(ISBLANK(Inputs!D112),"",Inputs!D112)</f>
        <v>8</v>
      </c>
      <c r="R86">
        <f>IF(ISNUMBER(Inputs!D112),IF(ABS(Inputs!D112-P86)&lt;=0.000000000001*MAX(1,ABS(P86)),0,1),1)</f>
        <v>0</v>
      </c>
    </row>
    <row r="87" spans="2:18" x14ac:dyDescent="0.45">
      <c r="B87" s="11" t="s">
        <v>1747</v>
      </c>
      <c r="C87" s="77">
        <f>'Bearing Seats'!V8</f>
        <v>43.737692232218137</v>
      </c>
      <c r="D87" s="78">
        <v>43.737692232218137</v>
      </c>
      <c r="E87" s="79">
        <f t="shared" si="4"/>
        <v>0</v>
      </c>
      <c r="F87" s="79">
        <v>1.0000000000000001E-9</v>
      </c>
      <c r="G87" s="42" t="str">
        <f t="shared" si="5"/>
        <v>PASS</v>
      </c>
      <c r="O87" s="8" t="s">
        <v>1748</v>
      </c>
      <c r="P87">
        <v>6</v>
      </c>
      <c r="Q87">
        <f>IF(ISBLANK(Inputs!D113),"",Inputs!D113)</f>
        <v>6</v>
      </c>
      <c r="R87">
        <f>IF(ISNUMBER(Inputs!D113),IF(ABS(Inputs!D113-P87)&lt;=0.000000000001*MAX(1,ABS(P87)),0,1),1)</f>
        <v>0</v>
      </c>
    </row>
    <row r="88" spans="2:18" x14ac:dyDescent="0.45">
      <c r="B88" s="11" t="s">
        <v>1749</v>
      </c>
      <c r="C88" s="77">
        <f>'Bearing Seats'!T8</f>
        <v>5.3925868494673068E-3</v>
      </c>
      <c r="D88" s="78">
        <v>5.3925868494673068E-3</v>
      </c>
      <c r="E88" s="79">
        <f t="shared" si="4"/>
        <v>0</v>
      </c>
      <c r="F88" s="79">
        <v>1.0000000000000001E-9</v>
      </c>
      <c r="G88" s="42" t="str">
        <f t="shared" si="5"/>
        <v>PASS</v>
      </c>
      <c r="O88" s="8" t="s">
        <v>1750</v>
      </c>
      <c r="P88">
        <v>5.5</v>
      </c>
      <c r="Q88">
        <f>IF(ISBLANK(Inputs!D114),"",Inputs!D114)</f>
        <v>5.5</v>
      </c>
      <c r="R88">
        <f>IF(ISNUMBER(Inputs!D114),IF(ABS(Inputs!D114-P88)&lt;=0.000000000001*MAX(1,ABS(P88)),0,1),1)</f>
        <v>0</v>
      </c>
    </row>
    <row r="89" spans="2:18" x14ac:dyDescent="0.45">
      <c r="B89" s="11" t="s">
        <v>1751</v>
      </c>
      <c r="C89" s="77">
        <f>'Bearing Seats'!S8</f>
        <v>43.951233898884801</v>
      </c>
      <c r="D89" s="78">
        <v>43.951233898884801</v>
      </c>
      <c r="E89" s="79">
        <f t="shared" si="4"/>
        <v>0</v>
      </c>
      <c r="F89" s="79">
        <v>1.0000000000000001E-9</v>
      </c>
      <c r="G89" s="42" t="str">
        <f t="shared" si="5"/>
        <v>PASS</v>
      </c>
      <c r="O89" s="8" t="s">
        <v>1752</v>
      </c>
      <c r="P89">
        <v>0.5</v>
      </c>
      <c r="Q89">
        <f>IF(ISBLANK(Inputs!D115),"",Inputs!D115)</f>
        <v>0.5</v>
      </c>
      <c r="R89">
        <f>IF(ISNUMBER(Inputs!D115),IF(ABS(Inputs!D115-P89)&lt;=0.000000000001*MAX(1,ABS(P89)),0,1),1)</f>
        <v>0</v>
      </c>
    </row>
    <row r="90" spans="2:18" x14ac:dyDescent="0.45">
      <c r="B90" s="11" t="s">
        <v>1753</v>
      </c>
      <c r="C90" s="77">
        <f>Substructure!H16</f>
        <v>6</v>
      </c>
      <c r="D90" s="78">
        <v>6</v>
      </c>
      <c r="E90" s="79">
        <f t="shared" si="4"/>
        <v>0</v>
      </c>
      <c r="F90" s="79">
        <v>9.9999999999999995E-7</v>
      </c>
      <c r="G90" s="42" t="str">
        <f t="shared" si="5"/>
        <v>PASS</v>
      </c>
      <c r="O90" s="8" t="s">
        <v>1754</v>
      </c>
      <c r="P90">
        <v>48.269044756099099</v>
      </c>
      <c r="Q90">
        <f>IF(ISBLANK(Inputs!D116),"",Inputs!D116)</f>
        <v>48.269044756099099</v>
      </c>
      <c r="R90">
        <f>IF(ISNUMBER(Inputs!D116),IF(ABS(Inputs!D116-P90)&lt;=0.000000000001*MAX(1,ABS(P90)),0,1),1)</f>
        <v>0</v>
      </c>
    </row>
    <row r="91" spans="2:18" x14ac:dyDescent="0.45">
      <c r="B91" s="11" t="s">
        <v>1755</v>
      </c>
      <c r="C91" s="77">
        <f>'Bearing Seats'!V9</f>
        <v>43.737692232218137</v>
      </c>
      <c r="D91" s="78">
        <v>43.737692232218137</v>
      </c>
      <c r="E91" s="79">
        <f t="shared" si="4"/>
        <v>0</v>
      </c>
      <c r="F91" s="79">
        <v>1.0000000000000001E-9</v>
      </c>
      <c r="G91" s="42" t="str">
        <f t="shared" si="5"/>
        <v>PASS</v>
      </c>
      <c r="O91" s="8" t="s">
        <v>1756</v>
      </c>
      <c r="P91">
        <v>48.264512455291452</v>
      </c>
      <c r="Q91">
        <f>IF(ISBLANK(Inputs!D117),"",Inputs!D117)</f>
        <v>48.264512455291452</v>
      </c>
      <c r="R91">
        <f>IF(ISNUMBER(Inputs!D117),IF(ABS(Inputs!D117-P91)&lt;=0.000000000001*MAX(1,ABS(P91)),0,1),1)</f>
        <v>0</v>
      </c>
    </row>
    <row r="92" spans="2:18" x14ac:dyDescent="0.45">
      <c r="B92" s="11" t="s">
        <v>1757</v>
      </c>
      <c r="C92" s="77">
        <f>'Bearing Seats'!T9</f>
        <v>5.3925868494673068E-3</v>
      </c>
      <c r="D92" s="78">
        <v>5.3925868494673068E-3</v>
      </c>
      <c r="E92" s="79">
        <f t="shared" si="4"/>
        <v>0</v>
      </c>
      <c r="F92" s="79">
        <v>1.0000000000000001E-9</v>
      </c>
      <c r="G92" s="42" t="str">
        <f t="shared" si="5"/>
        <v>PASS</v>
      </c>
      <c r="O92" s="8" t="s">
        <v>1758</v>
      </c>
      <c r="P92">
        <v>3.5</v>
      </c>
      <c r="Q92">
        <f>IF(ISBLANK(Inputs!D121),"",Inputs!D121)</f>
        <v>3.5</v>
      </c>
      <c r="R92">
        <f>IF(ISNUMBER(Inputs!D121),IF(ABS(Inputs!D121-P92)&lt;=0.000000000001*MAX(1,ABS(P92)),0,1),1)</f>
        <v>0</v>
      </c>
    </row>
    <row r="93" spans="2:18" x14ac:dyDescent="0.45">
      <c r="B93" s="11" t="s">
        <v>1759</v>
      </c>
      <c r="C93" s="77">
        <f>'Bearing Seats'!S9</f>
        <v>43.951233898884801</v>
      </c>
      <c r="D93" s="78">
        <v>43.951233898884801</v>
      </c>
      <c r="E93" s="79">
        <f t="shared" si="4"/>
        <v>0</v>
      </c>
      <c r="F93" s="79">
        <v>1.0000000000000001E-9</v>
      </c>
      <c r="G93" s="42" t="str">
        <f t="shared" si="5"/>
        <v>PASS</v>
      </c>
      <c r="O93" s="8" t="s">
        <v>1760</v>
      </c>
      <c r="P93">
        <v>3</v>
      </c>
      <c r="Q93">
        <f>IF(ISBLANK(Inputs!D122),"",Inputs!D122)</f>
        <v>3</v>
      </c>
      <c r="R93">
        <f>IF(ISNUMBER(Inputs!D122),IF(ABS(Inputs!D122-P93)&lt;=0.000000000001*MAX(1,ABS(P93)),0,1),1)</f>
        <v>0</v>
      </c>
    </row>
    <row r="94" spans="2:18" x14ac:dyDescent="0.45">
      <c r="B94" s="11" t="s">
        <v>1761</v>
      </c>
      <c r="C94" s="77">
        <f>Substructure!H17</f>
        <v>6</v>
      </c>
      <c r="D94" s="78">
        <v>6</v>
      </c>
      <c r="E94" s="79">
        <f t="shared" si="4"/>
        <v>0</v>
      </c>
      <c r="F94" s="79">
        <v>9.9999999999999995E-7</v>
      </c>
      <c r="G94" s="42" t="str">
        <f t="shared" si="5"/>
        <v>PASS</v>
      </c>
      <c r="O94" s="8" t="s">
        <v>1762</v>
      </c>
      <c r="Q94" t="str">
        <f>IF(ISBLANK(Inputs!D123),"",Inputs!D123)</f>
        <v/>
      </c>
      <c r="R94">
        <f>IF(ISBLANK(Inputs!D123),0,1)</f>
        <v>0</v>
      </c>
    </row>
    <row r="95" spans="2:18" x14ac:dyDescent="0.45">
      <c r="B95" s="11" t="s">
        <v>1763</v>
      </c>
      <c r="C95" s="77">
        <f>Substructure!D55</f>
        <v>-6.75</v>
      </c>
      <c r="D95" s="78">
        <v>-6.75</v>
      </c>
      <c r="E95" s="79">
        <f t="shared" si="4"/>
        <v>0</v>
      </c>
      <c r="F95" s="79">
        <v>1.0000000000000001E-9</v>
      </c>
      <c r="G95" s="42" t="str">
        <f t="shared" si="5"/>
        <v>PASS</v>
      </c>
      <c r="O95" s="8" t="s">
        <v>1764</v>
      </c>
      <c r="P95">
        <v>4</v>
      </c>
      <c r="Q95">
        <f>IF(ISBLANK(Inputs!D124),"",Inputs!D124)</f>
        <v>4</v>
      </c>
      <c r="R95">
        <f>IF(ISNUMBER(Inputs!D124),IF(ABS(Inputs!D124-P95)&lt;=0.000000000001*MAX(1,ABS(P95)),0,1),1)</f>
        <v>0</v>
      </c>
    </row>
    <row r="96" spans="2:18" x14ac:dyDescent="0.45">
      <c r="B96" s="11" t="s">
        <v>1765</v>
      </c>
      <c r="C96" s="77">
        <f>Substructure!J55</f>
        <v>41.237692232218137</v>
      </c>
      <c r="D96" s="78">
        <v>41.237692232218137</v>
      </c>
      <c r="E96" s="79">
        <f t="shared" si="4"/>
        <v>0</v>
      </c>
      <c r="F96" s="79">
        <v>1.0000000000000001E-9</v>
      </c>
      <c r="G96" s="42" t="str">
        <f t="shared" si="5"/>
        <v>PASS</v>
      </c>
      <c r="O96" s="8" t="s">
        <v>1766</v>
      </c>
      <c r="P96">
        <v>18</v>
      </c>
      <c r="Q96">
        <f>IF(ISBLANK(Inputs!D125),"",Inputs!D125)</f>
        <v>18</v>
      </c>
      <c r="R96">
        <f>IF(ISNUMBER(Inputs!D125),IF(ABS(Inputs!D125-P96)&lt;=0.000000000001*MAX(1,ABS(P96)),0,1),1)</f>
        <v>0</v>
      </c>
    </row>
    <row r="97" spans="2:18" x14ac:dyDescent="0.45">
      <c r="B97" s="11" t="s">
        <v>1767</v>
      </c>
      <c r="C97" s="77">
        <f>Substructure!D56</f>
        <v>-2.25</v>
      </c>
      <c r="D97" s="78">
        <v>-2.25</v>
      </c>
      <c r="E97" s="79">
        <f t="shared" si="4"/>
        <v>0</v>
      </c>
      <c r="F97" s="79">
        <v>1.0000000000000001E-9</v>
      </c>
      <c r="G97" s="42" t="str">
        <f t="shared" si="5"/>
        <v>PASS</v>
      </c>
      <c r="O97" s="8" t="s">
        <v>1768</v>
      </c>
      <c r="P97">
        <v>54</v>
      </c>
      <c r="Q97">
        <f>IF(ISBLANK(Inputs!D126),"",Inputs!D126)</f>
        <v>54</v>
      </c>
      <c r="R97">
        <f>IF(ISNUMBER(Inputs!D126),IF(ABS(Inputs!D126-P97)&lt;=0.000000000001*MAX(1,ABS(P97)),0,1),1)</f>
        <v>0</v>
      </c>
    </row>
    <row r="98" spans="2:18" x14ac:dyDescent="0.45">
      <c r="B98" s="11" t="s">
        <v>1769</v>
      </c>
      <c r="C98" s="77">
        <f>Substructure!J56</f>
        <v>41.237692232218137</v>
      </c>
      <c r="D98" s="78">
        <v>41.237692232218137</v>
      </c>
      <c r="E98" s="79">
        <f t="shared" si="4"/>
        <v>0</v>
      </c>
      <c r="F98" s="79">
        <v>1.0000000000000001E-9</v>
      </c>
      <c r="G98" s="42" t="str">
        <f t="shared" si="5"/>
        <v>PASS</v>
      </c>
      <c r="O98" s="8" t="s">
        <v>1770</v>
      </c>
      <c r="P98">
        <v>27.5</v>
      </c>
      <c r="Q98">
        <f>IF(ISBLANK(Inputs!D127),"",Inputs!D127)</f>
        <v>27.5</v>
      </c>
      <c r="R98">
        <f>IF(ISNUMBER(Inputs!D127),IF(ABS(Inputs!D127-P98)&lt;=0.000000000001*MAX(1,ABS(P98)),0,1),1)</f>
        <v>0</v>
      </c>
    </row>
    <row r="99" spans="2:18" x14ac:dyDescent="0.45">
      <c r="B99" s="11" t="s">
        <v>1771</v>
      </c>
      <c r="C99" s="77">
        <f>Substructure!D57</f>
        <v>2.25</v>
      </c>
      <c r="D99" s="78">
        <v>2.25</v>
      </c>
      <c r="E99" s="79">
        <f t="shared" si="4"/>
        <v>0</v>
      </c>
      <c r="F99" s="79">
        <v>1.0000000000000001E-9</v>
      </c>
      <c r="G99" s="42" t="str">
        <f t="shared" si="5"/>
        <v>PASS</v>
      </c>
      <c r="O99" s="8" t="s">
        <v>1772</v>
      </c>
      <c r="P99">
        <v>12</v>
      </c>
      <c r="Q99">
        <f>IF(ISBLANK(Inputs!D128),"",Inputs!D128)</f>
        <v>12</v>
      </c>
      <c r="R99">
        <f>IF(ISNUMBER(Inputs!D128),IF(ABS(Inputs!D128-P99)&lt;=0.000000000001*MAX(1,ABS(P99)),0,1),1)</f>
        <v>0</v>
      </c>
    </row>
    <row r="100" spans="2:18" x14ac:dyDescent="0.45">
      <c r="B100" s="11" t="s">
        <v>1773</v>
      </c>
      <c r="C100" s="77">
        <f>Substructure!J57</f>
        <v>41.237692232218137</v>
      </c>
      <c r="D100" s="78">
        <v>41.237692232218137</v>
      </c>
      <c r="E100" s="79">
        <f t="shared" si="4"/>
        <v>0</v>
      </c>
      <c r="F100" s="79">
        <v>1.0000000000000001E-9</v>
      </c>
      <c r="G100" s="42" t="str">
        <f t="shared" si="5"/>
        <v>PASS</v>
      </c>
      <c r="O100" s="8" t="s">
        <v>1774</v>
      </c>
      <c r="P100">
        <v>2.5625</v>
      </c>
      <c r="Q100">
        <f>IF(ISBLANK(Inputs!D129),"",Inputs!D129)</f>
        <v>2.5625</v>
      </c>
      <c r="R100">
        <f>IF(ISNUMBER(Inputs!D129),IF(ABS(Inputs!D129-P100)&lt;=0.000000000001*MAX(1,ABS(P100)),0,1),1)</f>
        <v>0</v>
      </c>
    </row>
    <row r="101" spans="2:18" x14ac:dyDescent="0.45">
      <c r="B101" s="11" t="s">
        <v>1775</v>
      </c>
      <c r="C101" s="77">
        <f>Substructure!D58</f>
        <v>6.75</v>
      </c>
      <c r="D101" s="78">
        <v>6.75</v>
      </c>
      <c r="E101" s="79">
        <f t="shared" si="4"/>
        <v>0</v>
      </c>
      <c r="F101" s="79">
        <v>1.0000000000000001E-9</v>
      </c>
      <c r="G101" s="42" t="str">
        <f t="shared" si="5"/>
        <v>PASS</v>
      </c>
      <c r="O101" s="8" t="s">
        <v>1776</v>
      </c>
      <c r="P101">
        <v>10</v>
      </c>
      <c r="Q101">
        <f>IF(ISBLANK(Inputs!D130),"",Inputs!D130)</f>
        <v>10</v>
      </c>
      <c r="R101">
        <f>IF(ISNUMBER(Inputs!D130),IF(ABS(Inputs!D130-P101)&lt;=0.000000000001*MAX(1,ABS(P101)),0,1),1)</f>
        <v>0</v>
      </c>
    </row>
    <row r="102" spans="2:18" x14ac:dyDescent="0.45">
      <c r="B102" s="11" t="s">
        <v>1777</v>
      </c>
      <c r="C102" s="77">
        <f>Substructure!J58</f>
        <v>41.237692232218137</v>
      </c>
      <c r="D102" s="78">
        <v>41.237692232218137</v>
      </c>
      <c r="E102" s="79">
        <f t="shared" si="4"/>
        <v>0</v>
      </c>
      <c r="F102" s="79">
        <v>1.0000000000000001E-9</v>
      </c>
      <c r="G102" s="42" t="str">
        <f t="shared" si="5"/>
        <v>PASS</v>
      </c>
      <c r="O102" s="8" t="s">
        <v>1778</v>
      </c>
      <c r="P102">
        <v>32</v>
      </c>
      <c r="Q102">
        <f>IF(ISBLANK(Inputs!D131),"",Inputs!D131)</f>
        <v>32</v>
      </c>
      <c r="R102">
        <f>IF(ISNUMBER(Inputs!D131),IF(ABS(Inputs!D131-P102)&lt;=0.000000000001*MAX(1,ABS(P102)),0,1),1)</f>
        <v>0</v>
      </c>
    </row>
    <row r="103" spans="2:18" x14ac:dyDescent="0.45">
      <c r="B103" s="11" t="s">
        <v>1779</v>
      </c>
      <c r="C103" s="77">
        <f>'Bearing Seats'!I19</f>
        <v>43.73229964536867</v>
      </c>
      <c r="D103" s="78">
        <v>43.73229964536867</v>
      </c>
      <c r="E103" s="79">
        <f t="shared" si="4"/>
        <v>0</v>
      </c>
      <c r="F103" s="79">
        <v>1.0000000000000001E-9</v>
      </c>
      <c r="G103" s="42" t="str">
        <f t="shared" si="5"/>
        <v>PASS</v>
      </c>
      <c r="O103" s="8" t="s">
        <v>1780</v>
      </c>
      <c r="P103">
        <v>6</v>
      </c>
      <c r="Q103">
        <f>IF(ISBLANK(Inputs!D132),"",Inputs!D132)</f>
        <v>6</v>
      </c>
      <c r="R103">
        <f>IF(ISNUMBER(Inputs!D132),IF(ABS(Inputs!D132-P103)&lt;=0.000000000001*MAX(1,ABS(P103)),0,1),1)</f>
        <v>0</v>
      </c>
    </row>
    <row r="104" spans="2:18" x14ac:dyDescent="0.45">
      <c r="B104" s="11" t="s">
        <v>1781</v>
      </c>
      <c r="C104" s="77">
        <f>'Bearing Seats'!J19</f>
        <v>43.745781112492338</v>
      </c>
      <c r="D104" s="78">
        <v>43.745781112492338</v>
      </c>
      <c r="E104" s="79">
        <f t="shared" ref="E104:E135" si="6">C104-D104</f>
        <v>0</v>
      </c>
      <c r="F104" s="79">
        <v>1.0000000000000001E-9</v>
      </c>
      <c r="G104" s="42" t="str">
        <f t="shared" ref="G104:G135" si="7">IF(ABS(E104)&lt;=F104,"PASS","FAIL")</f>
        <v>PASS</v>
      </c>
      <c r="O104" s="8" t="s">
        <v>1782</v>
      </c>
      <c r="Q104" t="str">
        <f>IF(ISBLANK(Inputs!D133),"",Inputs!D133)</f>
        <v/>
      </c>
      <c r="R104">
        <f>IF(ISBLANK(Inputs!D133),0,1)</f>
        <v>0</v>
      </c>
    </row>
    <row r="105" spans="2:18" x14ac:dyDescent="0.45">
      <c r="B105" s="11" t="s">
        <v>1783</v>
      </c>
      <c r="C105" s="77">
        <f>'Bearing Seats'!I20</f>
        <v>43.73229964536867</v>
      </c>
      <c r="D105" s="78">
        <v>43.73229964536867</v>
      </c>
      <c r="E105" s="79">
        <f t="shared" si="6"/>
        <v>0</v>
      </c>
      <c r="F105" s="79">
        <v>1.0000000000000001E-9</v>
      </c>
      <c r="G105" s="42" t="str">
        <f t="shared" si="7"/>
        <v>PASS</v>
      </c>
      <c r="O105" s="8" t="s">
        <v>1784</v>
      </c>
      <c r="P105">
        <v>0</v>
      </c>
      <c r="Q105">
        <f>IF(ISBLANK(Inputs!D134),"",Inputs!D134)</f>
        <v>0</v>
      </c>
      <c r="R105">
        <f>IF(ISNUMBER(Inputs!D134),IF(ABS(Inputs!D134-P105)&lt;=0.000000000001*MAX(1,ABS(P105)),0,1),1)</f>
        <v>0</v>
      </c>
    </row>
    <row r="106" spans="2:18" x14ac:dyDescent="0.45">
      <c r="B106" s="11" t="s">
        <v>1785</v>
      </c>
      <c r="C106" s="77">
        <f>'Bearing Seats'!J20</f>
        <v>43.745781112492338</v>
      </c>
      <c r="D106" s="78">
        <v>43.745781112492338</v>
      </c>
      <c r="E106" s="79">
        <f t="shared" si="6"/>
        <v>0</v>
      </c>
      <c r="F106" s="79">
        <v>1.0000000000000001E-9</v>
      </c>
      <c r="G106" s="42" t="str">
        <f t="shared" si="7"/>
        <v>PASS</v>
      </c>
      <c r="O106" s="8" t="s">
        <v>1786</v>
      </c>
      <c r="P106">
        <v>0</v>
      </c>
      <c r="Q106">
        <f>IF(ISBLANK(Inputs!D135),"",Inputs!D135)</f>
        <v>0</v>
      </c>
      <c r="R106">
        <f>IF(ISNUMBER(Inputs!D135),IF(ABS(Inputs!D135-P106)&lt;=0.000000000001*MAX(1,ABS(P106)),0,1),1)</f>
        <v>0</v>
      </c>
    </row>
    <row r="107" spans="2:18" x14ac:dyDescent="0.45">
      <c r="B107" s="11" t="s">
        <v>1787</v>
      </c>
      <c r="C107" s="77">
        <f>EB2_Top</f>
        <v>43.249692144029659</v>
      </c>
      <c r="D107" s="78">
        <v>43.249692144029659</v>
      </c>
      <c r="E107" s="79">
        <f t="shared" si="6"/>
        <v>0</v>
      </c>
      <c r="F107" s="79">
        <v>1.0000000000000001E-9</v>
      </c>
      <c r="G107" s="42" t="str">
        <f t="shared" si="7"/>
        <v>PASS</v>
      </c>
      <c r="O107" s="8" t="s">
        <v>1788</v>
      </c>
      <c r="P107">
        <v>42</v>
      </c>
      <c r="Q107">
        <f>IF(ISBLANK(Inputs!D136),"",Inputs!D136)</f>
        <v>42</v>
      </c>
      <c r="R107">
        <f>IF(ISNUMBER(Inputs!D136),IF(ABS(Inputs!D136-P107)&lt;=0.000000000001*MAX(1,ABS(P107)),0,1),1)</f>
        <v>0</v>
      </c>
    </row>
    <row r="108" spans="2:18" x14ac:dyDescent="0.45">
      <c r="B108" s="11" t="s">
        <v>1789</v>
      </c>
      <c r="C108" s="77">
        <f>EB2_CapSta</f>
        <v>1804.72</v>
      </c>
      <c r="D108" s="78">
        <v>1804.72</v>
      </c>
      <c r="E108" s="79">
        <f t="shared" si="6"/>
        <v>0</v>
      </c>
      <c r="F108" s="79">
        <v>1.0000000000000001E-9</v>
      </c>
      <c r="G108" s="42" t="str">
        <f t="shared" si="7"/>
        <v>PASS</v>
      </c>
      <c r="O108" s="8" t="s">
        <v>1790</v>
      </c>
      <c r="P108">
        <v>30</v>
      </c>
      <c r="Q108">
        <f>IF(ISBLANK(Inputs!D137),"",Inputs!D137)</f>
        <v>30</v>
      </c>
      <c r="R108">
        <f>IF(ISNUMBER(Inputs!D137),IF(ABS(Inputs!D137-P108)&lt;=0.000000000001*MAX(1,ABS(P108)),0,1),1)</f>
        <v>0</v>
      </c>
    </row>
    <row r="109" spans="2:18" x14ac:dyDescent="0.45">
      <c r="B109" s="11" t="s">
        <v>1791</v>
      </c>
      <c r="C109" s="77">
        <f>EB2_Len</f>
        <v>19.583333333333332</v>
      </c>
      <c r="D109" s="78">
        <v>19.583333333333329</v>
      </c>
      <c r="E109" s="79">
        <f t="shared" si="6"/>
        <v>0</v>
      </c>
      <c r="F109" s="79">
        <v>1.0000000000000001E-9</v>
      </c>
      <c r="G109" s="42" t="str">
        <f t="shared" si="7"/>
        <v>PASS</v>
      </c>
      <c r="O109" s="8" t="s">
        <v>1792</v>
      </c>
      <c r="P109">
        <v>0.75</v>
      </c>
      <c r="Q109">
        <f>IF(ISBLANK(Inputs!D138),"",Inputs!D138)</f>
        <v>0.75</v>
      </c>
      <c r="R109">
        <f>IF(ISNUMBER(Inputs!D138),IF(ABS(Inputs!D138-P109)&lt;=0.000000000001*MAX(1,ABS(P109)),0,1),1)</f>
        <v>0</v>
      </c>
    </row>
    <row r="110" spans="2:18" x14ac:dyDescent="0.45">
      <c r="B110" s="11" t="s">
        <v>1793</v>
      </c>
      <c r="C110" s="77">
        <f>'Bearing Seats'!V14</f>
        <v>43.749692144029659</v>
      </c>
      <c r="D110" s="78">
        <v>43.749692144029659</v>
      </c>
      <c r="E110" s="79">
        <f t="shared" si="6"/>
        <v>0</v>
      </c>
      <c r="F110" s="79">
        <v>1.0000000000000001E-9</v>
      </c>
      <c r="G110" s="42" t="str">
        <f t="shared" si="7"/>
        <v>PASS</v>
      </c>
      <c r="O110" s="8" t="s">
        <v>1794</v>
      </c>
      <c r="P110">
        <v>12</v>
      </c>
      <c r="Q110">
        <f>IF(ISBLANK(Inputs!D139),"",Inputs!D139)</f>
        <v>12</v>
      </c>
      <c r="R110">
        <f>IF(ISNUMBER(Inputs!D139),IF(ABS(Inputs!D139-P110)&lt;=0.000000000001*MAX(1,ABS(P110)),0,1),1)</f>
        <v>0</v>
      </c>
    </row>
    <row r="111" spans="2:18" x14ac:dyDescent="0.45">
      <c r="B111" s="11" t="s">
        <v>1795</v>
      </c>
      <c r="C111" s="77">
        <f>'Bearing Seats'!T14</f>
        <v>-6.8362525608421263E-3</v>
      </c>
      <c r="D111" s="78">
        <v>-6.8362525608421263E-3</v>
      </c>
      <c r="E111" s="79">
        <f t="shared" si="6"/>
        <v>0</v>
      </c>
      <c r="F111" s="79">
        <v>1.0000000000000001E-9</v>
      </c>
      <c r="G111" s="42" t="str">
        <f t="shared" si="7"/>
        <v>PASS</v>
      </c>
      <c r="O111" s="8" t="s">
        <v>1796</v>
      </c>
      <c r="P111">
        <v>0</v>
      </c>
      <c r="Q111">
        <f>IF(ISBLANK(Inputs!D140),"",Inputs!D140)</f>
        <v>0</v>
      </c>
      <c r="R111">
        <f>IF(ISNUMBER(Inputs!D140),IF(ABS(Inputs!D140-P111)&lt;=0.000000000001*MAX(1,ABS(P111)),0,1),1)</f>
        <v>0</v>
      </c>
    </row>
    <row r="112" spans="2:18" x14ac:dyDescent="0.45">
      <c r="B112" s="11" t="s">
        <v>1797</v>
      </c>
      <c r="C112" s="77">
        <f>'Bearing Seats'!S14</f>
        <v>43.963233810696323</v>
      </c>
      <c r="D112" s="78">
        <v>43.963233810696323</v>
      </c>
      <c r="E112" s="79">
        <f t="shared" si="6"/>
        <v>0</v>
      </c>
      <c r="F112" s="79">
        <v>1.0000000000000001E-9</v>
      </c>
      <c r="G112" s="42" t="str">
        <f t="shared" si="7"/>
        <v>PASS</v>
      </c>
      <c r="O112" s="8" t="s">
        <v>1798</v>
      </c>
      <c r="P112">
        <v>3</v>
      </c>
      <c r="Q112">
        <f>IF(ISBLANK(Inputs!D141),"",Inputs!D141)</f>
        <v>3</v>
      </c>
      <c r="R112">
        <f>IF(ISNUMBER(Inputs!D141),IF(ABS(Inputs!D141-P112)&lt;=0.000000000001*MAX(1,ABS(P112)),0,1),1)</f>
        <v>0</v>
      </c>
    </row>
    <row r="113" spans="2:18" x14ac:dyDescent="0.45">
      <c r="B113" s="11" t="s">
        <v>1799</v>
      </c>
      <c r="C113" s="77">
        <f>Substructure!H22</f>
        <v>6</v>
      </c>
      <c r="D113" s="78">
        <v>6</v>
      </c>
      <c r="E113" s="79">
        <f t="shared" si="6"/>
        <v>0</v>
      </c>
      <c r="F113" s="79">
        <v>9.9999999999999995E-7</v>
      </c>
      <c r="G113" s="42" t="str">
        <f t="shared" si="7"/>
        <v>PASS</v>
      </c>
      <c r="O113" s="8" t="s">
        <v>1800</v>
      </c>
      <c r="P113">
        <v>9</v>
      </c>
      <c r="Q113">
        <f>IF(ISBLANK(Inputs!D142),"",Inputs!D142)</f>
        <v>9</v>
      </c>
      <c r="R113">
        <f>IF(ISNUMBER(Inputs!D142),IF(ABS(Inputs!D142-P113)&lt;=0.000000000001*MAX(1,ABS(P113)),0,1),1)</f>
        <v>0</v>
      </c>
    </row>
    <row r="114" spans="2:18" x14ac:dyDescent="0.45">
      <c r="B114" s="11" t="s">
        <v>1801</v>
      </c>
      <c r="C114" s="77">
        <f>'Bearing Seats'!V15</f>
        <v>43.749692144029659</v>
      </c>
      <c r="D114" s="78">
        <v>43.749692144029659</v>
      </c>
      <c r="E114" s="79">
        <f t="shared" si="6"/>
        <v>0</v>
      </c>
      <c r="F114" s="79">
        <v>1.0000000000000001E-9</v>
      </c>
      <c r="G114" s="42" t="str">
        <f t="shared" si="7"/>
        <v>PASS</v>
      </c>
      <c r="O114" s="8" t="s">
        <v>1802</v>
      </c>
      <c r="P114">
        <v>4.25</v>
      </c>
      <c r="Q114">
        <f>IF(ISBLANK(Inputs!D143),"",Inputs!D143)</f>
        <v>4.25</v>
      </c>
      <c r="R114">
        <f>IF(ISNUMBER(Inputs!D143),IF(ABS(Inputs!D143-P114)&lt;=0.000000000001*MAX(1,ABS(P114)),0,1),1)</f>
        <v>0</v>
      </c>
    </row>
    <row r="115" spans="2:18" x14ac:dyDescent="0.45">
      <c r="B115" s="11" t="s">
        <v>1803</v>
      </c>
      <c r="C115" s="77">
        <f>'Bearing Seats'!T15</f>
        <v>-6.8362525608421263E-3</v>
      </c>
      <c r="D115" s="78">
        <v>-6.8362525608421263E-3</v>
      </c>
      <c r="E115" s="79">
        <f t="shared" si="6"/>
        <v>0</v>
      </c>
      <c r="F115" s="79">
        <v>1.0000000000000001E-9</v>
      </c>
      <c r="G115" s="42" t="str">
        <f t="shared" si="7"/>
        <v>PASS</v>
      </c>
      <c r="O115" s="8" t="s">
        <v>1804</v>
      </c>
      <c r="P115">
        <v>8</v>
      </c>
      <c r="Q115">
        <f>IF(ISBLANK(Inputs!D144),"",Inputs!D144)</f>
        <v>8</v>
      </c>
      <c r="R115">
        <f>IF(ISNUMBER(Inputs!D144),IF(ABS(Inputs!D144-P115)&lt;=0.000000000001*MAX(1,ABS(P115)),0,1),1)</f>
        <v>0</v>
      </c>
    </row>
    <row r="116" spans="2:18" x14ac:dyDescent="0.45">
      <c r="B116" s="11" t="s">
        <v>1805</v>
      </c>
      <c r="C116" s="77">
        <f>'Bearing Seats'!S15</f>
        <v>43.963233810696323</v>
      </c>
      <c r="D116" s="78">
        <v>43.963233810696323</v>
      </c>
      <c r="E116" s="79">
        <f t="shared" si="6"/>
        <v>0</v>
      </c>
      <c r="F116" s="79">
        <v>1.0000000000000001E-9</v>
      </c>
      <c r="G116" s="42" t="str">
        <f t="shared" si="7"/>
        <v>PASS</v>
      </c>
      <c r="O116" s="8" t="s">
        <v>1806</v>
      </c>
      <c r="P116">
        <v>6</v>
      </c>
      <c r="Q116">
        <f>IF(ISBLANK(Inputs!D145),"",Inputs!D145)</f>
        <v>6</v>
      </c>
      <c r="R116">
        <f>IF(ISNUMBER(Inputs!D145),IF(ABS(Inputs!D145-P116)&lt;=0.000000000001*MAX(1,ABS(P116)),0,1),1)</f>
        <v>0</v>
      </c>
    </row>
    <row r="117" spans="2:18" x14ac:dyDescent="0.45">
      <c r="B117" s="11" t="s">
        <v>1807</v>
      </c>
      <c r="C117" s="77">
        <f>Substructure!H23</f>
        <v>6</v>
      </c>
      <c r="D117" s="78">
        <v>6</v>
      </c>
      <c r="E117" s="79">
        <f t="shared" si="6"/>
        <v>0</v>
      </c>
      <c r="F117" s="79">
        <v>9.9999999999999995E-7</v>
      </c>
      <c r="G117" s="42" t="str">
        <f t="shared" si="7"/>
        <v>PASS</v>
      </c>
      <c r="O117" s="8" t="s">
        <v>1808</v>
      </c>
      <c r="P117">
        <v>5.5</v>
      </c>
      <c r="Q117">
        <f>IF(ISBLANK(Inputs!D146),"",Inputs!D146)</f>
        <v>5.5</v>
      </c>
      <c r="R117">
        <f>IF(ISNUMBER(Inputs!D146),IF(ABS(Inputs!D146-P117)&lt;=0.000000000001*MAX(1,ABS(P117)),0,1),1)</f>
        <v>0</v>
      </c>
    </row>
    <row r="118" spans="2:18" x14ac:dyDescent="0.45">
      <c r="B118" s="11" t="s">
        <v>1809</v>
      </c>
      <c r="C118" s="77">
        <f>Substructure!D59</f>
        <v>-6.75</v>
      </c>
      <c r="D118" s="78">
        <v>-6.75</v>
      </c>
      <c r="E118" s="79">
        <f t="shared" si="6"/>
        <v>0</v>
      </c>
      <c r="F118" s="79">
        <v>1.0000000000000001E-9</v>
      </c>
      <c r="G118" s="42" t="str">
        <f t="shared" si="7"/>
        <v>PASS</v>
      </c>
      <c r="O118" s="8" t="s">
        <v>1810</v>
      </c>
      <c r="P118">
        <v>0.5</v>
      </c>
      <c r="Q118">
        <f>IF(ISBLANK(Inputs!D147),"",Inputs!D147)</f>
        <v>0.5</v>
      </c>
      <c r="R118">
        <f>IF(ISNUMBER(Inputs!D147),IF(ABS(Inputs!D147-P118)&lt;=0.000000000001*MAX(1,ABS(P118)),0,1),1)</f>
        <v>0</v>
      </c>
    </row>
    <row r="119" spans="2:18" x14ac:dyDescent="0.45">
      <c r="B119" s="11" t="s">
        <v>1811</v>
      </c>
      <c r="C119" s="77">
        <f>Substructure!J59</f>
        <v>41.249692144029659</v>
      </c>
      <c r="D119" s="78">
        <v>41.249692144029659</v>
      </c>
      <c r="E119" s="79">
        <f t="shared" si="6"/>
        <v>0</v>
      </c>
      <c r="F119" s="79">
        <v>1.0000000000000001E-9</v>
      </c>
      <c r="G119" s="42" t="str">
        <f t="shared" si="7"/>
        <v>PASS</v>
      </c>
      <c r="O119" s="8" t="s">
        <v>1812</v>
      </c>
      <c r="P119">
        <v>48.277042695716602</v>
      </c>
      <c r="Q119">
        <f>IF(ISBLANK(Inputs!D148),"",Inputs!D148)</f>
        <v>48.277042695716602</v>
      </c>
      <c r="R119">
        <f>IF(ISNUMBER(Inputs!D148),IF(ABS(Inputs!D148-P119)&lt;=0.000000000001*MAX(1,ABS(P119)),0,1),1)</f>
        <v>0</v>
      </c>
    </row>
    <row r="120" spans="2:18" x14ac:dyDescent="0.45">
      <c r="B120" s="11" t="s">
        <v>1813</v>
      </c>
      <c r="C120" s="77">
        <f>Substructure!D60</f>
        <v>-2.25</v>
      </c>
      <c r="D120" s="78">
        <v>-2.25</v>
      </c>
      <c r="E120" s="79">
        <f t="shared" si="6"/>
        <v>0</v>
      </c>
      <c r="F120" s="79">
        <v>1.0000000000000001E-9</v>
      </c>
      <c r="G120" s="42" t="str">
        <f t="shared" si="7"/>
        <v>PASS</v>
      </c>
      <c r="O120" s="8" t="s">
        <v>1814</v>
      </c>
      <c r="P120">
        <v>48.259802877755398</v>
      </c>
      <c r="Q120">
        <f>IF(ISBLANK(Inputs!D149),"",Inputs!D149)</f>
        <v>48.259802877755398</v>
      </c>
      <c r="R120">
        <f>IF(ISNUMBER(Inputs!D149),IF(ABS(Inputs!D149-P120)&lt;=0.000000000001*MAX(1,ABS(P120)),0,1),1)</f>
        <v>0</v>
      </c>
    </row>
    <row r="121" spans="2:18" x14ac:dyDescent="0.45">
      <c r="B121" s="11" t="s">
        <v>1815</v>
      </c>
      <c r="C121" s="77">
        <f>Substructure!J60</f>
        <v>41.249692144029659</v>
      </c>
      <c r="D121" s="78">
        <v>41.249692144029659</v>
      </c>
      <c r="E121" s="79">
        <f t="shared" si="6"/>
        <v>0</v>
      </c>
      <c r="F121" s="79">
        <v>1.0000000000000001E-9</v>
      </c>
      <c r="G121" s="42" t="str">
        <f t="shared" si="7"/>
        <v>PASS</v>
      </c>
      <c r="O121" s="8" t="s">
        <v>1816</v>
      </c>
      <c r="P121">
        <v>17</v>
      </c>
      <c r="Q121">
        <f>IF(ISBLANK(Inputs!D153),"",Inputs!D153)</f>
        <v>17</v>
      </c>
      <c r="R121">
        <f>IF(ISNUMBER(Inputs!D153),IF(ABS(Inputs!D153-P121)&lt;=0.000000000001*MAX(1,ABS(P121)),0,1),1)</f>
        <v>0</v>
      </c>
    </row>
    <row r="122" spans="2:18" x14ac:dyDescent="0.45">
      <c r="B122" s="11" t="s">
        <v>1817</v>
      </c>
      <c r="C122" s="77">
        <f>Substructure!D61</f>
        <v>2.25</v>
      </c>
      <c r="D122" s="78">
        <v>2.25</v>
      </c>
      <c r="E122" s="79">
        <f t="shared" si="6"/>
        <v>0</v>
      </c>
      <c r="F122" s="79">
        <v>1.0000000000000001E-9</v>
      </c>
      <c r="G122" s="42" t="str">
        <f t="shared" si="7"/>
        <v>PASS</v>
      </c>
      <c r="O122" s="8" t="s">
        <v>1818</v>
      </c>
      <c r="P122">
        <v>1593.22</v>
      </c>
      <c r="Q122">
        <f>IF(ISBLANK(Inputs!D154),"",Inputs!D154)</f>
        <v>1593.22</v>
      </c>
      <c r="R122">
        <f>IF(ISNUMBER(Inputs!D154),IF(ABS(Inputs!D154-P122)&lt;=0.000000000001*MAX(1,ABS(P122)),0,1),1)</f>
        <v>0</v>
      </c>
    </row>
    <row r="123" spans="2:18" x14ac:dyDescent="0.45">
      <c r="B123" s="11" t="s">
        <v>1819</v>
      </c>
      <c r="C123" s="77">
        <f>Substructure!J61</f>
        <v>41.249692144029659</v>
      </c>
      <c r="D123" s="78">
        <v>41.249692144029659</v>
      </c>
      <c r="E123" s="79">
        <f t="shared" si="6"/>
        <v>0</v>
      </c>
      <c r="F123" s="79">
        <v>1.0000000000000001E-9</v>
      </c>
      <c r="G123" s="42" t="str">
        <f t="shared" si="7"/>
        <v>PASS</v>
      </c>
      <c r="O123" s="8" t="s">
        <v>1820</v>
      </c>
      <c r="P123" t="s">
        <v>463</v>
      </c>
      <c r="Q123" t="str">
        <f>IF(ISBLANK(Inputs!D155),"",Inputs!D155)</f>
        <v>Geometry Report.xml</v>
      </c>
      <c r="R123">
        <f>IF(ISBLANK(Inputs!D155),1,IF(EXACT(Inputs!D155&amp;"",P123&amp;""),0,1))</f>
        <v>0</v>
      </c>
    </row>
    <row r="124" spans="2:18" x14ac:dyDescent="0.45">
      <c r="B124" s="11" t="s">
        <v>1821</v>
      </c>
      <c r="C124" s="77">
        <f>Substructure!D62</f>
        <v>6.75</v>
      </c>
      <c r="D124" s="78">
        <v>6.75</v>
      </c>
      <c r="E124" s="79">
        <f t="shared" si="6"/>
        <v>0</v>
      </c>
      <c r="F124" s="79">
        <v>1.0000000000000001E-9</v>
      </c>
      <c r="G124" s="42" t="str">
        <f t="shared" si="7"/>
        <v>PASS</v>
      </c>
      <c r="O124" s="8" t="s">
        <v>1822</v>
      </c>
      <c r="P124" t="s">
        <v>473</v>
      </c>
      <c r="Q124" t="str">
        <f>IF(ISBLANK(Inputs!D159),"",Inputs!D159)</f>
        <v>PedestrianBridge2Beam_Span1.dat</v>
      </c>
      <c r="R124">
        <f>IF(ISBLANK(Inputs!D159),1,IF(EXACT(Inputs!D159&amp;"",P124&amp;""),0,1))</f>
        <v>0</v>
      </c>
    </row>
    <row r="125" spans="2:18" x14ac:dyDescent="0.45">
      <c r="B125" s="11" t="s">
        <v>1823</v>
      </c>
      <c r="C125" s="77">
        <f>Substructure!J62</f>
        <v>41.249692144029659</v>
      </c>
      <c r="D125" s="78">
        <v>41.249692144029659</v>
      </c>
      <c r="E125" s="79">
        <f t="shared" si="6"/>
        <v>0</v>
      </c>
      <c r="F125" s="79">
        <v>1.0000000000000001E-9</v>
      </c>
      <c r="G125" s="42" t="str">
        <f t="shared" si="7"/>
        <v>PASS</v>
      </c>
      <c r="O125" s="8" t="s">
        <v>1824</v>
      </c>
      <c r="P125" t="s">
        <v>474</v>
      </c>
      <c r="Q125" t="str">
        <f>IF(ISBLANK(Inputs!E159),"",Inputs!E159)</f>
        <v>PedestrianBridge2Beam_Span2.dat</v>
      </c>
      <c r="R125">
        <f>IF(ISBLANK(Inputs!E159),1,IF(EXACT(Inputs!E159&amp;"",P125&amp;""),0,1))</f>
        <v>0</v>
      </c>
    </row>
    <row r="126" spans="2:18" x14ac:dyDescent="0.45">
      <c r="B126" s="11" t="s">
        <v>1825</v>
      </c>
      <c r="C126" s="77">
        <f>'Bearing Seats'!I21</f>
        <v>43.742855891468814</v>
      </c>
      <c r="D126" s="78">
        <v>43.742855891468807</v>
      </c>
      <c r="E126" s="79">
        <f t="shared" si="6"/>
        <v>0</v>
      </c>
      <c r="F126" s="79">
        <v>1.0000000000000001E-9</v>
      </c>
      <c r="G126" s="42" t="str">
        <f t="shared" si="7"/>
        <v>PASS</v>
      </c>
      <c r="O126" s="8" t="s">
        <v>1826</v>
      </c>
      <c r="P126" t="s">
        <v>477</v>
      </c>
      <c r="Q126" t="str">
        <f>IF(ISBLANK(Inputs!D160),"",Inputs!D160)</f>
        <v>FIB36</v>
      </c>
      <c r="R126">
        <f>IF(ISBLANK(Inputs!D160),1,IF(EXACT(Inputs!D160&amp;"",P126&amp;""),0,1))</f>
        <v>0</v>
      </c>
    </row>
    <row r="127" spans="2:18" x14ac:dyDescent="0.45">
      <c r="B127" s="11" t="s">
        <v>1827</v>
      </c>
      <c r="C127" s="77">
        <f>'Bearing Seats'!J21</f>
        <v>43.759946522870919</v>
      </c>
      <c r="D127" s="78">
        <v>43.759946522870919</v>
      </c>
      <c r="E127" s="79">
        <f t="shared" si="6"/>
        <v>0</v>
      </c>
      <c r="F127" s="79">
        <v>1.0000000000000001E-9</v>
      </c>
      <c r="G127" s="42" t="str">
        <f t="shared" si="7"/>
        <v>PASS</v>
      </c>
      <c r="O127" s="8" t="s">
        <v>1828</v>
      </c>
      <c r="P127" t="s">
        <v>477</v>
      </c>
      <c r="Q127" t="str">
        <f>IF(ISBLANK(Inputs!E160),"",Inputs!E160)</f>
        <v>FIB36</v>
      </c>
      <c r="R127">
        <f>IF(ISBLANK(Inputs!E160),1,IF(EXACT(Inputs!E160&amp;"",P127&amp;""),0,1))</f>
        <v>0</v>
      </c>
    </row>
    <row r="128" spans="2:18" x14ac:dyDescent="0.45">
      <c r="B128" s="11" t="s">
        <v>1829</v>
      </c>
      <c r="C128" s="77">
        <f>'Bearing Seats'!I22</f>
        <v>43.742855891468814</v>
      </c>
      <c r="D128" s="78">
        <v>43.742855891468807</v>
      </c>
      <c r="E128" s="79">
        <f t="shared" si="6"/>
        <v>0</v>
      </c>
      <c r="F128" s="79">
        <v>1.0000000000000001E-9</v>
      </c>
      <c r="G128" s="42" t="str">
        <f t="shared" si="7"/>
        <v>PASS</v>
      </c>
      <c r="O128" s="8" t="s">
        <v>1830</v>
      </c>
      <c r="P128">
        <v>106.97499999999999</v>
      </c>
      <c r="Q128">
        <f>IF(ISBLANK(Inputs!D161),"",Inputs!D161)</f>
        <v>106.97499999999999</v>
      </c>
      <c r="R128">
        <f>IF(ISNUMBER(Inputs!D161),IF(ABS(Inputs!D161-P128)&lt;=0.000000000001*MAX(1,ABS(P128)),0,1),1)</f>
        <v>0</v>
      </c>
    </row>
    <row r="129" spans="2:18" x14ac:dyDescent="0.45">
      <c r="B129" s="11" t="s">
        <v>1831</v>
      </c>
      <c r="C129" s="77">
        <f>'Bearing Seats'!J22</f>
        <v>43.759946522870919</v>
      </c>
      <c r="D129" s="78">
        <v>43.759946522870919</v>
      </c>
      <c r="E129" s="79">
        <f t="shared" si="6"/>
        <v>0</v>
      </c>
      <c r="F129" s="79">
        <v>1.0000000000000001E-9</v>
      </c>
      <c r="G129" s="42" t="str">
        <f t="shared" si="7"/>
        <v>PASS</v>
      </c>
      <c r="O129" s="8" t="s">
        <v>1832</v>
      </c>
      <c r="P129">
        <v>104.52500000000001</v>
      </c>
      <c r="Q129">
        <f>IF(ISBLANK(Inputs!E161),"",Inputs!E161)</f>
        <v>104.52500000000001</v>
      </c>
      <c r="R129">
        <f>IF(ISNUMBER(Inputs!E161),IF(ABS(Inputs!E161-P129)&lt;=0.000000000001*MAX(1,ABS(P129)),0,1),1)</f>
        <v>0</v>
      </c>
    </row>
    <row r="130" spans="2:18" x14ac:dyDescent="0.45">
      <c r="B130" s="11" t="s">
        <v>1833</v>
      </c>
      <c r="C130" s="77">
        <f>EB1_OutIn</f>
        <v>251</v>
      </c>
      <c r="D130" s="78">
        <v>251</v>
      </c>
      <c r="E130" s="79">
        <f t="shared" si="6"/>
        <v>0</v>
      </c>
      <c r="F130" s="79">
        <v>1.0000000000000001E-9</v>
      </c>
      <c r="G130" s="42" t="str">
        <f t="shared" si="7"/>
        <v>PASS</v>
      </c>
      <c r="O130" s="8" t="s">
        <v>1834</v>
      </c>
      <c r="P130">
        <v>9</v>
      </c>
      <c r="Q130">
        <f>IF(ISBLANK(Inputs!D162),"",Inputs!D162)</f>
        <v>9</v>
      </c>
      <c r="R130">
        <f>IF(ISNUMBER(Inputs!D162),IF(ABS(Inputs!D162-P130)&lt;=0.000000000001*MAX(1,ABS(P130)),0,1),1)</f>
        <v>0</v>
      </c>
    </row>
    <row r="131" spans="2:18" x14ac:dyDescent="0.45">
      <c r="B131" s="11" t="s">
        <v>1835</v>
      </c>
      <c r="C131" s="77">
        <f>EB1_LugFace</f>
        <v>1591.72</v>
      </c>
      <c r="D131" s="78">
        <v>1591.72</v>
      </c>
      <c r="E131" s="79">
        <f t="shared" si="6"/>
        <v>0</v>
      </c>
      <c r="F131" s="79">
        <v>1.0000000000000001E-9</v>
      </c>
      <c r="G131" s="42" t="str">
        <f t="shared" si="7"/>
        <v>PASS</v>
      </c>
      <c r="O131" s="8" t="s">
        <v>1836</v>
      </c>
      <c r="P131">
        <v>9</v>
      </c>
      <c r="Q131">
        <f>IF(ISBLANK(Inputs!E162),"",Inputs!E162)</f>
        <v>9</v>
      </c>
      <c r="R131">
        <f>IF(ISNUMBER(Inputs!E162),IF(ABS(Inputs!E162-P131)&lt;=0.000000000001*MAX(1,ABS(P131)),0,1),1)</f>
        <v>0</v>
      </c>
    </row>
    <row r="132" spans="2:18" x14ac:dyDescent="0.45">
      <c r="B132" s="11" t="s">
        <v>1837</v>
      </c>
      <c r="C132" s="77">
        <f>EB1_BwTopL</f>
        <v>47.111000000000004</v>
      </c>
      <c r="D132" s="78">
        <v>47.111000000000004</v>
      </c>
      <c r="E132" s="79">
        <f t="shared" si="6"/>
        <v>0</v>
      </c>
      <c r="F132" s="79">
        <v>1.0000000000000001E-9</v>
      </c>
      <c r="G132" s="42" t="str">
        <f t="shared" si="7"/>
        <v>PASS</v>
      </c>
      <c r="O132" s="8" t="s">
        <v>1838</v>
      </c>
      <c r="P132">
        <v>10</v>
      </c>
      <c r="Q132">
        <f>IF(ISBLANK(Inputs!D163),"",Inputs!D163)</f>
        <v>10</v>
      </c>
      <c r="R132">
        <f>IF(ISNUMBER(Inputs!D163),IF(ABS(Inputs!D163-P132)&lt;=0.000000000001*MAX(1,ABS(P132)),0,1),1)</f>
        <v>0</v>
      </c>
    </row>
    <row r="133" spans="2:18" x14ac:dyDescent="0.45">
      <c r="B133" s="11" t="s">
        <v>1839</v>
      </c>
      <c r="C133" s="77">
        <f>EB1_BwTop0</f>
        <v>47.306833333333337</v>
      </c>
      <c r="D133" s="78">
        <v>47.306833333333337</v>
      </c>
      <c r="E133" s="79">
        <f t="shared" si="6"/>
        <v>0</v>
      </c>
      <c r="F133" s="79">
        <v>1.0000000000000001E-9</v>
      </c>
      <c r="G133" s="42" t="str">
        <f t="shared" si="7"/>
        <v>PASS</v>
      </c>
      <c r="O133" s="8" t="s">
        <v>1840</v>
      </c>
      <c r="P133">
        <v>10</v>
      </c>
      <c r="Q133">
        <f>IF(ISBLANK(Inputs!E163),"",Inputs!E163)</f>
        <v>10</v>
      </c>
      <c r="R133">
        <f>IF(ISNUMBER(Inputs!E163),IF(ABS(Inputs!E163-P133)&lt;=0.000000000001*MAX(1,ABS(P133)),0,1),1)</f>
        <v>0</v>
      </c>
    </row>
    <row r="134" spans="2:18" x14ac:dyDescent="0.45">
      <c r="B134" s="11" t="s">
        <v>1841</v>
      </c>
      <c r="C134" s="77">
        <f>EB1_BwTopR</f>
        <v>47.111000000000004</v>
      </c>
      <c r="D134" s="78">
        <v>47.111000000000004</v>
      </c>
      <c r="E134" s="79">
        <f t="shared" si="6"/>
        <v>0</v>
      </c>
      <c r="F134" s="79">
        <v>1.0000000000000001E-9</v>
      </c>
      <c r="G134" s="42" t="str">
        <f t="shared" si="7"/>
        <v>PASS</v>
      </c>
      <c r="O134" s="8" t="s">
        <v>1842</v>
      </c>
      <c r="P134">
        <v>8.5830000000000002</v>
      </c>
      <c r="Q134">
        <f>IF(ISBLANK(Inputs!D164),"",Inputs!D164)</f>
        <v>8.5830000000000002</v>
      </c>
      <c r="R134">
        <f>IF(ISNUMBER(Inputs!D164),IF(ABS(Inputs!D164-P134)&lt;=0.000000000001*MAX(1,ABS(P134)),0,1),1)</f>
        <v>0</v>
      </c>
    </row>
    <row r="135" spans="2:18" x14ac:dyDescent="0.45">
      <c r="B135" s="11" t="s">
        <v>1843</v>
      </c>
      <c r="C135" s="77">
        <f>EB1_BwH0</f>
        <v>4.0691411011151999</v>
      </c>
      <c r="D135" s="78">
        <v>4.0691411011151999</v>
      </c>
      <c r="E135" s="79">
        <f t="shared" si="6"/>
        <v>0</v>
      </c>
      <c r="F135" s="79">
        <v>1.0000000000000001E-9</v>
      </c>
      <c r="G135" s="42" t="str">
        <f t="shared" si="7"/>
        <v>PASS</v>
      </c>
      <c r="O135" s="8" t="s">
        <v>1844</v>
      </c>
      <c r="P135">
        <v>8.5830000000000002</v>
      </c>
      <c r="Q135">
        <f>IF(ISBLANK(Inputs!E164),"",Inputs!E164)</f>
        <v>8.5830000000000002</v>
      </c>
      <c r="R135">
        <f>IF(ISNUMBER(Inputs!E164),IF(ABS(Inputs!E164-P135)&lt;=0.000000000001*MAX(1,ABS(P135)),0,1),1)</f>
        <v>0</v>
      </c>
    </row>
    <row r="136" spans="2:18" x14ac:dyDescent="0.45">
      <c r="B136" s="11" t="s">
        <v>1845</v>
      </c>
      <c r="C136" s="77">
        <f>EB1_BwVol</f>
        <v>77.769811841283769</v>
      </c>
      <c r="D136" s="78">
        <v>77.769811841283769</v>
      </c>
      <c r="E136" s="79">
        <f t="shared" ref="E136:E167" si="8">C136-D136</f>
        <v>0</v>
      </c>
      <c r="F136" s="79">
        <v>1.0000000000000001E-9</v>
      </c>
      <c r="G136" s="42" t="str">
        <f t="shared" ref="G136:G167" si="9">IF(ABS(E136)&lt;=F136,"PASS","FAIL")</f>
        <v>PASS</v>
      </c>
      <c r="O136" s="8" t="s">
        <v>1846</v>
      </c>
      <c r="P136">
        <v>5.9999999999999991</v>
      </c>
      <c r="Q136">
        <f>IF(ISBLANK(Inputs!D165),"",Inputs!D165)</f>
        <v>5.9999999999999991</v>
      </c>
      <c r="R136">
        <f>IF(ISNUMBER(Inputs!D165),IF(ABS(Inputs!D165-P136)&lt;=0.000000000001*MAX(1,ABS(P136)),0,1),1)</f>
        <v>0</v>
      </c>
    </row>
    <row r="137" spans="2:18" x14ac:dyDescent="0.45">
      <c r="B137" s="11" t="s">
        <v>1847</v>
      </c>
      <c r="C137" s="77">
        <f>EB1_CkTopLv</f>
        <v>48.269044756099099</v>
      </c>
      <c r="D137" s="78">
        <v>48.269044756099099</v>
      </c>
      <c r="E137" s="79">
        <f t="shared" si="8"/>
        <v>0</v>
      </c>
      <c r="F137" s="79">
        <v>9.9999999999999998E-13</v>
      </c>
      <c r="G137" s="42" t="str">
        <f t="shared" si="9"/>
        <v>PASS</v>
      </c>
      <c r="O137" s="8" t="s">
        <v>1848</v>
      </c>
      <c r="P137">
        <v>5.9999999999999991</v>
      </c>
      <c r="Q137">
        <f>IF(ISBLANK(Inputs!E165),"",Inputs!E165)</f>
        <v>5.9999999999999991</v>
      </c>
      <c r="R137">
        <f>IF(ISNUMBER(Inputs!E165),IF(ABS(Inputs!E165-P137)&lt;=0.000000000001*MAX(1,ABS(P137)),0,1),1)</f>
        <v>0</v>
      </c>
    </row>
    <row r="138" spans="2:18" x14ac:dyDescent="0.45">
      <c r="B138" s="11" t="s">
        <v>1849</v>
      </c>
      <c r="C138" s="77">
        <f>EB1_CkVolL</f>
        <v>21.497007509111633</v>
      </c>
      <c r="D138" s="78">
        <v>21.497007509111629</v>
      </c>
      <c r="E138" s="79">
        <f t="shared" si="8"/>
        <v>0</v>
      </c>
      <c r="F138" s="79">
        <v>1.0000000000000001E-9</v>
      </c>
      <c r="G138" s="42" t="str">
        <f t="shared" si="9"/>
        <v>PASS</v>
      </c>
      <c r="O138" s="8" t="s">
        <v>1850</v>
      </c>
      <c r="P138">
        <v>1</v>
      </c>
      <c r="Q138">
        <f>IF(ISBLANK(Inputs!D166),"",Inputs!D166)</f>
        <v>1</v>
      </c>
      <c r="R138">
        <f>IF(ISNUMBER(Inputs!D166),IF(ABS(Inputs!D166-P138)&lt;=0.000000000001*MAX(1,ABS(P138)),0,1),1)</f>
        <v>0</v>
      </c>
    </row>
    <row r="139" spans="2:18" x14ac:dyDescent="0.45">
      <c r="B139" s="11" t="s">
        <v>1851</v>
      </c>
      <c r="C139" s="77">
        <f>EB1_LugBotL</f>
        <v>39.737692232218137</v>
      </c>
      <c r="D139" s="78">
        <v>39.737692232218137</v>
      </c>
      <c r="E139" s="79">
        <f t="shared" si="8"/>
        <v>0</v>
      </c>
      <c r="F139" s="79">
        <v>1.0000000000000001E-9</v>
      </c>
      <c r="G139" s="42" t="str">
        <f t="shared" si="9"/>
        <v>PASS</v>
      </c>
      <c r="O139" s="8" t="s">
        <v>1852</v>
      </c>
      <c r="P139">
        <v>1</v>
      </c>
      <c r="Q139">
        <f>IF(ISBLANK(Inputs!E166),"",Inputs!E166)</f>
        <v>1</v>
      </c>
      <c r="R139">
        <f>IF(ISNUMBER(Inputs!E166),IF(ABS(Inputs!E166-P139)&lt;=0.000000000001*MAX(1,ABS(P139)),0,1),1)</f>
        <v>0</v>
      </c>
    </row>
    <row r="140" spans="2:18" x14ac:dyDescent="0.45">
      <c r="B140" s="11" t="s">
        <v>1853</v>
      </c>
      <c r="C140" s="77">
        <f>EB1_CkBotL</f>
        <v>40.237692232218137</v>
      </c>
      <c r="D140" s="78">
        <v>40.237692232218137</v>
      </c>
      <c r="E140" s="79">
        <f t="shared" si="8"/>
        <v>0</v>
      </c>
      <c r="F140" s="79">
        <v>1.0000000000000001E-9</v>
      </c>
      <c r="G140" s="42" t="str">
        <f t="shared" si="9"/>
        <v>PASS</v>
      </c>
      <c r="O140" s="8" t="s">
        <v>1854</v>
      </c>
      <c r="P140">
        <v>0</v>
      </c>
      <c r="Q140">
        <f>IF(ISBLANK(Inputs!D167),"",Inputs!D167)</f>
        <v>0</v>
      </c>
      <c r="R140">
        <f>IF(ISNUMBER(Inputs!D167),IF(ABS(Inputs!D167-P140)&lt;=0.000000000001*MAX(1,ABS(P140)),0,1),1)</f>
        <v>0</v>
      </c>
    </row>
    <row r="141" spans="2:18" x14ac:dyDescent="0.45">
      <c r="B141" s="11" t="s">
        <v>1855</v>
      </c>
      <c r="C141" s="77">
        <f>EB1_CkTopRv</f>
        <v>48.264512455291452</v>
      </c>
      <c r="D141" s="78">
        <v>48.264512455291452</v>
      </c>
      <c r="E141" s="79">
        <f t="shared" si="8"/>
        <v>0</v>
      </c>
      <c r="F141" s="79">
        <v>9.9999999999999998E-13</v>
      </c>
      <c r="G141" s="42" t="str">
        <f t="shared" si="9"/>
        <v>PASS</v>
      </c>
      <c r="O141" s="8" t="s">
        <v>1856</v>
      </c>
      <c r="P141">
        <v>0</v>
      </c>
      <c r="Q141">
        <f>IF(ISBLANK(Inputs!E167),"",Inputs!E167)</f>
        <v>0</v>
      </c>
      <c r="R141">
        <f>IF(ISNUMBER(Inputs!E167),IF(ABS(Inputs!E167-P141)&lt;=0.000000000001*MAX(1,ABS(P141)),0,1),1)</f>
        <v>0</v>
      </c>
    </row>
    <row r="142" spans="2:18" x14ac:dyDescent="0.45">
      <c r="B142" s="11" t="s">
        <v>1857</v>
      </c>
      <c r="C142" s="77">
        <f>EB1_CkVolR</f>
        <v>21.485393488292036</v>
      </c>
      <c r="D142" s="78">
        <v>21.485393488292029</v>
      </c>
      <c r="E142" s="79">
        <f t="shared" si="8"/>
        <v>0</v>
      </c>
      <c r="F142" s="79">
        <v>1.0000000000000001E-9</v>
      </c>
      <c r="G142" s="42" t="str">
        <f t="shared" si="9"/>
        <v>PASS</v>
      </c>
      <c r="O142" s="8" t="s">
        <v>1858</v>
      </c>
      <c r="P142">
        <v>8.5</v>
      </c>
      <c r="Q142">
        <f>IF(ISBLANK(Inputs!D168),"",Inputs!D168)</f>
        <v>8.5</v>
      </c>
      <c r="R142">
        <f>IF(ISNUMBER(Inputs!D168),IF(ABS(Inputs!D168-P142)&lt;=0.000000000001*MAX(1,ABS(P142)),0,1),1)</f>
        <v>0</v>
      </c>
    </row>
    <row r="143" spans="2:18" x14ac:dyDescent="0.45">
      <c r="B143" s="11" t="s">
        <v>1859</v>
      </c>
      <c r="C143" s="77">
        <f>EB1_LugBotR</f>
        <v>39.737692232218137</v>
      </c>
      <c r="D143" s="78">
        <v>39.737692232218137</v>
      </c>
      <c r="E143" s="79">
        <f t="shared" si="8"/>
        <v>0</v>
      </c>
      <c r="F143" s="79">
        <v>1.0000000000000001E-9</v>
      </c>
      <c r="G143" s="42" t="str">
        <f t="shared" si="9"/>
        <v>PASS</v>
      </c>
      <c r="O143" s="8" t="s">
        <v>1860</v>
      </c>
      <c r="P143">
        <v>8.5</v>
      </c>
      <c r="Q143">
        <f>IF(ISBLANK(Inputs!E168),"",Inputs!E168)</f>
        <v>8.5</v>
      </c>
      <c r="R143">
        <f>IF(ISNUMBER(Inputs!E168),IF(ABS(Inputs!E168-P143)&lt;=0.000000000001*MAX(1,ABS(P143)),0,1),1)</f>
        <v>0</v>
      </c>
    </row>
    <row r="144" spans="2:18" x14ac:dyDescent="0.45">
      <c r="B144" s="11" t="s">
        <v>1861</v>
      </c>
      <c r="C144" s="77">
        <f>EB1_CkBotR</f>
        <v>40.237692232218137</v>
      </c>
      <c r="D144" s="78">
        <v>40.237692232218137</v>
      </c>
      <c r="E144" s="79">
        <f t="shared" si="8"/>
        <v>0</v>
      </c>
      <c r="F144" s="79">
        <v>1.0000000000000001E-9</v>
      </c>
      <c r="G144" s="42" t="str">
        <f t="shared" si="9"/>
        <v>PASS</v>
      </c>
      <c r="O144" s="8" t="s">
        <v>1862</v>
      </c>
      <c r="P144">
        <v>6</v>
      </c>
      <c r="Q144">
        <f>IF(ISBLANK(Inputs!D169),"",Inputs!D169)</f>
        <v>6</v>
      </c>
      <c r="R144">
        <f>IF(ISNUMBER(Inputs!D169),IF(ABS(Inputs!D169-P144)&lt;=0.000000000001*MAX(1,ABS(P144)),0,1),1)</f>
        <v>0</v>
      </c>
    </row>
    <row r="145" spans="2:18" x14ac:dyDescent="0.45">
      <c r="B145" s="11" t="s">
        <v>1863</v>
      </c>
      <c r="C145" s="77">
        <f>EB2_OutIn</f>
        <v>251</v>
      </c>
      <c r="D145" s="78">
        <v>251</v>
      </c>
      <c r="E145" s="79">
        <f t="shared" si="8"/>
        <v>0</v>
      </c>
      <c r="F145" s="79">
        <v>1.0000000000000001E-9</v>
      </c>
      <c r="G145" s="42" t="str">
        <f t="shared" si="9"/>
        <v>PASS</v>
      </c>
      <c r="O145" s="8" t="s">
        <v>1864</v>
      </c>
      <c r="P145">
        <v>6</v>
      </c>
      <c r="Q145">
        <f>IF(ISBLANK(Inputs!E169),"",Inputs!E169)</f>
        <v>6</v>
      </c>
      <c r="R145">
        <f>IF(ISNUMBER(Inputs!E169),IF(ABS(Inputs!E169-P145)&lt;=0.000000000001*MAX(1,ABS(P145)),0,1),1)</f>
        <v>0</v>
      </c>
    </row>
    <row r="146" spans="2:18" x14ac:dyDescent="0.45">
      <c r="B146" s="11" t="s">
        <v>1865</v>
      </c>
      <c r="C146" s="77">
        <f>EB2_LugFace</f>
        <v>1806.97</v>
      </c>
      <c r="D146" s="78">
        <v>1806.97</v>
      </c>
      <c r="E146" s="79">
        <f t="shared" si="8"/>
        <v>0</v>
      </c>
      <c r="F146" s="79">
        <v>1.0000000000000001E-9</v>
      </c>
      <c r="G146" s="42" t="str">
        <f t="shared" si="9"/>
        <v>PASS</v>
      </c>
      <c r="O146" s="8" t="s">
        <v>1866</v>
      </c>
      <c r="P146">
        <v>4557.2952221500991</v>
      </c>
      <c r="Q146">
        <f>IF(ISBLANK(Inputs!D170),"",Inputs!D170)</f>
        <v>4557.2952221500991</v>
      </c>
      <c r="R146">
        <f>IF(ISNUMBER(Inputs!D170),IF(ABS(Inputs!D170-P146)&lt;=0.000000000001*MAX(1,ABS(P146)),0,1),1)</f>
        <v>0</v>
      </c>
    </row>
    <row r="147" spans="2:18" x14ac:dyDescent="0.45">
      <c r="B147" s="11" t="s">
        <v>1867</v>
      </c>
      <c r="C147" s="77">
        <f>EB2_BwTopL</f>
        <v>47.123000000000005</v>
      </c>
      <c r="D147" s="78">
        <v>47.123000000000005</v>
      </c>
      <c r="E147" s="79">
        <f t="shared" si="8"/>
        <v>0</v>
      </c>
      <c r="F147" s="79">
        <v>1.0000000000000001E-9</v>
      </c>
      <c r="G147" s="42" t="str">
        <f t="shared" si="9"/>
        <v>PASS</v>
      </c>
      <c r="O147" s="8" t="s">
        <v>1868</v>
      </c>
      <c r="P147">
        <v>4557.2952221500991</v>
      </c>
      <c r="Q147">
        <f>IF(ISBLANK(Inputs!E170),"",Inputs!E170)</f>
        <v>4557.2952221500991</v>
      </c>
      <c r="R147">
        <f>IF(ISNUMBER(Inputs!E170),IF(ABS(Inputs!E170-P147)&lt;=0.000000000001*MAX(1,ABS(P147)),0,1),1)</f>
        <v>0</v>
      </c>
    </row>
    <row r="148" spans="2:18" x14ac:dyDescent="0.45">
      <c r="B148" s="11" t="s">
        <v>1869</v>
      </c>
      <c r="C148" s="77">
        <f>EB2_BwTop0</f>
        <v>47.318833333333338</v>
      </c>
      <c r="D148" s="78">
        <v>47.318833333333338</v>
      </c>
      <c r="E148" s="79">
        <f t="shared" si="8"/>
        <v>0</v>
      </c>
      <c r="F148" s="79">
        <v>1.0000000000000001E-9</v>
      </c>
      <c r="G148" s="42" t="str">
        <f t="shared" si="9"/>
        <v>PASS</v>
      </c>
      <c r="O148" s="8" t="s">
        <v>1870</v>
      </c>
      <c r="P148">
        <v>5112.4078850511287</v>
      </c>
      <c r="Q148">
        <f>IF(ISBLANK(Inputs!D171),"",Inputs!D171)</f>
        <v>5112.4078850511287</v>
      </c>
      <c r="R148">
        <f>IF(ISNUMBER(Inputs!D171),IF(ABS(Inputs!D171-P148)&lt;=0.000000000001*MAX(1,ABS(P148)),0,1),1)</f>
        <v>0</v>
      </c>
    </row>
    <row r="149" spans="2:18" x14ac:dyDescent="0.45">
      <c r="B149" s="11" t="s">
        <v>1871</v>
      </c>
      <c r="C149" s="77">
        <f>EB2_BwTopR</f>
        <v>47.123000000000005</v>
      </c>
      <c r="D149" s="78">
        <v>47.123000000000005</v>
      </c>
      <c r="E149" s="79">
        <f t="shared" si="8"/>
        <v>0</v>
      </c>
      <c r="F149" s="79">
        <v>1.0000000000000001E-9</v>
      </c>
      <c r="G149" s="42" t="str">
        <f t="shared" si="9"/>
        <v>PASS</v>
      </c>
      <c r="O149" s="8" t="s">
        <v>1872</v>
      </c>
      <c r="P149">
        <v>5112.4078850511287</v>
      </c>
      <c r="Q149">
        <f>IF(ISBLANK(Inputs!E171),"",Inputs!E171)</f>
        <v>5112.4078850511287</v>
      </c>
      <c r="R149">
        <f>IF(ISNUMBER(Inputs!E171),IF(ABS(Inputs!E171-P149)&lt;=0.000000000001*MAX(1,ABS(P149)),0,1),1)</f>
        <v>0</v>
      </c>
    </row>
    <row r="150" spans="2:18" x14ac:dyDescent="0.45">
      <c r="B150" s="11" t="s">
        <v>1873</v>
      </c>
      <c r="C150" s="77">
        <f>EB2_BwH0</f>
        <v>4.0691411893036786</v>
      </c>
      <c r="D150" s="78">
        <v>4.0691411893036786</v>
      </c>
      <c r="E150" s="79">
        <f t="shared" si="8"/>
        <v>0</v>
      </c>
      <c r="F150" s="79">
        <v>1.0000000000000001E-9</v>
      </c>
      <c r="G150" s="42" t="str">
        <f t="shared" si="9"/>
        <v>PASS</v>
      </c>
      <c r="O150" s="8" t="s">
        <v>1874</v>
      </c>
      <c r="P150">
        <v>75</v>
      </c>
      <c r="Q150">
        <f>IF(ISBLANK(Inputs!D172),"",Inputs!D172)</f>
        <v>75</v>
      </c>
      <c r="R150">
        <f>IF(ISNUMBER(Inputs!D172),IF(ABS(Inputs!D172-P150)&lt;=0.000000000001*MAX(1,ABS(P150)),0,1),1)</f>
        <v>0</v>
      </c>
    </row>
    <row r="151" spans="2:18" x14ac:dyDescent="0.45">
      <c r="B151" s="11" t="s">
        <v>1875</v>
      </c>
      <c r="C151" s="77">
        <f>EB2_BwVol</f>
        <v>77.769813568308152</v>
      </c>
      <c r="D151" s="78">
        <v>77.769813568308152</v>
      </c>
      <c r="E151" s="79">
        <f t="shared" si="8"/>
        <v>0</v>
      </c>
      <c r="F151" s="79">
        <v>1.0000000000000001E-9</v>
      </c>
      <c r="G151" s="42" t="str">
        <f t="shared" si="9"/>
        <v>PASS</v>
      </c>
      <c r="O151" s="8" t="s">
        <v>1876</v>
      </c>
      <c r="P151">
        <v>75</v>
      </c>
      <c r="Q151">
        <f>IF(ISBLANK(Inputs!E172),"",Inputs!E172)</f>
        <v>75</v>
      </c>
      <c r="R151">
        <f>IF(ISNUMBER(Inputs!E172),IF(ABS(Inputs!E172-P151)&lt;=0.000000000001*MAX(1,ABS(P151)),0,1),1)</f>
        <v>0</v>
      </c>
    </row>
    <row r="152" spans="2:18" x14ac:dyDescent="0.45">
      <c r="B152" s="11" t="s">
        <v>1877</v>
      </c>
      <c r="C152" s="77">
        <f>EB2_CkTopLv</f>
        <v>48.277042695716602</v>
      </c>
      <c r="D152" s="78">
        <v>48.277042695716602</v>
      </c>
      <c r="E152" s="79">
        <f t="shared" si="8"/>
        <v>0</v>
      </c>
      <c r="F152" s="79">
        <v>9.9999999999999998E-13</v>
      </c>
      <c r="G152" s="42" t="str">
        <f t="shared" si="9"/>
        <v>PASS</v>
      </c>
      <c r="O152" s="8" t="s">
        <v>1878</v>
      </c>
      <c r="P152" t="s">
        <v>516</v>
      </c>
      <c r="Q152" t="str">
        <f>IF(ISBLANK(Inputs!D173),"",Inputs!D173)</f>
        <v>Moderately</v>
      </c>
      <c r="R152">
        <f>IF(ISBLANK(Inputs!D173),1,IF(EXACT(Inputs!D173&amp;"",P152&amp;""),0,1))</f>
        <v>0</v>
      </c>
    </row>
    <row r="153" spans="2:18" x14ac:dyDescent="0.45">
      <c r="B153" s="11" t="s">
        <v>1879</v>
      </c>
      <c r="C153" s="77">
        <f>EB2_CkVolL</f>
        <v>21.48675245536446</v>
      </c>
      <c r="D153" s="78">
        <v>21.486752455364439</v>
      </c>
      <c r="E153" s="79">
        <f t="shared" si="8"/>
        <v>0</v>
      </c>
      <c r="F153" s="79">
        <v>1.0000000000000001E-9</v>
      </c>
      <c r="G153" s="42" t="str">
        <f t="shared" si="9"/>
        <v>PASS</v>
      </c>
      <c r="O153" s="8" t="s">
        <v>1880</v>
      </c>
      <c r="P153" t="s">
        <v>516</v>
      </c>
      <c r="Q153" t="str">
        <f>IF(ISBLANK(Inputs!E173),"",Inputs!E173)</f>
        <v>Moderately</v>
      </c>
      <c r="R153">
        <f>IF(ISBLANK(Inputs!E173),1,IF(EXACT(Inputs!E173&amp;"",P153&amp;""),0,1))</f>
        <v>0</v>
      </c>
    </row>
    <row r="154" spans="2:18" x14ac:dyDescent="0.45">
      <c r="B154" s="11" t="s">
        <v>1881</v>
      </c>
      <c r="C154" s="77">
        <f>EB2_LugBotL</f>
        <v>39.749692144029659</v>
      </c>
      <c r="D154" s="78">
        <v>39.749692144029659</v>
      </c>
      <c r="E154" s="79">
        <f t="shared" si="8"/>
        <v>0</v>
      </c>
      <c r="F154" s="79">
        <v>1.0000000000000001E-9</v>
      </c>
      <c r="G154" s="42" t="str">
        <f t="shared" si="9"/>
        <v>PASS</v>
      </c>
      <c r="O154" s="8" t="s">
        <v>1882</v>
      </c>
      <c r="P154" t="s">
        <v>520</v>
      </c>
      <c r="Q154" t="str">
        <f>IF(ISBLANK(Inputs!D174),"",Inputs!D174)</f>
        <v>Carbon Steel - Low Lax</v>
      </c>
      <c r="R154">
        <f>IF(ISBLANK(Inputs!D174),1,IF(EXACT(Inputs!D174&amp;"",P154&amp;""),0,1))</f>
        <v>0</v>
      </c>
    </row>
    <row r="155" spans="2:18" x14ac:dyDescent="0.45">
      <c r="B155" s="11" t="s">
        <v>1883</v>
      </c>
      <c r="C155" s="77">
        <f>EB2_CkBotL</f>
        <v>40.249692144029659</v>
      </c>
      <c r="D155" s="78">
        <v>40.249692144029659</v>
      </c>
      <c r="E155" s="79">
        <f t="shared" si="8"/>
        <v>0</v>
      </c>
      <c r="F155" s="79">
        <v>1.0000000000000001E-9</v>
      </c>
      <c r="G155" s="42" t="str">
        <f t="shared" si="9"/>
        <v>PASS</v>
      </c>
      <c r="O155" s="8" t="s">
        <v>1884</v>
      </c>
      <c r="P155" t="s">
        <v>520</v>
      </c>
      <c r="Q155" t="str">
        <f>IF(ISBLANK(Inputs!E174),"",Inputs!E174)</f>
        <v>Carbon Steel - Low Lax</v>
      </c>
      <c r="R155">
        <f>IF(ISBLANK(Inputs!E174),1,IF(EXACT(Inputs!E174&amp;"",P155&amp;""),0,1))</f>
        <v>0</v>
      </c>
    </row>
    <row r="156" spans="2:18" x14ac:dyDescent="0.45">
      <c r="B156" s="11" t="s">
        <v>1885</v>
      </c>
      <c r="C156" s="77">
        <f>EB2_CkTopRv</f>
        <v>48.259802877755398</v>
      </c>
      <c r="D156" s="78">
        <v>48.259802877755398</v>
      </c>
      <c r="E156" s="79">
        <f t="shared" si="8"/>
        <v>0</v>
      </c>
      <c r="F156" s="79">
        <v>9.9999999999999998E-13</v>
      </c>
      <c r="G156" s="42" t="str">
        <f t="shared" si="9"/>
        <v>PASS</v>
      </c>
      <c r="O156" s="8" t="s">
        <v>1886</v>
      </c>
      <c r="P156">
        <v>0.217</v>
      </c>
      <c r="Q156">
        <f>IF(ISBLANK(Inputs!D175),"",Inputs!D175)</f>
        <v>0.217</v>
      </c>
      <c r="R156">
        <f>IF(ISNUMBER(Inputs!D175),IF(ABS(Inputs!D175-P156)&lt;=0.000000000001*MAX(1,ABS(P156)),0,1),1)</f>
        <v>0</v>
      </c>
    </row>
    <row r="157" spans="2:18" x14ac:dyDescent="0.45">
      <c r="B157" s="11" t="s">
        <v>1887</v>
      </c>
      <c r="C157" s="77">
        <f>EB2_CkVolR</f>
        <v>21.442575421838875</v>
      </c>
      <c r="D157" s="78">
        <v>21.442575421838871</v>
      </c>
      <c r="E157" s="79">
        <f t="shared" si="8"/>
        <v>0</v>
      </c>
      <c r="F157" s="79">
        <v>1.0000000000000001E-9</v>
      </c>
      <c r="G157" s="42" t="str">
        <f t="shared" si="9"/>
        <v>PASS</v>
      </c>
      <c r="O157" s="8" t="s">
        <v>1888</v>
      </c>
      <c r="P157">
        <v>0.217</v>
      </c>
      <c r="Q157">
        <f>IF(ISBLANK(Inputs!E175),"",Inputs!E175)</f>
        <v>0.217</v>
      </c>
      <c r="R157">
        <f>IF(ISNUMBER(Inputs!E175),IF(ABS(Inputs!E175-P157)&lt;=0.000000000001*MAX(1,ABS(P157)),0,1),1)</f>
        <v>0</v>
      </c>
    </row>
    <row r="158" spans="2:18" x14ac:dyDescent="0.45">
      <c r="B158" s="11" t="s">
        <v>1889</v>
      </c>
      <c r="C158" s="77">
        <f>EB2_LugBotR</f>
        <v>39.749692144029659</v>
      </c>
      <c r="D158" s="78">
        <v>39.749692144029659</v>
      </c>
      <c r="E158" s="79">
        <f t="shared" si="8"/>
        <v>0</v>
      </c>
      <c r="F158" s="79">
        <v>1.0000000000000001E-9</v>
      </c>
      <c r="G158" s="42" t="str">
        <f t="shared" si="9"/>
        <v>PASS</v>
      </c>
      <c r="O158" s="8" t="s">
        <v>1890</v>
      </c>
      <c r="P158">
        <v>39</v>
      </c>
      <c r="Q158">
        <f>IF(ISBLANK(Inputs!D176),"",Inputs!D176)</f>
        <v>39</v>
      </c>
      <c r="R158">
        <f>IF(ISNUMBER(Inputs!D176),IF(ABS(Inputs!D176-P158)&lt;=0.000000000001*MAX(1,ABS(P158)),0,1),1)</f>
        <v>0</v>
      </c>
    </row>
    <row r="159" spans="2:18" x14ac:dyDescent="0.45">
      <c r="B159" s="11" t="s">
        <v>1891</v>
      </c>
      <c r="C159" s="77">
        <f>EB2_CkBotR</f>
        <v>40.249692144029659</v>
      </c>
      <c r="D159" s="78">
        <v>40.249692144029659</v>
      </c>
      <c r="E159" s="79">
        <f t="shared" si="8"/>
        <v>0</v>
      </c>
      <c r="F159" s="79">
        <v>1.0000000000000001E-9</v>
      </c>
      <c r="G159" s="42" t="str">
        <f t="shared" si="9"/>
        <v>PASS</v>
      </c>
      <c r="O159" s="8" t="s">
        <v>1892</v>
      </c>
      <c r="P159">
        <v>39</v>
      </c>
      <c r="Q159">
        <f>IF(ISBLANK(Inputs!E176),"",Inputs!E176)</f>
        <v>39</v>
      </c>
      <c r="R159">
        <f>IF(ISNUMBER(Inputs!E176),IF(ABS(Inputs!E176-P159)&lt;=0.000000000001*MAX(1,ABS(P159)),0,1),1)</f>
        <v>0</v>
      </c>
    </row>
    <row r="160" spans="2:18" x14ac:dyDescent="0.45">
      <c r="B160" s="11" t="s">
        <v>1328</v>
      </c>
      <c r="C160" s="77">
        <f>Clr_Min</f>
        <v>18.361569093606256</v>
      </c>
      <c r="D160" s="78">
        <v>18.36156909360626</v>
      </c>
      <c r="E160" s="79">
        <f t="shared" si="8"/>
        <v>0</v>
      </c>
      <c r="F160" s="79">
        <v>9.9999999999999995E-8</v>
      </c>
      <c r="G160" s="42" t="str">
        <f t="shared" si="9"/>
        <v>PASS</v>
      </c>
      <c r="O160" s="8" t="s">
        <v>1893</v>
      </c>
      <c r="P160">
        <v>8</v>
      </c>
      <c r="Q160">
        <f>IF(ISBLANK(Inputs!D177),"",Inputs!D177)</f>
        <v>8</v>
      </c>
      <c r="R160">
        <f>IF(ISNUMBER(Inputs!D177),IF(ABS(Inputs!D177-P160)&lt;=0.000000000001*MAX(1,ABS(P160)),0,1),1)</f>
        <v>0</v>
      </c>
    </row>
    <row r="161" spans="1:18" x14ac:dyDescent="0.45">
      <c r="B161" s="11" t="s">
        <v>1894</v>
      </c>
      <c r="C161" s="77">
        <f>Clr_Sta</f>
        <v>1699.462329</v>
      </c>
      <c r="D161" s="78">
        <v>1699.462329</v>
      </c>
      <c r="E161" s="79">
        <f t="shared" si="8"/>
        <v>0</v>
      </c>
      <c r="F161" s="79">
        <v>9.9999999999999995E-7</v>
      </c>
      <c r="G161" s="42" t="str">
        <f t="shared" si="9"/>
        <v>PASS</v>
      </c>
      <c r="O161" s="8" t="s">
        <v>1895</v>
      </c>
      <c r="P161">
        <v>8</v>
      </c>
      <c r="Q161">
        <f>IF(ISBLANK(Inputs!E177),"",Inputs!E177)</f>
        <v>8</v>
      </c>
      <c r="R161">
        <f>IF(ISNUMBER(Inputs!E177),IF(ABS(Inputs!E177-P161)&lt;=0.000000000001*MAX(1,ABS(P161)),0,1),1)</f>
        <v>0</v>
      </c>
    </row>
    <row r="162" spans="1:18" x14ac:dyDescent="0.45">
      <c r="B162" s="11" t="s">
        <v>1896</v>
      </c>
      <c r="C162" s="77">
        <f>Clr_Cover</f>
        <v>207.23188600000003</v>
      </c>
      <c r="D162" s="78">
        <v>207.231886</v>
      </c>
      <c r="E162" s="79">
        <f t="shared" si="8"/>
        <v>0</v>
      </c>
      <c r="F162" s="79">
        <v>9.9999999999999995E-7</v>
      </c>
      <c r="G162" s="42" t="str">
        <f t="shared" si="9"/>
        <v>PASS</v>
      </c>
      <c r="O162" s="8" t="s">
        <v>1897</v>
      </c>
      <c r="P162">
        <v>43.942500000000003</v>
      </c>
      <c r="Q162">
        <f>IF(ISBLANK(Inputs!D178),"",Inputs!D178)</f>
        <v>43.942500000000003</v>
      </c>
      <c r="R162">
        <f>IF(ISNUMBER(Inputs!D178),IF(ABS(Inputs!D178-P162)&lt;=0.000000000001*MAX(1,ABS(P162)),0,1),1)</f>
        <v>0</v>
      </c>
    </row>
    <row r="163" spans="1:18" x14ac:dyDescent="0.45">
      <c r="B163" s="11" t="s">
        <v>1898</v>
      </c>
      <c r="C163" s="77">
        <f>Sp1_LBeam</f>
        <v>106.97499999999991</v>
      </c>
      <c r="D163" s="78">
        <v>106.97499999999999</v>
      </c>
      <c r="E163" s="79">
        <f t="shared" si="8"/>
        <v>0</v>
      </c>
      <c r="F163" s="79">
        <v>1.0000000000000001E-9</v>
      </c>
      <c r="G163" s="42" t="str">
        <f t="shared" si="9"/>
        <v>PASS</v>
      </c>
      <c r="O163" s="8" t="s">
        <v>1899</v>
      </c>
      <c r="P163">
        <v>43.942500000000003</v>
      </c>
      <c r="Q163">
        <f>IF(ISBLANK(Inputs!E178),"",Inputs!E178)</f>
        <v>43.942500000000003</v>
      </c>
      <c r="R163">
        <f>IF(ISNUMBER(Inputs!E178),IF(ABS(Inputs!E178-P163)&lt;=0.000000000001*MAX(1,ABS(P163)),0,1),1)</f>
        <v>0</v>
      </c>
    </row>
    <row r="164" spans="1:18" x14ac:dyDescent="0.45">
      <c r="B164" s="11" t="s">
        <v>1900</v>
      </c>
      <c r="C164" s="77">
        <f>Phys_Setback</f>
        <v>9</v>
      </c>
      <c r="D164" s="78">
        <v>9</v>
      </c>
      <c r="E164" s="79">
        <f t="shared" si="8"/>
        <v>0</v>
      </c>
      <c r="F164" s="79">
        <v>1.0000000000000001E-9</v>
      </c>
      <c r="G164" s="42" t="str">
        <f t="shared" si="9"/>
        <v>PASS</v>
      </c>
      <c r="O164" s="8" t="s">
        <v>1901</v>
      </c>
      <c r="P164">
        <v>4</v>
      </c>
      <c r="Q164">
        <f>IF(ISBLANK(Inputs!D179),"",Inputs!D179)</f>
        <v>4</v>
      </c>
      <c r="R164">
        <f>IF(ISNUMBER(Inputs!D179),IF(ABS(Inputs!D179-P164)&lt;=0.000000000001*MAX(1,ABS(P164)),0,1),1)</f>
        <v>0</v>
      </c>
    </row>
    <row r="165" spans="1:18" x14ac:dyDescent="0.45">
      <c r="B165" s="11" t="s">
        <v>1902</v>
      </c>
      <c r="C165" s="77">
        <f>Deck_T*12</f>
        <v>6</v>
      </c>
      <c r="D165" s="78">
        <v>5.9999999999999991</v>
      </c>
      <c r="E165" s="79">
        <f t="shared" si="8"/>
        <v>0</v>
      </c>
      <c r="F165" s="79">
        <v>1.0000000000000001E-9</v>
      </c>
      <c r="G165" s="42" t="str">
        <f t="shared" si="9"/>
        <v>PASS</v>
      </c>
      <c r="O165" s="8" t="s">
        <v>1903</v>
      </c>
      <c r="P165">
        <v>4</v>
      </c>
      <c r="Q165">
        <f>IF(ISBLANK(Inputs!E179),"",Inputs!E179)</f>
        <v>4</v>
      </c>
      <c r="R165">
        <f>IF(ISNUMBER(Inputs!E179),IF(ABS(Inputs!E179-P165)&lt;=0.000000000001*MAX(1,ABS(P165)),0,1),1)</f>
        <v>0</v>
      </c>
    </row>
    <row r="166" spans="1:18" x14ac:dyDescent="0.45">
      <c r="B166" s="11" t="s">
        <v>1904</v>
      </c>
      <c r="C166" s="77">
        <f>Bm_S</f>
        <v>8.5833333333333339</v>
      </c>
      <c r="D166" s="78">
        <v>8.5830000000000002</v>
      </c>
      <c r="E166" s="79">
        <f t="shared" si="8"/>
        <v>3.3333333333374071E-4</v>
      </c>
      <c r="F166" s="79">
        <v>1E-3</v>
      </c>
      <c r="G166" s="42" t="str">
        <f t="shared" si="9"/>
        <v>PASS</v>
      </c>
      <c r="O166" s="8" t="s">
        <v>1905</v>
      </c>
      <c r="P166">
        <v>10</v>
      </c>
      <c r="Q166">
        <f>IF(ISBLANK(Inputs!D180),"",Inputs!D180)</f>
        <v>10</v>
      </c>
      <c r="R166">
        <f>IF(ISNUMBER(Inputs!D180),IF(ABS(Inputs!D180-P166)&lt;=0.000000000001*MAX(1,ABS(P166)),0,1),1)</f>
        <v>0</v>
      </c>
    </row>
    <row r="167" spans="1:18" x14ac:dyDescent="0.45">
      <c r="B167" s="11" t="s">
        <v>1906</v>
      </c>
      <c r="C167" s="77">
        <f>Sp1_C</f>
        <v>0.124592744006574</v>
      </c>
      <c r="D167" s="78">
        <v>0.124592744006574</v>
      </c>
      <c r="E167" s="79">
        <f t="shared" si="8"/>
        <v>0</v>
      </c>
      <c r="F167" s="79">
        <v>9.9999999999999998E-13</v>
      </c>
      <c r="G167" s="42" t="str">
        <f t="shared" si="9"/>
        <v>PASS</v>
      </c>
      <c r="O167" s="8" t="s">
        <v>1907</v>
      </c>
      <c r="P167">
        <v>10</v>
      </c>
      <c r="Q167">
        <f>IF(ISBLANK(Inputs!E180),"",Inputs!E180)</f>
        <v>10</v>
      </c>
      <c r="R167">
        <f>IF(ISNUMBER(Inputs!E180),IF(ABS(Inputs!E180-P167)&lt;=0.000000000001*MAX(1,ABS(P167)),0,1),1)</f>
        <v>0</v>
      </c>
    </row>
    <row r="168" spans="1:18" x14ac:dyDescent="0.45">
      <c r="B168" s="11" t="s">
        <v>1908</v>
      </c>
      <c r="C168" s="77">
        <f>Sp2_LBeam</f>
        <v>104.52500000000009</v>
      </c>
      <c r="D168" s="78">
        <v>104.52500000000001</v>
      </c>
      <c r="E168" s="79">
        <f t="shared" ref="E168:E172" si="10">C168-D168</f>
        <v>0</v>
      </c>
      <c r="F168" s="79">
        <v>1.0000000000000001E-9</v>
      </c>
      <c r="G168" s="42" t="str">
        <f t="shared" ref="G168:G172" si="11">IF(ABS(E168)&lt;=F168,"PASS","FAIL")</f>
        <v>PASS</v>
      </c>
      <c r="O168" s="8" t="s">
        <v>1909</v>
      </c>
      <c r="P168">
        <v>0.37499999999999989</v>
      </c>
      <c r="Q168">
        <f>IF(ISBLANK(Inputs!D181),"",Inputs!D181)</f>
        <v>0.37499999999999989</v>
      </c>
      <c r="R168">
        <f>IF(ISNUMBER(Inputs!D181),IF(ABS(Inputs!D181-P168)&lt;=0.000000000001*MAX(1,ABS(P168)),0,1),1)</f>
        <v>0</v>
      </c>
    </row>
    <row r="169" spans="1:18" x14ac:dyDescent="0.45">
      <c r="B169" s="11" t="s">
        <v>1910</v>
      </c>
      <c r="C169" s="77">
        <f>Phys_Setback</f>
        <v>9</v>
      </c>
      <c r="D169" s="78">
        <v>9</v>
      </c>
      <c r="E169" s="79">
        <f t="shared" si="10"/>
        <v>0</v>
      </c>
      <c r="F169" s="79">
        <v>1.0000000000000001E-9</v>
      </c>
      <c r="G169" s="42" t="str">
        <f t="shared" si="11"/>
        <v>PASS</v>
      </c>
      <c r="O169" s="8" t="s">
        <v>1911</v>
      </c>
      <c r="P169">
        <v>0.37499999999999989</v>
      </c>
      <c r="Q169">
        <f>IF(ISBLANK(Inputs!E181),"",Inputs!E181)</f>
        <v>0.37499999999999989</v>
      </c>
      <c r="R169">
        <f>IF(ISNUMBER(Inputs!E181),IF(ABS(Inputs!E181-P169)&lt;=0.000000000001*MAX(1,ABS(P169)),0,1),1)</f>
        <v>0</v>
      </c>
    </row>
    <row r="170" spans="1:18" x14ac:dyDescent="0.45">
      <c r="B170" s="11" t="s">
        <v>1912</v>
      </c>
      <c r="C170" s="77">
        <f>Deck_T*12</f>
        <v>6</v>
      </c>
      <c r="D170" s="78">
        <v>5.9999999999999991</v>
      </c>
      <c r="E170" s="79">
        <f t="shared" si="10"/>
        <v>0</v>
      </c>
      <c r="F170" s="79">
        <v>1.0000000000000001E-9</v>
      </c>
      <c r="G170" s="42" t="str">
        <f t="shared" si="11"/>
        <v>PASS</v>
      </c>
      <c r="O170" s="8" t="s">
        <v>1913</v>
      </c>
      <c r="P170">
        <v>0.95831970423055435</v>
      </c>
      <c r="Q170">
        <f>IF(ISBLANK(Inputs!D182),"",Inputs!D182)</f>
        <v>0.95831970423055435</v>
      </c>
      <c r="R170">
        <f>IF(ISNUMBER(Inputs!D182),IF(ABS(Inputs!D182-P170)&lt;=0.000000000001*MAX(1,ABS(P170)),0,1),1)</f>
        <v>0</v>
      </c>
    </row>
    <row r="171" spans="1:18" x14ac:dyDescent="0.45">
      <c r="B171" s="11" t="s">
        <v>1914</v>
      </c>
      <c r="C171" s="77">
        <f>Bm_S</f>
        <v>8.5833333333333339</v>
      </c>
      <c r="D171" s="78">
        <v>8.5830000000000002</v>
      </c>
      <c r="E171" s="79">
        <f t="shared" si="10"/>
        <v>3.3333333333374071E-4</v>
      </c>
      <c r="F171" s="79">
        <v>1E-3</v>
      </c>
      <c r="G171" s="42" t="str">
        <f t="shared" si="11"/>
        <v>PASS</v>
      </c>
      <c r="O171" s="8" t="s">
        <v>1915</v>
      </c>
      <c r="P171">
        <v>0.95831970423055435</v>
      </c>
      <c r="Q171">
        <f>IF(ISBLANK(Inputs!E182),"",Inputs!E182)</f>
        <v>0.95831970423055435</v>
      </c>
      <c r="R171">
        <f>IF(ISNUMBER(Inputs!E182),IF(ABS(Inputs!E182-P171)&lt;=0.000000000001*MAX(1,ABS(P171)),0,1),1)</f>
        <v>0</v>
      </c>
    </row>
    <row r="172" spans="1:18" x14ac:dyDescent="0.45">
      <c r="B172" s="11" t="s">
        <v>1916</v>
      </c>
      <c r="C172" s="77">
        <f>Sp2_C</f>
        <v>0.56717146305500721</v>
      </c>
      <c r="D172" s="78">
        <v>0.56717146305500721</v>
      </c>
      <c r="E172" s="79">
        <f t="shared" si="10"/>
        <v>0</v>
      </c>
      <c r="F172" s="79">
        <v>9.9999999999999998E-13</v>
      </c>
      <c r="G172" s="42" t="str">
        <f t="shared" si="11"/>
        <v>PASS</v>
      </c>
      <c r="O172" s="8" t="s">
        <v>1917</v>
      </c>
      <c r="P172">
        <v>-2.5204081632653071E-4</v>
      </c>
      <c r="Q172">
        <f>IF(ISBLANK(Inputs!D183),"",Inputs!D183)</f>
        <v>-2.5204081632653071E-4</v>
      </c>
      <c r="R172">
        <f>IF(ISNUMBER(Inputs!D183),IF(ABS(Inputs!D183-P172)&lt;=0.000000000001*MAX(1,ABS(P172)),0,1),1)</f>
        <v>0</v>
      </c>
    </row>
    <row r="173" spans="1:18" x14ac:dyDescent="0.45">
      <c r="O173" s="8" t="s">
        <v>1918</v>
      </c>
      <c r="P173">
        <v>-2.5204081632653071E-4</v>
      </c>
      <c r="Q173">
        <f>IF(ISBLANK(Inputs!E183),"",Inputs!E183)</f>
        <v>-2.5204081632653071E-4</v>
      </c>
      <c r="R173">
        <f>IF(ISNUMBER(Inputs!E183),IF(ABS(Inputs!E183-P173)&lt;=0.000000000001*MAX(1,ABS(P173)),0,1),1)</f>
        <v>0</v>
      </c>
    </row>
    <row r="174" spans="1:18" x14ac:dyDescent="0.45">
      <c r="A174" s="17" t="s">
        <v>1919</v>
      </c>
      <c r="B174" s="18"/>
      <c r="C174" s="18"/>
      <c r="D174" s="18"/>
      <c r="E174" s="18"/>
      <c r="F174" s="18"/>
      <c r="G174" s="18"/>
      <c r="L174" s="37" t="s">
        <v>1920</v>
      </c>
      <c r="O174" s="8" t="s">
        <v>1921</v>
      </c>
      <c r="P174">
        <v>1.3711621824106019</v>
      </c>
      <c r="Q174">
        <f>IF(ISBLANK(Inputs!D184),"",Inputs!D184)</f>
        <v>1.3711621824106019</v>
      </c>
      <c r="R174">
        <f>IF(ISNUMBER(Inputs!D184),IF(ABS(Inputs!D184-P174)&lt;=0.000000000001*MAX(1,ABS(P174)),0,1),1)</f>
        <v>0</v>
      </c>
    </row>
    <row r="175" spans="1:18" x14ac:dyDescent="0.45">
      <c r="B175" s="11" t="s">
        <v>1922</v>
      </c>
      <c r="C175" s="79">
        <f>MAX(M175:M304)</f>
        <v>7.1054273576010019E-15</v>
      </c>
      <c r="F175" s="79">
        <v>1.0000000000000001E-9</v>
      </c>
      <c r="G175" s="42" t="str">
        <f>IF(C175&lt;=F175,"PASS","FAIL")</f>
        <v>PASS</v>
      </c>
      <c r="L175" s="80">
        <v>47.525166666666671</v>
      </c>
      <c r="M175" s="79">
        <f>ABS(FGE!E12-L175)</f>
        <v>0</v>
      </c>
      <c r="O175" s="8" t="s">
        <v>1923</v>
      </c>
      <c r="P175">
        <v>1.4647225816175331</v>
      </c>
      <c r="Q175">
        <f>IF(ISBLANK(Inputs!E184),"",Inputs!E184)</f>
        <v>1.4647225816175331</v>
      </c>
      <c r="R175">
        <f>IF(ISNUMBER(Inputs!E184),IF(ABS(Inputs!E184-P175)&lt;=0.000000000001*MAX(1,ABS(P175)),0,1),1)</f>
        <v>0</v>
      </c>
    </row>
    <row r="176" spans="1:18" x14ac:dyDescent="0.45">
      <c r="L176" s="80">
        <v>47.530165502251208</v>
      </c>
      <c r="M176" s="79">
        <f>ABS(FGE!F12-L176)</f>
        <v>0</v>
      </c>
      <c r="O176" s="8" t="s">
        <v>1924</v>
      </c>
      <c r="P176">
        <v>3.3554492587274489</v>
      </c>
      <c r="Q176">
        <f>IF(ISBLANK(Inputs!D185),"",Inputs!D185)</f>
        <v>3.3554492587274489</v>
      </c>
      <c r="R176">
        <f>IF(ISNUMBER(Inputs!D185),IF(ABS(Inputs!D185-P176)&lt;=0.000000000001*MAX(1,ABS(P176)),0,1),1)</f>
        <v>0</v>
      </c>
    </row>
    <row r="177" spans="1:18" x14ac:dyDescent="0.45">
      <c r="A177" s="17" t="s">
        <v>1925</v>
      </c>
      <c r="B177" s="18"/>
      <c r="C177" s="18"/>
      <c r="D177" s="18"/>
      <c r="E177" s="18"/>
      <c r="F177" s="18"/>
      <c r="G177" s="18"/>
      <c r="L177" s="80">
        <v>47.582890720579108</v>
      </c>
      <c r="M177" s="79">
        <f>ABS(FGE!G12-L177)</f>
        <v>0</v>
      </c>
      <c r="O177" s="8" t="s">
        <v>1926</v>
      </c>
      <c r="P177">
        <v>3.5081217611761781</v>
      </c>
      <c r="Q177">
        <f>IF(ISBLANK(Inputs!E185),"",Inputs!E185)</f>
        <v>3.5081217611761781</v>
      </c>
      <c r="R177">
        <f>IF(ISNUMBER(Inputs!E185),IF(ABS(Inputs!E185-P177)&lt;=0.000000000001*MAX(1,ABS(P177)),0,1),1)</f>
        <v>0</v>
      </c>
    </row>
    <row r="178" spans="1:18" x14ac:dyDescent="0.45">
      <c r="B178" s="4" t="s">
        <v>779</v>
      </c>
      <c r="G178" s="42" t="str">
        <f>'Profile &amp; Deck'!C33</f>
        <v>PASS</v>
      </c>
      <c r="L178" s="80">
        <v>47.635615938907009</v>
      </c>
      <c r="M178" s="79">
        <f>ABS(FGE!H12-L178)</f>
        <v>0</v>
      </c>
      <c r="O178" s="8" t="s">
        <v>1927</v>
      </c>
      <c r="P178">
        <v>-2.4716060425989741</v>
      </c>
      <c r="Q178">
        <f>IF(ISBLANK(Inputs!D186),"",Inputs!D186)</f>
        <v>-2.4716060425989741</v>
      </c>
      <c r="R178">
        <f>IF(ISNUMBER(Inputs!D186),IF(ABS(Inputs!D186-P178)&lt;=0.000000000001*MAX(1,ABS(P178)),0,1),1)</f>
        <v>0</v>
      </c>
    </row>
    <row r="179" spans="1:18" x14ac:dyDescent="0.45">
      <c r="B179" s="4" t="s">
        <v>780</v>
      </c>
      <c r="G179" s="42" t="str">
        <f>'Profile &amp; Deck'!C34</f>
        <v>PASS</v>
      </c>
      <c r="L179" s="80">
        <v>47.688341157234909</v>
      </c>
      <c r="M179" s="79">
        <f>ABS(FGE!I12-L179)</f>
        <v>0</v>
      </c>
      <c r="O179" s="8" t="s">
        <v>1928</v>
      </c>
      <c r="P179">
        <v>-2.2498277075689281</v>
      </c>
      <c r="Q179">
        <f>IF(ISBLANK(Inputs!E186),"",Inputs!E186)</f>
        <v>-2.2498277075689281</v>
      </c>
      <c r="R179">
        <f>IF(ISNUMBER(Inputs!E186),IF(ABS(Inputs!E186-P179)&lt;=0.000000000001*MAX(1,ABS(P179)),0,1),1)</f>
        <v>0</v>
      </c>
    </row>
    <row r="180" spans="1:18" x14ac:dyDescent="0.45">
      <c r="B180" s="4" t="s">
        <v>781</v>
      </c>
      <c r="G180" s="42" t="str">
        <f>'Profile &amp; Deck'!C35</f>
        <v>PASS</v>
      </c>
      <c r="L180" s="80">
        <v>47.741066375562802</v>
      </c>
      <c r="M180" s="79">
        <f>ABS(FGE!J12-L180)</f>
        <v>0</v>
      </c>
      <c r="O180" s="8" t="s">
        <v>1929</v>
      </c>
      <c r="P180">
        <v>-0.75925047212190155</v>
      </c>
      <c r="Q180">
        <f>IF(ISBLANK(Inputs!D187),"",Inputs!D187)</f>
        <v>-0.75925047212190155</v>
      </c>
      <c r="R180">
        <f>IF(ISNUMBER(Inputs!D187),IF(ABS(Inputs!D187-P180)&lt;=0.000000000001*MAX(1,ABS(P180)),0,1),1)</f>
        <v>0</v>
      </c>
    </row>
    <row r="181" spans="1:18" x14ac:dyDescent="0.45">
      <c r="B181" s="4" t="s">
        <v>782</v>
      </c>
      <c r="G181" s="42" t="str">
        <f>'Profile &amp; Deck'!C36</f>
        <v>PASS</v>
      </c>
      <c r="L181" s="80">
        <v>47.793791593890703</v>
      </c>
      <c r="M181" s="79">
        <f>ABS(FGE!K12-L181)</f>
        <v>0</v>
      </c>
      <c r="O181" s="8" t="s">
        <v>1930</v>
      </c>
      <c r="P181">
        <v>-0.6911225905522429</v>
      </c>
      <c r="Q181">
        <f>IF(ISBLANK(Inputs!E187),"",Inputs!E187)</f>
        <v>-0.6911225905522429</v>
      </c>
      <c r="R181">
        <f>IF(ISNUMBER(Inputs!E187),IF(ABS(Inputs!E187-P181)&lt;=0.000000000001*MAX(1,ABS(P181)),0,1),1)</f>
        <v>0</v>
      </c>
    </row>
    <row r="182" spans="1:18" x14ac:dyDescent="0.45">
      <c r="B182" s="4" t="s">
        <v>783</v>
      </c>
      <c r="G182" s="42" t="str">
        <f>'Profile &amp; Deck'!C37</f>
        <v>PASS</v>
      </c>
      <c r="L182" s="80">
        <v>47.846516812218603</v>
      </c>
      <c r="M182" s="79">
        <f>ABS(FGE!L12-L182)</f>
        <v>0</v>
      </c>
      <c r="O182" s="8" t="s">
        <v>1931</v>
      </c>
      <c r="P182">
        <v>0.124592744006574</v>
      </c>
      <c r="Q182">
        <f>IF(ISBLANK(Inputs!D188),"",Inputs!D188)</f>
        <v>0.124592744006574</v>
      </c>
      <c r="R182">
        <f>IF(ISNUMBER(Inputs!D188),IF(ABS(Inputs!D188-P182)&lt;=0.000000000001*MAX(1,ABS(P182)),0,1),1)</f>
        <v>0</v>
      </c>
    </row>
    <row r="183" spans="1:18" ht="25.5" x14ac:dyDescent="0.45">
      <c r="B183" s="4" t="s">
        <v>1932</v>
      </c>
      <c r="G183" s="42" t="str">
        <f>IF(Prof_Mode="brokeback",IF(AND(OR(Prof_PISta&lt;=Sp1_Bm0,Prof_PISta&gt;=Sp1_Bm1),OR(Prof_PISta&lt;=Sp2_Bm0,Prof_PISta&gt;=Sp2_Bm1)),"PASS","FAIL"),"PASS")</f>
        <v>PASS</v>
      </c>
      <c r="L183" s="80">
        <v>47.899242030546503</v>
      </c>
      <c r="M183" s="79">
        <f>ABS(FGE!M12-L183)</f>
        <v>0</v>
      </c>
      <c r="O183" s="8" t="s">
        <v>1933</v>
      </c>
      <c r="P183">
        <v>0.56717146305500721</v>
      </c>
      <c r="Q183">
        <f>IF(ISBLANK(Inputs!E188),"",Inputs!E188)</f>
        <v>0.56717146305500721</v>
      </c>
      <c r="R183">
        <f>IF(ISNUMBER(Inputs!E188),IF(ABS(Inputs!E188-P183)&lt;=0.000000000001*MAX(1,ABS(P183)),0,1),1)</f>
        <v>0</v>
      </c>
    </row>
    <row r="184" spans="1:18" x14ac:dyDescent="0.45">
      <c r="B184" s="4" t="s">
        <v>1934</v>
      </c>
      <c r="G184" s="42" t="str">
        <f>IF(AND(ABS(Sp1_Sta0-Prof_Sta0)&lt;0.00000001,ABS(Sp2_Sta1-Prof_Sta1)&lt;0.00000001,ABS(Sp1_Sta1-Sp2_Sta0)&lt;0.00000001),"PASS","FAIL")</f>
        <v>PASS</v>
      </c>
      <c r="L184" s="80">
        <v>47.951967248874404</v>
      </c>
      <c r="M184" s="79">
        <f>ABS(FGE!N12-L184)</f>
        <v>0</v>
      </c>
      <c r="O184" s="8" t="s">
        <v>1935</v>
      </c>
      <c r="P184">
        <v>3</v>
      </c>
      <c r="Q184">
        <f>IF(ISBLANK(Inputs!D189),"",Inputs!D189)</f>
        <v>3</v>
      </c>
      <c r="R184">
        <f>IF(ISNUMBER(Inputs!D189),IF(ABS(Inputs!D189-P184)&lt;=0.000000000001*MAX(1,ABS(P184)),0,1),1)</f>
        <v>0</v>
      </c>
    </row>
    <row r="185" spans="1:18" x14ac:dyDescent="0.45">
      <c r="B185" s="4" t="s">
        <v>1936</v>
      </c>
      <c r="G185" s="42" t="str">
        <f>IF(AND(EB1_BmClr=Phys_EndClr,EB2_BmClr=Phys_EndClr,EB1_BmBrg=Phys_Setback,EB2_BmBrg=Phys_Setback),"PASS","FAIL")</f>
        <v>PASS</v>
      </c>
      <c r="L185" s="80">
        <v>48.004692467202297</v>
      </c>
      <c r="M185" s="79">
        <f>ABS(FGE!O12-L185)</f>
        <v>7.1054273576010019E-15</v>
      </c>
      <c r="O185" s="8" t="s">
        <v>1937</v>
      </c>
      <c r="P185">
        <v>3</v>
      </c>
      <c r="Q185">
        <f>IF(ISBLANK(Inputs!E189),"",Inputs!E189)</f>
        <v>3</v>
      </c>
      <c r="R185">
        <f>IF(ISNUMBER(Inputs!E189),IF(ABS(Inputs!E189-P185)&lt;=0.000000000001*MAX(1,ABS(P185)),0,1),1)</f>
        <v>0</v>
      </c>
    </row>
    <row r="186" spans="1:18" x14ac:dyDescent="0.45">
      <c r="B186" s="4" t="s">
        <v>1938</v>
      </c>
      <c r="G186" s="42" t="str">
        <f>IF(ABS(Pier_Sta-Sp1_Sta1)&lt;0.00000001,"PASS","FAIL")</f>
        <v>PASS</v>
      </c>
      <c r="L186" s="80">
        <v>48.057417685530197</v>
      </c>
      <c r="M186" s="79">
        <f>ABS(FGE!P12-L186)</f>
        <v>7.1054273576010019E-15</v>
      </c>
      <c r="O186" s="8" t="s">
        <v>1939</v>
      </c>
      <c r="P186">
        <v>3.5</v>
      </c>
      <c r="Q186">
        <f>IF(ISBLANK(Inputs!D190),"",Inputs!D190)</f>
        <v>3.5</v>
      </c>
      <c r="R186">
        <f>IF(ISNUMBER(Inputs!D190),IF(ABS(Inputs!D190-P186)&lt;=0.000000000001*MAX(1,ABS(P186)),0,1),1)</f>
        <v>0</v>
      </c>
    </row>
    <row r="187" spans="1:18" x14ac:dyDescent="0.45">
      <c r="B187" s="4" t="s">
        <v>1940</v>
      </c>
      <c r="G187" s="42" t="str">
        <f>Sp1_Chk</f>
        <v>PASS</v>
      </c>
      <c r="L187" s="80">
        <v>48.061791666666672</v>
      </c>
      <c r="M187" s="79">
        <f>ABS(FGE!Q12-L187)</f>
        <v>0</v>
      </c>
      <c r="O187" s="8" t="s">
        <v>1941</v>
      </c>
      <c r="P187">
        <v>3.5</v>
      </c>
      <c r="Q187">
        <f>IF(ISBLANK(Inputs!E190),"",Inputs!E190)</f>
        <v>3.5</v>
      </c>
      <c r="R187">
        <f>IF(ISNUMBER(Inputs!E190),IF(ABS(Inputs!E190-P187)&lt;=0.000000000001*MAX(1,ABS(P187)),0,1),1)</f>
        <v>0</v>
      </c>
    </row>
    <row r="188" spans="1:18" x14ac:dyDescent="0.45">
      <c r="B188" s="4" t="s">
        <v>1942</v>
      </c>
      <c r="G188" s="42" t="str">
        <f>Sp2_Chk</f>
        <v>PASS</v>
      </c>
      <c r="L188" s="80">
        <v>47.575166666666668</v>
      </c>
      <c r="M188" s="79">
        <f>ABS(FGE!E13-L188)</f>
        <v>0</v>
      </c>
      <c r="O188" s="8" t="s">
        <v>1943</v>
      </c>
      <c r="P188">
        <v>2</v>
      </c>
      <c r="Q188">
        <f>IF(ISBLANK(Inputs!D191),"",Inputs!D191)</f>
        <v>2</v>
      </c>
      <c r="R188">
        <f>IF(ISNUMBER(Inputs!D191),IF(ABS(Inputs!D191-P188)&lt;=0.000000000001*MAX(1,ABS(P188)),0,1),1)</f>
        <v>0</v>
      </c>
    </row>
    <row r="189" spans="1:18" x14ac:dyDescent="0.45">
      <c r="B189" s="4" t="s">
        <v>1944</v>
      </c>
      <c r="G189" s="42" t="str">
        <f>'Camber &amp; Haunch'!J45</f>
        <v>PASS</v>
      </c>
      <c r="L189" s="80">
        <v>47.580165502251212</v>
      </c>
      <c r="M189" s="79">
        <f>ABS(FGE!F13-L189)</f>
        <v>7.1054273576010019E-15</v>
      </c>
      <c r="O189" s="8" t="s">
        <v>1945</v>
      </c>
      <c r="P189">
        <v>2</v>
      </c>
      <c r="Q189">
        <f>IF(ISBLANK(Inputs!E191),"",Inputs!E191)</f>
        <v>2</v>
      </c>
      <c r="R189">
        <f>IF(ISNUMBER(Inputs!E191),IF(ABS(Inputs!E191-P189)&lt;=0.000000000001*MAX(1,ABS(P189)),0,1),1)</f>
        <v>0</v>
      </c>
    </row>
    <row r="190" spans="1:18" x14ac:dyDescent="0.45">
      <c r="B190" s="4" t="s">
        <v>1946</v>
      </c>
      <c r="G190" s="42" t="str">
        <f>'Camber &amp; Haunch'!J46</f>
        <v>PASS</v>
      </c>
      <c r="L190" s="80">
        <v>47.632890720579113</v>
      </c>
      <c r="M190" s="79">
        <f>ABS(FGE!G13-L190)</f>
        <v>7.1054273576010019E-15</v>
      </c>
      <c r="O190" s="8" t="s">
        <v>1947</v>
      </c>
      <c r="P190">
        <v>1.24</v>
      </c>
      <c r="Q190">
        <f>IF(ISBLANK(Inputs!D192),"",Inputs!D192)</f>
        <v>1.24</v>
      </c>
      <c r="R190">
        <f>IF(ISNUMBER(Inputs!D192),IF(ABS(Inputs!D192-P190)&lt;=0.000000000001*MAX(1,ABS(P190)),0,1),1)</f>
        <v>0</v>
      </c>
    </row>
    <row r="191" spans="1:18" x14ac:dyDescent="0.45">
      <c r="B191" s="4" t="s">
        <v>1948</v>
      </c>
      <c r="G191" s="42" t="str">
        <f>IF(COUNTIF('Bearing Seats'!B1:Z400,"FAIL")+COUNTIF(Substructure!B1:Z400,"FAIL")+COUNTIF('Beam Geometry'!B1:Z400,"FAIL")+COUNTIF('Beam Data'!B1:Z400,"FAIL")+COUNTIF('Camber &amp; Haunch'!B1:Z400,"FAIL")+COUNTIF('Profile &amp; Deck'!B1:Z400,"FAIL")=0,"PASS","FAIL")</f>
        <v>PASS</v>
      </c>
      <c r="L191" s="80">
        <v>47.685615938907013</v>
      </c>
      <c r="M191" s="79">
        <f>ABS(FGE!H13-L191)</f>
        <v>7.1054273576010019E-15</v>
      </c>
      <c r="O191" s="8" t="s">
        <v>1949</v>
      </c>
      <c r="P191">
        <v>1.24</v>
      </c>
      <c r="Q191">
        <f>IF(ISBLANK(Inputs!E192),"",Inputs!E192)</f>
        <v>1.24</v>
      </c>
      <c r="R191">
        <f>IF(ISNUMBER(Inputs!E192),IF(ABS(Inputs!E192-P191)&lt;=0.000000000001*MAX(1,ABS(P191)),0,1),1)</f>
        <v>0</v>
      </c>
    </row>
    <row r="192" spans="1:18" x14ac:dyDescent="0.45">
      <c r="B192" s="4" t="s">
        <v>1950</v>
      </c>
      <c r="G192" s="42" t="str">
        <f>IF(Clr_Status="Below requirement","FAIL",IF(Clr_Status="Meets requirement","PASS","CHECK"))</f>
        <v>CHECK</v>
      </c>
      <c r="L192" s="80">
        <v>47.738341157234913</v>
      </c>
      <c r="M192" s="79">
        <f>ABS(FGE!I13-L192)</f>
        <v>7.1054273576010019E-15</v>
      </c>
      <c r="O192" s="8" t="s">
        <v>1951</v>
      </c>
      <c r="P192">
        <v>3.5</v>
      </c>
      <c r="Q192">
        <f>IF(ISBLANK(Inputs!D193),"",Inputs!D193)</f>
        <v>3.5</v>
      </c>
      <c r="R192">
        <f>IF(ISNUMBER(Inputs!D193),IF(ABS(Inputs!D193-P192)&lt;=0.000000000001*MAX(1,ABS(P192)),0,1),1)</f>
        <v>0</v>
      </c>
    </row>
    <row r="193" spans="2:18" ht="25.5" x14ac:dyDescent="0.45">
      <c r="B193" s="4" t="s">
        <v>1952</v>
      </c>
      <c r="G193" s="42" t="str">
        <f>IF(Inputs_Edited=0,"PASS","CHECK")</f>
        <v>PASS</v>
      </c>
      <c r="L193" s="80">
        <v>47.791066375562799</v>
      </c>
      <c r="M193" s="79">
        <f>ABS(FGE!J13-L193)</f>
        <v>0</v>
      </c>
      <c r="O193" s="8" t="s">
        <v>1953</v>
      </c>
      <c r="P193">
        <v>3.5</v>
      </c>
      <c r="Q193">
        <f>IF(ISBLANK(Inputs!E193),"",Inputs!E193)</f>
        <v>3.5</v>
      </c>
      <c r="R193">
        <f>IF(ISNUMBER(Inputs!E193),IF(ABS(Inputs!E193-P193)&lt;=0.000000000001*MAX(1,ABS(P193)),0,1),1)</f>
        <v>0</v>
      </c>
    </row>
    <row r="194" spans="2:18" x14ac:dyDescent="0.45">
      <c r="L194" s="80">
        <v>47.8437915938907</v>
      </c>
      <c r="M194" s="79">
        <f>ABS(FGE!K13-L194)</f>
        <v>0</v>
      </c>
      <c r="O194" s="8" t="s">
        <v>1954</v>
      </c>
      <c r="P194">
        <v>2</v>
      </c>
      <c r="Q194">
        <f>IF(ISBLANK(Inputs!D194),"",Inputs!D194)</f>
        <v>2</v>
      </c>
      <c r="R194">
        <f>IF(ISNUMBER(Inputs!D194),IF(ABS(Inputs!D194-P194)&lt;=0.000000000001*MAX(1,ABS(P194)),0,1),1)</f>
        <v>0</v>
      </c>
    </row>
    <row r="195" spans="2:18" x14ac:dyDescent="0.45">
      <c r="B195" s="7" t="s">
        <v>1955</v>
      </c>
      <c r="C195" s="11" t="str">
        <f>COUNTIF(G8:G193,"PASS")&amp;" pass / "&amp;COUNTIF(G8:G193,"FAIL")&amp;" fail / "&amp;COUNTIF(G8:G193,"CHECK")&amp;" check"</f>
        <v>181 pass / 0 fail / 1 check</v>
      </c>
      <c r="G195" s="81" t="str">
        <f>IF(COUNTIF(G8:G193,"FAIL")=0,"PASS","FAIL")</f>
        <v>PASS</v>
      </c>
      <c r="L195" s="80">
        <v>47.8965168122186</v>
      </c>
      <c r="M195" s="79">
        <f>ABS(FGE!L13-L195)</f>
        <v>0</v>
      </c>
      <c r="O195" s="8" t="s">
        <v>1956</v>
      </c>
      <c r="P195">
        <v>2</v>
      </c>
      <c r="Q195">
        <f>IF(ISBLANK(Inputs!E194),"",Inputs!E194)</f>
        <v>2</v>
      </c>
      <c r="R195">
        <f>IF(ISNUMBER(Inputs!E194),IF(ABS(Inputs!E194-P195)&lt;=0.000000000001*MAX(1,ABS(P195)),0,1),1)</f>
        <v>0</v>
      </c>
    </row>
    <row r="196" spans="2:18" x14ac:dyDescent="0.45">
      <c r="L196" s="80">
        <v>47.9492420305465</v>
      </c>
      <c r="M196" s="79">
        <f>ABS(FGE!M13-L196)</f>
        <v>0</v>
      </c>
      <c r="O196" s="8" t="s">
        <v>1957</v>
      </c>
      <c r="P196">
        <v>0.62</v>
      </c>
      <c r="Q196">
        <f>IF(ISBLANK(Inputs!D195),"",Inputs!D195)</f>
        <v>0.62</v>
      </c>
      <c r="R196">
        <f>IF(ISNUMBER(Inputs!D195),IF(ABS(Inputs!D195-P196)&lt;=0.000000000001*MAX(1,ABS(P196)),0,1),1)</f>
        <v>0</v>
      </c>
    </row>
    <row r="197" spans="2:18" x14ac:dyDescent="0.45">
      <c r="L197" s="80">
        <v>48.001967248874401</v>
      </c>
      <c r="M197" s="79">
        <f>ABS(FGE!N13-L197)</f>
        <v>0</v>
      </c>
      <c r="O197" s="8" t="s">
        <v>1958</v>
      </c>
      <c r="P197">
        <v>0.62</v>
      </c>
      <c r="Q197">
        <f>IF(ISBLANK(Inputs!E195),"",Inputs!E195)</f>
        <v>0.62</v>
      </c>
      <c r="R197">
        <f>IF(ISNUMBER(Inputs!E195),IF(ABS(Inputs!E195-P197)&lt;=0.000000000001*MAX(1,ABS(P197)),0,1),1)</f>
        <v>0</v>
      </c>
    </row>
    <row r="198" spans="2:18" x14ac:dyDescent="0.45">
      <c r="L198" s="80">
        <v>48.054692467202301</v>
      </c>
      <c r="M198" s="79">
        <f>ABS(FGE!O13-L198)</f>
        <v>0</v>
      </c>
      <c r="O198" s="8" t="s">
        <v>1959</v>
      </c>
      <c r="P198">
        <v>3</v>
      </c>
      <c r="Q198">
        <f>IF(ISBLANK(Inputs!D196),"",Inputs!D196)</f>
        <v>3</v>
      </c>
      <c r="R198">
        <f>IF(ISNUMBER(Inputs!D196),IF(ABS(Inputs!D196-P198)&lt;=0.000000000001*MAX(1,ABS(P198)),0,1),1)</f>
        <v>0</v>
      </c>
    </row>
    <row r="199" spans="2:18" x14ac:dyDescent="0.45">
      <c r="L199" s="80">
        <v>48.107417685530201</v>
      </c>
      <c r="M199" s="79">
        <f>ABS(FGE!P13-L199)</f>
        <v>0</v>
      </c>
      <c r="O199" s="8" t="s">
        <v>1960</v>
      </c>
      <c r="P199">
        <v>3</v>
      </c>
      <c r="Q199">
        <f>IF(ISBLANK(Inputs!E196),"",Inputs!E196)</f>
        <v>3</v>
      </c>
      <c r="R199">
        <f>IF(ISNUMBER(Inputs!E196),IF(ABS(Inputs!E196-P199)&lt;=0.000000000001*MAX(1,ABS(P199)),0,1),1)</f>
        <v>0</v>
      </c>
    </row>
    <row r="200" spans="2:18" x14ac:dyDescent="0.45">
      <c r="L200" s="80">
        <v>48.111791666666669</v>
      </c>
      <c r="M200" s="79">
        <f>ABS(FGE!Q13-L200)</f>
        <v>0</v>
      </c>
      <c r="O200" s="8" t="s">
        <v>1961</v>
      </c>
      <c r="P200">
        <v>12</v>
      </c>
      <c r="Q200">
        <f>IF(ISBLANK(Inputs!D197),"",Inputs!D197)</f>
        <v>12</v>
      </c>
      <c r="R200">
        <f>IF(ISNUMBER(Inputs!D197),IF(ABS(Inputs!D197-P200)&lt;=0.000000000001*MAX(1,ABS(P200)),0,1),1)</f>
        <v>0</v>
      </c>
    </row>
    <row r="201" spans="2:18" x14ac:dyDescent="0.45">
      <c r="L201" s="80">
        <v>47.661000000000001</v>
      </c>
      <c r="M201" s="79">
        <f>ABS(FGE!E14-L201)</f>
        <v>0</v>
      </c>
      <c r="O201" s="8" t="s">
        <v>1962</v>
      </c>
      <c r="P201">
        <v>12</v>
      </c>
      <c r="Q201">
        <f>IF(ISBLANK(Inputs!E197),"",Inputs!E197)</f>
        <v>12</v>
      </c>
      <c r="R201">
        <f>IF(ISNUMBER(Inputs!E197),IF(ABS(Inputs!E197-P201)&lt;=0.000000000001*MAX(1,ABS(P201)),0,1),1)</f>
        <v>0</v>
      </c>
    </row>
    <row r="202" spans="2:18" x14ac:dyDescent="0.45">
      <c r="L202" s="80">
        <v>47.665998835584539</v>
      </c>
      <c r="M202" s="79">
        <f>ABS(FGE!F14-L202)</f>
        <v>0</v>
      </c>
      <c r="O202" s="8" t="s">
        <v>1963</v>
      </c>
      <c r="P202">
        <v>0.31</v>
      </c>
      <c r="Q202">
        <f>IF(ISBLANK(Inputs!D198),"",Inputs!D198)</f>
        <v>0.31</v>
      </c>
      <c r="R202">
        <f>IF(ISNUMBER(Inputs!D198),IF(ABS(Inputs!D198-P202)&lt;=0.000000000001*MAX(1,ABS(P202)),0,1),1)</f>
        <v>0</v>
      </c>
    </row>
    <row r="203" spans="2:18" x14ac:dyDescent="0.45">
      <c r="L203" s="80">
        <v>47.718724053912439</v>
      </c>
      <c r="M203" s="79">
        <f>ABS(FGE!G14-L203)</f>
        <v>0</v>
      </c>
      <c r="O203" s="8" t="s">
        <v>1964</v>
      </c>
      <c r="P203">
        <v>0.31</v>
      </c>
      <c r="Q203">
        <f>IF(ISBLANK(Inputs!E198),"",Inputs!E198)</f>
        <v>0.31</v>
      </c>
      <c r="R203">
        <f>IF(ISNUMBER(Inputs!E198),IF(ABS(Inputs!E198-P203)&lt;=0.000000000001*MAX(1,ABS(P203)),0,1),1)</f>
        <v>0</v>
      </c>
    </row>
    <row r="204" spans="2:18" x14ac:dyDescent="0.45">
      <c r="L204" s="80">
        <v>47.771449272240339</v>
      </c>
      <c r="M204" s="79">
        <f>ABS(FGE!H14-L204)</f>
        <v>0</v>
      </c>
      <c r="O204" s="8" t="s">
        <v>1965</v>
      </c>
      <c r="P204">
        <v>5.9999999999999991</v>
      </c>
      <c r="Q204">
        <f>IF(ISBLANK(Inputs!D199),"",Inputs!D199)</f>
        <v>5.9999999999999991</v>
      </c>
      <c r="R204">
        <f>IF(ISNUMBER(Inputs!D199),IF(ABS(Inputs!D199-P204)&lt;=0.000000000001*MAX(1,ABS(P204)),0,1),1)</f>
        <v>0</v>
      </c>
    </row>
    <row r="205" spans="2:18" x14ac:dyDescent="0.45">
      <c r="L205" s="80">
        <v>47.82417449056824</v>
      </c>
      <c r="M205" s="79">
        <f>ABS(FGE!I14-L205)</f>
        <v>0</v>
      </c>
      <c r="O205" s="8" t="s">
        <v>1966</v>
      </c>
      <c r="P205">
        <v>5.9999999999999991</v>
      </c>
      <c r="Q205">
        <f>IF(ISBLANK(Inputs!E199),"",Inputs!E199)</f>
        <v>5.9999999999999991</v>
      </c>
      <c r="R205">
        <f>IF(ISNUMBER(Inputs!E199),IF(ABS(Inputs!E199-P205)&lt;=0.000000000001*MAX(1,ABS(P205)),0,1),1)</f>
        <v>0</v>
      </c>
    </row>
    <row r="206" spans="2:18" x14ac:dyDescent="0.45">
      <c r="L206" s="80">
        <v>47.876899708896133</v>
      </c>
      <c r="M206" s="79">
        <f>ABS(FGE!J14-L206)</f>
        <v>0</v>
      </c>
      <c r="O206" s="8" t="s">
        <v>1967</v>
      </c>
      <c r="P206">
        <v>30</v>
      </c>
      <c r="Q206">
        <f>IF(ISBLANK(Inputs!D200),"",Inputs!D200)</f>
        <v>30</v>
      </c>
      <c r="R206">
        <f>IF(ISNUMBER(Inputs!D200),IF(ABS(Inputs!D200-P206)&lt;=0.000000000001*MAX(1,ABS(P206)),0,1),1)</f>
        <v>0</v>
      </c>
    </row>
    <row r="207" spans="2:18" x14ac:dyDescent="0.45">
      <c r="L207" s="80">
        <v>47.929624927224033</v>
      </c>
      <c r="M207" s="79">
        <f>ABS(FGE!K14-L207)</f>
        <v>0</v>
      </c>
      <c r="O207" s="8" t="s">
        <v>1968</v>
      </c>
      <c r="P207">
        <v>30</v>
      </c>
      <c r="Q207">
        <f>IF(ISBLANK(Inputs!E200),"",Inputs!E200)</f>
        <v>30</v>
      </c>
      <c r="R207">
        <f>IF(ISNUMBER(Inputs!E200),IF(ABS(Inputs!E200-P207)&lt;=0.000000000001*MAX(1,ABS(P207)),0,1),1)</f>
        <v>0</v>
      </c>
    </row>
    <row r="208" spans="2:18" x14ac:dyDescent="0.45">
      <c r="L208" s="80">
        <v>47.982350145551933</v>
      </c>
      <c r="M208" s="79">
        <f>ABS(FGE!L14-L208)</f>
        <v>0</v>
      </c>
      <c r="O208" s="8" t="s">
        <v>1969</v>
      </c>
      <c r="P208">
        <v>0.31</v>
      </c>
      <c r="Q208">
        <f>IF(ISBLANK(Inputs!D201),"",Inputs!D201)</f>
        <v>0.31</v>
      </c>
      <c r="R208">
        <f>IF(ISNUMBER(Inputs!D201),IF(ABS(Inputs!D201-P208)&lt;=0.000000000001*MAX(1,ABS(P208)),0,1),1)</f>
        <v>0</v>
      </c>
    </row>
    <row r="209" spans="12:18" x14ac:dyDescent="0.45">
      <c r="L209" s="80">
        <v>48.035075363879827</v>
      </c>
      <c r="M209" s="79">
        <f>ABS(FGE!M14-L209)</f>
        <v>7.1054273576010019E-15</v>
      </c>
      <c r="O209" s="8" t="s">
        <v>1970</v>
      </c>
      <c r="P209">
        <v>0.31</v>
      </c>
      <c r="Q209">
        <f>IF(ISBLANK(Inputs!E201),"",Inputs!E201)</f>
        <v>0.31</v>
      </c>
      <c r="R209">
        <f>IF(ISNUMBER(Inputs!E201),IF(ABS(Inputs!E201-P209)&lt;=0.000000000001*MAX(1,ABS(P209)),0,1),1)</f>
        <v>0</v>
      </c>
    </row>
    <row r="210" spans="12:18" x14ac:dyDescent="0.45">
      <c r="L210" s="80">
        <v>48.087800582207727</v>
      </c>
      <c r="M210" s="79">
        <f>ABS(FGE!N14-L210)</f>
        <v>7.1054273576010019E-15</v>
      </c>
      <c r="O210" s="8" t="s">
        <v>1971</v>
      </c>
      <c r="P210">
        <v>9</v>
      </c>
      <c r="Q210">
        <f>IF(ISBLANK(Inputs!D202),"",Inputs!D202)</f>
        <v>9</v>
      </c>
      <c r="R210">
        <f>IF(ISNUMBER(Inputs!D202),IF(ABS(Inputs!D202-P210)&lt;=0.000000000001*MAX(1,ABS(P210)),0,1),1)</f>
        <v>0</v>
      </c>
    </row>
    <row r="211" spans="12:18" x14ac:dyDescent="0.45">
      <c r="L211" s="80">
        <v>48.140525800535627</v>
      </c>
      <c r="M211" s="79">
        <f>ABS(FGE!O14-L211)</f>
        <v>7.1054273576010019E-15</v>
      </c>
      <c r="O211" s="8" t="s">
        <v>1972</v>
      </c>
      <c r="P211">
        <v>9</v>
      </c>
      <c r="Q211">
        <f>IF(ISBLANK(Inputs!E202),"",Inputs!E202)</f>
        <v>9</v>
      </c>
      <c r="R211">
        <f>IF(ISNUMBER(Inputs!E202),IF(ABS(Inputs!E202-P211)&lt;=0.000000000001*MAX(1,ABS(P211)),0,1),1)</f>
        <v>0</v>
      </c>
    </row>
    <row r="212" spans="12:18" x14ac:dyDescent="0.45">
      <c r="L212" s="80">
        <v>48.193251018863528</v>
      </c>
      <c r="M212" s="79">
        <f>ABS(FGE!P14-L212)</f>
        <v>7.1054273576010019E-15</v>
      </c>
      <c r="O212" s="8" t="s">
        <v>1973</v>
      </c>
      <c r="P212">
        <v>20</v>
      </c>
      <c r="Q212">
        <f>IF(ISBLANK(Inputs!D203),"",Inputs!D203)</f>
        <v>20</v>
      </c>
      <c r="R212">
        <f>IF(ISNUMBER(Inputs!D203),IF(ABS(Inputs!D203-P212)&lt;=0.000000000001*MAX(1,ABS(P212)),0,1),1)</f>
        <v>0</v>
      </c>
    </row>
    <row r="213" spans="12:18" x14ac:dyDescent="0.45">
      <c r="L213" s="80">
        <v>48.197625000000002</v>
      </c>
      <c r="M213" s="79">
        <f>ABS(FGE!Q14-L213)</f>
        <v>0</v>
      </c>
      <c r="O213" s="8" t="s">
        <v>1974</v>
      </c>
      <c r="P213">
        <v>20</v>
      </c>
      <c r="Q213">
        <f>IF(ISBLANK(Inputs!E203),"",Inputs!E203)</f>
        <v>20</v>
      </c>
      <c r="R213">
        <f>IF(ISNUMBER(Inputs!E203),IF(ABS(Inputs!E203-P213)&lt;=0.000000000001*MAX(1,ABS(P213)),0,1),1)</f>
        <v>0</v>
      </c>
    </row>
    <row r="214" spans="12:18" x14ac:dyDescent="0.45">
      <c r="L214" s="80">
        <v>47.575166666666668</v>
      </c>
      <c r="M214" s="79">
        <f>ABS(FGE!E15-L214)</f>
        <v>0</v>
      </c>
      <c r="O214" s="8" t="s">
        <v>1975</v>
      </c>
      <c r="P214">
        <v>0.31</v>
      </c>
      <c r="Q214">
        <f>IF(ISBLANK(Inputs!D204),"",Inputs!D204)</f>
        <v>0.31</v>
      </c>
      <c r="R214">
        <f>IF(ISNUMBER(Inputs!D204),IF(ABS(Inputs!D204-P214)&lt;=0.000000000001*MAX(1,ABS(P214)),0,1),1)</f>
        <v>0</v>
      </c>
    </row>
    <row r="215" spans="12:18" x14ac:dyDescent="0.45">
      <c r="L215" s="80">
        <v>47.580165502251212</v>
      </c>
      <c r="M215" s="79">
        <f>ABS(FGE!F15-L215)</f>
        <v>7.1054273576010019E-15</v>
      </c>
      <c r="O215" s="8" t="s">
        <v>1976</v>
      </c>
      <c r="P215">
        <v>0.31</v>
      </c>
      <c r="Q215">
        <f>IF(ISBLANK(Inputs!E204),"",Inputs!E204)</f>
        <v>0.31</v>
      </c>
      <c r="R215">
        <f>IF(ISNUMBER(Inputs!E204),IF(ABS(Inputs!E204-P215)&lt;=0.000000000001*MAX(1,ABS(P215)),0,1),1)</f>
        <v>0</v>
      </c>
    </row>
    <row r="216" spans="12:18" x14ac:dyDescent="0.45">
      <c r="L216" s="80">
        <v>47.632890720579113</v>
      </c>
      <c r="M216" s="79">
        <f>ABS(FGE!G15-L216)</f>
        <v>7.1054273576010019E-15</v>
      </c>
      <c r="O216" s="8" t="s">
        <v>1977</v>
      </c>
      <c r="P216">
        <v>12</v>
      </c>
      <c r="Q216">
        <f>IF(ISBLANK(Inputs!D205),"",Inputs!D205)</f>
        <v>12</v>
      </c>
      <c r="R216">
        <f>IF(ISNUMBER(Inputs!D205),IF(ABS(Inputs!D205-P216)&lt;=0.000000000001*MAX(1,ABS(P216)),0,1),1)</f>
        <v>0</v>
      </c>
    </row>
    <row r="217" spans="12:18" x14ac:dyDescent="0.45">
      <c r="L217" s="80">
        <v>47.685615938907013</v>
      </c>
      <c r="M217" s="79">
        <f>ABS(FGE!H15-L217)</f>
        <v>7.1054273576010019E-15</v>
      </c>
      <c r="O217" s="8" t="s">
        <v>1978</v>
      </c>
      <c r="P217">
        <v>12</v>
      </c>
      <c r="Q217">
        <f>IF(ISBLANK(Inputs!E205),"",Inputs!E205)</f>
        <v>12</v>
      </c>
      <c r="R217">
        <f>IF(ISNUMBER(Inputs!E205),IF(ABS(Inputs!E205-P217)&lt;=0.000000000001*MAX(1,ABS(P217)),0,1),1)</f>
        <v>0</v>
      </c>
    </row>
    <row r="218" spans="12:18" x14ac:dyDescent="0.45">
      <c r="L218" s="80">
        <v>47.738341157234913</v>
      </c>
      <c r="M218" s="79">
        <f>ABS(FGE!I15-L218)</f>
        <v>7.1054273576010019E-15</v>
      </c>
      <c r="O218" s="8" t="s">
        <v>1979</v>
      </c>
      <c r="P218">
        <v>5</v>
      </c>
      <c r="Q218">
        <f>IF(ISBLANK(Inputs!D206),"",Inputs!D206)</f>
        <v>5</v>
      </c>
      <c r="R218">
        <f>IF(ISNUMBER(Inputs!D206),IF(ABS(Inputs!D206-P218)&lt;=0.000000000001*MAX(1,ABS(P218)),0,1),1)</f>
        <v>0</v>
      </c>
    </row>
    <row r="219" spans="12:18" x14ac:dyDescent="0.45">
      <c r="L219" s="80">
        <v>47.791066375562799</v>
      </c>
      <c r="M219" s="79">
        <f>ABS(FGE!J15-L219)</f>
        <v>0</v>
      </c>
      <c r="O219" s="8" t="s">
        <v>1980</v>
      </c>
      <c r="P219">
        <v>5</v>
      </c>
      <c r="Q219">
        <f>IF(ISBLANK(Inputs!E206),"",Inputs!E206)</f>
        <v>5</v>
      </c>
      <c r="R219">
        <f>IF(ISNUMBER(Inputs!E206),IF(ABS(Inputs!E206-P219)&lt;=0.000000000001*MAX(1,ABS(P219)),0,1),1)</f>
        <v>0</v>
      </c>
    </row>
    <row r="220" spans="12:18" x14ac:dyDescent="0.45">
      <c r="L220" s="80">
        <v>47.8437915938907</v>
      </c>
      <c r="M220" s="79">
        <f>ABS(FGE!K15-L220)</f>
        <v>0</v>
      </c>
      <c r="O220" s="8" t="s">
        <v>1981</v>
      </c>
      <c r="P220">
        <v>0.31</v>
      </c>
      <c r="Q220">
        <f>IF(ISBLANK(Inputs!D207),"",Inputs!D207)</f>
        <v>0.31</v>
      </c>
      <c r="R220">
        <f>IF(ISNUMBER(Inputs!D207),IF(ABS(Inputs!D207-P220)&lt;=0.000000000001*MAX(1,ABS(P220)),0,1),1)</f>
        <v>0</v>
      </c>
    </row>
    <row r="221" spans="12:18" x14ac:dyDescent="0.45">
      <c r="L221" s="80">
        <v>47.8965168122186</v>
      </c>
      <c r="M221" s="79">
        <f>ABS(FGE!L15-L221)</f>
        <v>0</v>
      </c>
      <c r="O221" s="8" t="s">
        <v>1982</v>
      </c>
      <c r="P221">
        <v>0.31</v>
      </c>
      <c r="Q221">
        <f>IF(ISBLANK(Inputs!E207),"",Inputs!E207)</f>
        <v>0.31</v>
      </c>
      <c r="R221">
        <f>IF(ISNUMBER(Inputs!E207),IF(ABS(Inputs!E207-P221)&lt;=0.000000000001*MAX(1,ABS(P221)),0,1),1)</f>
        <v>0</v>
      </c>
    </row>
    <row r="222" spans="12:18" x14ac:dyDescent="0.45">
      <c r="L222" s="80">
        <v>47.9492420305465</v>
      </c>
      <c r="M222" s="79">
        <f>ABS(FGE!M15-L222)</f>
        <v>0</v>
      </c>
      <c r="O222" s="8" t="s">
        <v>1983</v>
      </c>
      <c r="P222">
        <v>18</v>
      </c>
      <c r="Q222">
        <f>IF(ISBLANK(Inputs!D208),"",Inputs!D208)</f>
        <v>18</v>
      </c>
      <c r="R222">
        <f>IF(ISNUMBER(Inputs!D208),IF(ABS(Inputs!D208-P222)&lt;=0.000000000001*MAX(1,ABS(P222)),0,1),1)</f>
        <v>0</v>
      </c>
    </row>
    <row r="223" spans="12:18" x14ac:dyDescent="0.45">
      <c r="L223" s="80">
        <v>48.001967248874401</v>
      </c>
      <c r="M223" s="79">
        <f>ABS(FGE!N15-L223)</f>
        <v>0</v>
      </c>
      <c r="O223" s="8" t="s">
        <v>1984</v>
      </c>
      <c r="P223">
        <v>18</v>
      </c>
      <c r="Q223">
        <f>IF(ISBLANK(Inputs!E208),"",Inputs!E208)</f>
        <v>18</v>
      </c>
      <c r="R223">
        <f>IF(ISNUMBER(Inputs!E208),IF(ABS(Inputs!E208-P223)&lt;=0.000000000001*MAX(1,ABS(P223)),0,1),1)</f>
        <v>0</v>
      </c>
    </row>
    <row r="224" spans="12:18" x14ac:dyDescent="0.45">
      <c r="L224" s="80">
        <v>48.054692467202301</v>
      </c>
      <c r="M224" s="79">
        <f>ABS(FGE!O15-L224)</f>
        <v>0</v>
      </c>
      <c r="O224" s="8" t="s">
        <v>1985</v>
      </c>
      <c r="Q224" t="str">
        <f>IF(ISBLANK(Inputs!D209),"",Inputs!D209)</f>
        <v/>
      </c>
      <c r="R224">
        <f>IF(ISBLANK(Inputs!D209),0,1)</f>
        <v>0</v>
      </c>
    </row>
    <row r="225" spans="12:18" x14ac:dyDescent="0.45">
      <c r="L225" s="80">
        <v>48.107417685530201</v>
      </c>
      <c r="M225" s="79">
        <f>ABS(FGE!P15-L225)</f>
        <v>0</v>
      </c>
      <c r="O225" s="8" t="s">
        <v>1986</v>
      </c>
      <c r="Q225" t="str">
        <f>IF(ISBLANK(Inputs!E209),"",Inputs!E209)</f>
        <v/>
      </c>
      <c r="R225">
        <f>IF(ISBLANK(Inputs!E209),0,1)</f>
        <v>0</v>
      </c>
    </row>
    <row r="226" spans="12:18" x14ac:dyDescent="0.45">
      <c r="L226" s="80">
        <v>48.111791666666669</v>
      </c>
      <c r="M226" s="79">
        <f>ABS(FGE!Q15-L226)</f>
        <v>0</v>
      </c>
      <c r="O226" s="8" t="s">
        <v>1987</v>
      </c>
      <c r="P226">
        <v>0.31</v>
      </c>
      <c r="Q226">
        <f>IF(ISBLANK(Inputs!D210),"",Inputs!D210)</f>
        <v>0.31</v>
      </c>
      <c r="R226">
        <f>IF(ISNUMBER(Inputs!D210),IF(ABS(Inputs!D210-P226)&lt;=0.000000000001*MAX(1,ABS(P226)),0,1),1)</f>
        <v>0</v>
      </c>
    </row>
    <row r="227" spans="12:18" x14ac:dyDescent="0.45">
      <c r="L227" s="80">
        <v>47.525166666666671</v>
      </c>
      <c r="M227" s="79">
        <f>ABS(FGE!E16-L227)</f>
        <v>0</v>
      </c>
      <c r="O227" s="8" t="s">
        <v>1988</v>
      </c>
      <c r="P227">
        <v>0.31</v>
      </c>
      <c r="Q227">
        <f>IF(ISBLANK(Inputs!E210),"",Inputs!E210)</f>
        <v>0.31</v>
      </c>
      <c r="R227">
        <f>IF(ISNUMBER(Inputs!E210),IF(ABS(Inputs!E210-P227)&lt;=0.000000000001*MAX(1,ABS(P227)),0,1),1)</f>
        <v>0</v>
      </c>
    </row>
    <row r="228" spans="12:18" x14ac:dyDescent="0.45">
      <c r="L228" s="80">
        <v>47.530165502251208</v>
      </c>
      <c r="M228" s="79">
        <f>ABS(FGE!F16-L228)</f>
        <v>0</v>
      </c>
      <c r="O228" s="8" t="s">
        <v>1989</v>
      </c>
      <c r="P228" t="s">
        <v>638</v>
      </c>
      <c r="Q228" t="str">
        <f>IF(ISBLANK(Inputs!D216),"",Inputs!D216)</f>
        <v>VI</v>
      </c>
      <c r="R228">
        <f>IF(ISBLANK(Inputs!D216),1,IF(EXACT(Inputs!D216&amp;"",P228&amp;""),0,1))</f>
        <v>0</v>
      </c>
    </row>
    <row r="229" spans="12:18" x14ac:dyDescent="0.45">
      <c r="L229" s="80">
        <v>47.582890720579108</v>
      </c>
      <c r="M229" s="79">
        <f>ABS(FGE!G16-L229)</f>
        <v>0</v>
      </c>
      <c r="O229" s="8" t="s">
        <v>1990</v>
      </c>
      <c r="P229">
        <v>1</v>
      </c>
      <c r="Q229">
        <f>IF(ISBLANK(Inputs!D217),"",Inputs!D217)</f>
        <v>1</v>
      </c>
      <c r="R229">
        <f>IF(ISNUMBER(Inputs!D217),IF(ABS(Inputs!D217-P229)&lt;=0.000000000001*MAX(1,ABS(P229)),0,1),1)</f>
        <v>0</v>
      </c>
    </row>
    <row r="230" spans="12:18" x14ac:dyDescent="0.45">
      <c r="L230" s="80">
        <v>47.635615938907009</v>
      </c>
      <c r="M230" s="79">
        <f>ABS(FGE!H16-L230)</f>
        <v>0</v>
      </c>
      <c r="O230" s="8" t="s">
        <v>1991</v>
      </c>
      <c r="P230">
        <v>1</v>
      </c>
      <c r="Q230">
        <f>IF(ISBLANK(Inputs!D218),"",Inputs!D218)</f>
        <v>1</v>
      </c>
      <c r="R230">
        <f>IF(ISNUMBER(Inputs!D218),IF(ABS(Inputs!D218-P230)&lt;=0.000000000001*MAX(1,ABS(P230)),0,1),1)</f>
        <v>0</v>
      </c>
    </row>
    <row r="231" spans="12:18" x14ac:dyDescent="0.45">
      <c r="L231" s="80">
        <v>47.688341157234909</v>
      </c>
      <c r="M231" s="79">
        <f>ABS(FGE!I16-L231)</f>
        <v>0</v>
      </c>
      <c r="O231" s="8" t="s">
        <v>1992</v>
      </c>
      <c r="P231" t="s">
        <v>648</v>
      </c>
      <c r="Q231" t="str">
        <f>IF(ISBLANK(Inputs!D219),"",Inputs!D219)</f>
        <v>F</v>
      </c>
      <c r="R231">
        <f>IF(ISBLANK(Inputs!D219),1,IF(EXACT(Inputs!D219&amp;"",P231&amp;""),0,1))</f>
        <v>0</v>
      </c>
    </row>
    <row r="232" spans="12:18" x14ac:dyDescent="0.45">
      <c r="L232" s="80">
        <v>47.741066375562802</v>
      </c>
      <c r="M232" s="79">
        <f>ABS(FGE!J16-L232)</f>
        <v>0</v>
      </c>
      <c r="O232" s="8" t="s">
        <v>1993</v>
      </c>
      <c r="P232">
        <v>0.02</v>
      </c>
      <c r="Q232">
        <f>IF(ISBLANK(Inputs!D220),"",Inputs!D220)</f>
        <v>0.02</v>
      </c>
      <c r="R232">
        <f>IF(ISNUMBER(Inputs!D220),IF(ABS(Inputs!D220-P232)&lt;=0.000000000001*MAX(1,ABS(P232)),0,1),1)</f>
        <v>0</v>
      </c>
    </row>
    <row r="233" spans="12:18" x14ac:dyDescent="0.45">
      <c r="L233" s="80">
        <v>47.793791593890703</v>
      </c>
      <c r="M233" s="79">
        <f>ABS(FGE!K16-L233)</f>
        <v>0</v>
      </c>
      <c r="O233" s="8" t="s">
        <v>1994</v>
      </c>
      <c r="P233">
        <v>1</v>
      </c>
      <c r="Q233">
        <f>IF(ISBLANK(Inputs!D221),"",Inputs!D221)</f>
        <v>1</v>
      </c>
      <c r="R233">
        <f>IF(ISNUMBER(Inputs!D221),IF(ABS(Inputs!D221-P233)&lt;=0.000000000001*MAX(1,ABS(P233)),0,1),1)</f>
        <v>0</v>
      </c>
    </row>
    <row r="234" spans="12:18" x14ac:dyDescent="0.45">
      <c r="L234" s="80">
        <v>47.846516812218603</v>
      </c>
      <c r="M234" s="79">
        <f>ABS(FGE!L16-L234)</f>
        <v>0</v>
      </c>
      <c r="O234" s="8" t="s">
        <v>1995</v>
      </c>
      <c r="P234">
        <v>806.58</v>
      </c>
      <c r="Q234">
        <f>IF(ISBLANK(Inputs!D222),"",Inputs!D222)</f>
        <v>806.58</v>
      </c>
      <c r="R234">
        <f>IF(ISNUMBER(Inputs!D222),IF(ABS(Inputs!D222-P234)&lt;=0.000000000001*MAX(1,ABS(P234)),0,1),1)</f>
        <v>0</v>
      </c>
    </row>
    <row r="235" spans="12:18" x14ac:dyDescent="0.45">
      <c r="L235" s="80">
        <v>47.899242030546503</v>
      </c>
      <c r="M235" s="79">
        <f>ABS(FGE!M16-L235)</f>
        <v>0</v>
      </c>
      <c r="O235" s="8" t="s">
        <v>1996</v>
      </c>
      <c r="P235">
        <v>17.5</v>
      </c>
      <c r="Q235">
        <f>IF(ISBLANK(Inputs!D224),"",Inputs!D224)</f>
        <v>17.5</v>
      </c>
      <c r="R235">
        <f>IF(ISNUMBER(Inputs!D224),IF(ABS(Inputs!D224-P235)&lt;=0.000000000001*MAX(1,ABS(P235)),0,1),1)</f>
        <v>0</v>
      </c>
    </row>
    <row r="236" spans="12:18" x14ac:dyDescent="0.45">
      <c r="L236" s="80">
        <v>47.951967248874404</v>
      </c>
      <c r="M236" s="79">
        <f>ABS(FGE!N16-L236)</f>
        <v>0</v>
      </c>
      <c r="O236" s="8" t="s">
        <v>1997</v>
      </c>
      <c r="P236">
        <v>8.5</v>
      </c>
      <c r="Q236">
        <f>IF(ISBLANK(Inputs!D225),"",Inputs!D225)</f>
        <v>8.5</v>
      </c>
      <c r="R236">
        <f>IF(ISNUMBER(Inputs!D225),IF(ABS(Inputs!D225-P236)&lt;=0.000000000001*MAX(1,ABS(P236)),0,1),1)</f>
        <v>0</v>
      </c>
    </row>
    <row r="237" spans="12:18" x14ac:dyDescent="0.45">
      <c r="L237" s="80">
        <v>48.004692467202297</v>
      </c>
      <c r="M237" s="79">
        <f>ABS(FGE!O16-L237)</f>
        <v>7.1054273576010019E-15</v>
      </c>
      <c r="O237" s="8" t="s">
        <v>1998</v>
      </c>
      <c r="P237">
        <v>15</v>
      </c>
      <c r="Q237">
        <f>IF(ISBLANK(Inputs!D226),"",Inputs!D226)</f>
        <v>15</v>
      </c>
      <c r="R237">
        <f>IF(ISNUMBER(Inputs!D226),IF(ABS(Inputs!D226-P237)&lt;=0.000000000001*MAX(1,ABS(P237)),0,1),1)</f>
        <v>0</v>
      </c>
    </row>
    <row r="238" spans="12:18" x14ac:dyDescent="0.45">
      <c r="L238" s="80">
        <v>48.057417685530197</v>
      </c>
      <c r="M238" s="79">
        <f>ABS(FGE!P16-L238)</f>
        <v>7.1054273576010019E-15</v>
      </c>
      <c r="O238" s="8" t="s">
        <v>1999</v>
      </c>
      <c r="P238">
        <v>44</v>
      </c>
      <c r="Q238">
        <f>IF(ISBLANK(Inputs!D227),"",Inputs!D227)</f>
        <v>44</v>
      </c>
      <c r="R238">
        <f>IF(ISNUMBER(Inputs!D227),IF(ABS(Inputs!D227-P238)&lt;=0.000000000001*MAX(1,ABS(P238)),0,1),1)</f>
        <v>0</v>
      </c>
    </row>
    <row r="239" spans="12:18" x14ac:dyDescent="0.45">
      <c r="L239" s="80">
        <v>48.061791666666672</v>
      </c>
      <c r="M239" s="79">
        <f>ABS(FGE!Q16-L239)</f>
        <v>0</v>
      </c>
      <c r="O239" s="8" t="s">
        <v>2000</v>
      </c>
      <c r="P239">
        <v>18</v>
      </c>
      <c r="Q239">
        <f>IF(ISBLANK(Inputs!D228),"",Inputs!D228)</f>
        <v>18</v>
      </c>
      <c r="R239">
        <f>IF(ISNUMBER(Inputs!D228),IF(ABS(Inputs!D228-P239)&lt;=0.000000000001*MAX(1,ABS(P239)),0,1),1)</f>
        <v>0</v>
      </c>
    </row>
    <row r="240" spans="12:18" x14ac:dyDescent="0.45">
      <c r="L240" s="80">
        <v>48.061791666666672</v>
      </c>
      <c r="M240" s="79">
        <f>ABS(FGE!E25-L240)</f>
        <v>0</v>
      </c>
      <c r="O240" s="8" t="s">
        <v>2001</v>
      </c>
      <c r="P240">
        <v>6</v>
      </c>
      <c r="Q240">
        <f>IF(ISBLANK(Inputs!D229),"",Inputs!D229)</f>
        <v>6</v>
      </c>
      <c r="R240">
        <f>IF(ISNUMBER(Inputs!D229),IF(ABS(Inputs!D229-P240)&lt;=0.000000000001*MAX(1,ABS(P240)),0,1),1)</f>
        <v>0</v>
      </c>
    </row>
    <row r="241" spans="12:18" x14ac:dyDescent="0.45">
      <c r="L241" s="80">
        <v>48.057415624006993</v>
      </c>
      <c r="M241" s="79">
        <f>ABS(FGE!F25-L241)</f>
        <v>0</v>
      </c>
      <c r="O241" s="8" t="s">
        <v>2002</v>
      </c>
      <c r="P241" t="s">
        <v>682</v>
      </c>
      <c r="Q241" t="str">
        <f>IF(ISBLANK(Inputs!B233),"",Inputs!B233)</f>
        <v>D</v>
      </c>
      <c r="R241">
        <f>IF(ISBLANK(Inputs!B233),1,IF(EXACT(Inputs!B233&amp;"",P241&amp;""),0,1))</f>
        <v>0</v>
      </c>
    </row>
    <row r="242" spans="12:18" x14ac:dyDescent="0.45">
      <c r="L242" s="80">
        <v>48.005890847434067</v>
      </c>
      <c r="M242" s="79">
        <f>ABS(FGE!G25-L242)</f>
        <v>0</v>
      </c>
      <c r="O242" s="8" t="s">
        <v>2003</v>
      </c>
      <c r="P242">
        <v>8</v>
      </c>
      <c r="Q242">
        <f>IF(ISBLANK(Inputs!C233),"",Inputs!C233)</f>
        <v>8</v>
      </c>
      <c r="R242">
        <f>IF(ISNUMBER(Inputs!C233),IF(ABS(Inputs!C233-P242)&lt;=0.000000000001*MAX(1,ABS(P242)),0,1),1)</f>
        <v>0</v>
      </c>
    </row>
    <row r="243" spans="12:18" x14ac:dyDescent="0.45">
      <c r="L243" s="80">
        <v>47.954366070861141</v>
      </c>
      <c r="M243" s="79">
        <f>ABS(FGE!H25-L243)</f>
        <v>0</v>
      </c>
      <c r="O243" s="8" t="s">
        <v>2004</v>
      </c>
      <c r="P243">
        <v>32</v>
      </c>
      <c r="Q243">
        <f>IF(ISBLANK(Inputs!D233),"",Inputs!D233)</f>
        <v>32</v>
      </c>
      <c r="R243">
        <f>IF(ISNUMBER(Inputs!D233),IF(ABS(Inputs!D233-P243)&lt;=0.000000000001*MAX(1,ABS(P243)),0,1),1)</f>
        <v>0</v>
      </c>
    </row>
    <row r="244" spans="12:18" x14ac:dyDescent="0.45">
      <c r="L244" s="80">
        <v>47.902841294288223</v>
      </c>
      <c r="M244" s="79">
        <f>ABS(FGE!I25-L244)</f>
        <v>7.1054273576010019E-15</v>
      </c>
      <c r="O244" s="8" t="s">
        <v>2005</v>
      </c>
      <c r="P244">
        <v>1.90625</v>
      </c>
      <c r="Q244">
        <f>IF(ISBLANK(Inputs!E233),"",Inputs!E233)</f>
        <v>1.90625</v>
      </c>
      <c r="R244">
        <f>IF(ISNUMBER(Inputs!E233),IF(ABS(Inputs!E233-P244)&lt;=0.000000000001*MAX(1,ABS(P244)),0,1),1)</f>
        <v>0</v>
      </c>
    </row>
    <row r="245" spans="12:18" x14ac:dyDescent="0.45">
      <c r="L245" s="80">
        <v>47.85131651771529</v>
      </c>
      <c r="M245" s="79">
        <f>ABS(FGE!J25-L245)</f>
        <v>0</v>
      </c>
      <c r="O245" s="8" t="s">
        <v>2006</v>
      </c>
      <c r="P245" t="s">
        <v>683</v>
      </c>
      <c r="Q245" t="str">
        <f>IF(ISBLANK(Inputs!B234),"",Inputs!B234)</f>
        <v>E</v>
      </c>
      <c r="R245">
        <f>IF(ISBLANK(Inputs!B234),1,IF(EXACT(Inputs!B234&amp;"",P245&amp;""),0,1))</f>
        <v>0</v>
      </c>
    </row>
    <row r="246" spans="12:18" x14ac:dyDescent="0.45">
      <c r="L246" s="80">
        <v>47.799791741142357</v>
      </c>
      <c r="M246" s="79">
        <f>ABS(FGE!K25-L246)</f>
        <v>7.1054273576010019E-15</v>
      </c>
      <c r="O246" s="8" t="s">
        <v>2007</v>
      </c>
      <c r="P246">
        <v>10</v>
      </c>
      <c r="Q246">
        <f>IF(ISBLANK(Inputs!C234),"",Inputs!C234)</f>
        <v>10</v>
      </c>
      <c r="R246">
        <f>IF(ISNUMBER(Inputs!C234),IF(ABS(Inputs!C234-P246)&lt;=0.000000000001*MAX(1,ABS(P246)),0,1),1)</f>
        <v>0</v>
      </c>
    </row>
    <row r="247" spans="12:18" x14ac:dyDescent="0.45">
      <c r="L247" s="80">
        <v>47.748266964569439</v>
      </c>
      <c r="M247" s="79">
        <f>ABS(FGE!L25-L247)</f>
        <v>0</v>
      </c>
      <c r="O247" s="8" t="s">
        <v>2008</v>
      </c>
      <c r="P247">
        <v>32</v>
      </c>
      <c r="Q247">
        <f>IF(ISBLANK(Inputs!D234),"",Inputs!D234)</f>
        <v>32</v>
      </c>
      <c r="R247">
        <f>IF(ISNUMBER(Inputs!D234),IF(ABS(Inputs!D234-P247)&lt;=0.000000000001*MAX(1,ABS(P247)),0,1),1)</f>
        <v>0</v>
      </c>
    </row>
    <row r="248" spans="12:18" x14ac:dyDescent="0.45">
      <c r="L248" s="80">
        <v>47.696742187996513</v>
      </c>
      <c r="M248" s="79">
        <f>ABS(FGE!M25-L248)</f>
        <v>7.1054273576010019E-15</v>
      </c>
      <c r="O248" s="8" t="s">
        <v>2009</v>
      </c>
      <c r="P248">
        <v>1.90625</v>
      </c>
      <c r="Q248">
        <f>IF(ISBLANK(Inputs!E234),"",Inputs!E234)</f>
        <v>1.90625</v>
      </c>
      <c r="R248">
        <f>IF(ISNUMBER(Inputs!E234),IF(ABS(Inputs!E234-P248)&lt;=0.000000000001*MAX(1,ABS(P248)),0,1),1)</f>
        <v>0</v>
      </c>
    </row>
    <row r="249" spans="12:18" x14ac:dyDescent="0.45">
      <c r="L249" s="80">
        <v>47.64521741142358</v>
      </c>
      <c r="M249" s="79">
        <f>ABS(FGE!N25-L249)</f>
        <v>0</v>
      </c>
      <c r="O249" s="8" t="s">
        <v>2010</v>
      </c>
      <c r="P249" t="s">
        <v>648</v>
      </c>
      <c r="Q249" t="str">
        <f>IF(ISBLANK(Inputs!B235),"",Inputs!B235)</f>
        <v>F</v>
      </c>
      <c r="R249">
        <f>IF(ISBLANK(Inputs!B235),1,IF(EXACT(Inputs!B235&amp;"",P249&amp;""),0,1))</f>
        <v>0</v>
      </c>
    </row>
    <row r="250" spans="12:18" x14ac:dyDescent="0.45">
      <c r="L250" s="80">
        <v>47.593692634850647</v>
      </c>
      <c r="M250" s="79">
        <f>ABS(FGE!O25-L250)</f>
        <v>7.1054273576010019E-15</v>
      </c>
      <c r="O250" s="8" t="s">
        <v>2011</v>
      </c>
      <c r="P250">
        <v>10</v>
      </c>
      <c r="Q250">
        <f>IF(ISBLANK(Inputs!C235),"",Inputs!C235)</f>
        <v>10</v>
      </c>
      <c r="R250">
        <f>IF(ISNUMBER(Inputs!C235),IF(ABS(Inputs!C235-P250)&lt;=0.000000000001*MAX(1,ABS(P250)),0,1),1)</f>
        <v>0</v>
      </c>
    </row>
    <row r="251" spans="12:18" x14ac:dyDescent="0.45">
      <c r="L251" s="80">
        <v>47.542167858277729</v>
      </c>
      <c r="M251" s="79">
        <f>ABS(FGE!P25-L251)</f>
        <v>0</v>
      </c>
      <c r="O251" s="8" t="s">
        <v>2012</v>
      </c>
      <c r="P251">
        <v>32</v>
      </c>
      <c r="Q251">
        <f>IF(ISBLANK(Inputs!D235),"",Inputs!D235)</f>
        <v>32</v>
      </c>
      <c r="R251">
        <f>IF(ISNUMBER(Inputs!D235),IF(ABS(Inputs!D235-P251)&lt;=0.000000000001*MAX(1,ABS(P251)),0,1),1)</f>
        <v>0</v>
      </c>
    </row>
    <row r="252" spans="12:18" x14ac:dyDescent="0.45">
      <c r="L252" s="80">
        <v>47.537166666666671</v>
      </c>
      <c r="M252" s="79">
        <f>ABS(FGE!Q25-L252)</f>
        <v>0</v>
      </c>
      <c r="O252" s="8" t="s">
        <v>2013</v>
      </c>
      <c r="P252">
        <v>2.5625</v>
      </c>
      <c r="Q252">
        <f>IF(ISBLANK(Inputs!E235),"",Inputs!E235)</f>
        <v>2.5625</v>
      </c>
      <c r="R252">
        <f>IF(ISNUMBER(Inputs!E235),IF(ABS(Inputs!E235-P252)&lt;=0.000000000001*MAX(1,ABS(P252)),0,1),1)</f>
        <v>0</v>
      </c>
    </row>
    <row r="253" spans="12:18" x14ac:dyDescent="0.45">
      <c r="L253" s="80">
        <v>48.111791666666669</v>
      </c>
      <c r="M253" s="79">
        <f>ABS(FGE!E26-L253)</f>
        <v>0</v>
      </c>
      <c r="O253" s="8" t="s">
        <v>2014</v>
      </c>
      <c r="P253" t="s">
        <v>684</v>
      </c>
      <c r="Q253" t="str">
        <f>IF(ISBLANK(Inputs!B236),"",Inputs!B236)</f>
        <v>G</v>
      </c>
      <c r="R253">
        <f>IF(ISBLANK(Inputs!B236),1,IF(EXACT(Inputs!B236&amp;"",P253&amp;""),0,1))</f>
        <v>0</v>
      </c>
    </row>
    <row r="254" spans="12:18" x14ac:dyDescent="0.45">
      <c r="L254" s="80">
        <v>48.10741562400699</v>
      </c>
      <c r="M254" s="79">
        <f>ABS(FGE!F26-L254)</f>
        <v>0</v>
      </c>
      <c r="O254" s="8" t="s">
        <v>2015</v>
      </c>
      <c r="P254">
        <v>10</v>
      </c>
      <c r="Q254">
        <f>IF(ISBLANK(Inputs!C236),"",Inputs!C236)</f>
        <v>10</v>
      </c>
      <c r="R254">
        <f>IF(ISNUMBER(Inputs!C236),IF(ABS(Inputs!C236-P254)&lt;=0.000000000001*MAX(1,ABS(P254)),0,1),1)</f>
        <v>0</v>
      </c>
    </row>
    <row r="255" spans="12:18" x14ac:dyDescent="0.45">
      <c r="L255" s="80">
        <v>48.055890847434057</v>
      </c>
      <c r="M255" s="79">
        <f>ABS(FGE!G26-L255)</f>
        <v>7.1054273576010019E-15</v>
      </c>
      <c r="O255" s="8" t="s">
        <v>2016</v>
      </c>
      <c r="P255">
        <v>32</v>
      </c>
      <c r="Q255">
        <f>IF(ISBLANK(Inputs!D236),"",Inputs!D236)</f>
        <v>32</v>
      </c>
      <c r="R255">
        <f>IF(ISNUMBER(Inputs!D236),IF(ABS(Inputs!D236-P255)&lt;=0.000000000001*MAX(1,ABS(P255)),0,1),1)</f>
        <v>0</v>
      </c>
    </row>
    <row r="256" spans="12:18" x14ac:dyDescent="0.45">
      <c r="L256" s="80">
        <v>48.004366070861138</v>
      </c>
      <c r="M256" s="79">
        <f>ABS(FGE!H26-L256)</f>
        <v>0</v>
      </c>
      <c r="O256" s="8" t="s">
        <v>2017</v>
      </c>
      <c r="P256">
        <v>2.5625</v>
      </c>
      <c r="Q256">
        <f>IF(ISBLANK(Inputs!E236),"",Inputs!E236)</f>
        <v>2.5625</v>
      </c>
      <c r="R256">
        <f>IF(ISNUMBER(Inputs!E236),IF(ABS(Inputs!E236-P256)&lt;=0.000000000001*MAX(1,ABS(P256)),0,1),1)</f>
        <v>0</v>
      </c>
    </row>
    <row r="257" spans="12:18" x14ac:dyDescent="0.45">
      <c r="L257" s="80">
        <v>47.952841294288213</v>
      </c>
      <c r="M257" s="79">
        <f>ABS(FGE!I26-L257)</f>
        <v>0</v>
      </c>
      <c r="O257" s="8" t="s">
        <v>2018</v>
      </c>
      <c r="P257" t="s">
        <v>512</v>
      </c>
      <c r="Q257" t="str">
        <f>IF(ISBLANK(Inputs!B237),"",Inputs!B237)</f>
        <v>H</v>
      </c>
      <c r="R257">
        <f>IF(ISBLANK(Inputs!B237),1,IF(EXACT(Inputs!B237&amp;"",P257&amp;""),0,1))</f>
        <v>0</v>
      </c>
    </row>
    <row r="258" spans="12:18" x14ac:dyDescent="0.45">
      <c r="L258" s="80">
        <v>47.901316517715287</v>
      </c>
      <c r="M258" s="79">
        <f>ABS(FGE!J26-L258)</f>
        <v>0</v>
      </c>
      <c r="O258" s="8" t="s">
        <v>2019</v>
      </c>
      <c r="P258">
        <v>10</v>
      </c>
      <c r="Q258">
        <f>IF(ISBLANK(Inputs!C237),"",Inputs!C237)</f>
        <v>10</v>
      </c>
      <c r="R258">
        <f>IF(ISNUMBER(Inputs!C237),IF(ABS(Inputs!C237-P258)&lt;=0.000000000001*MAX(1,ABS(P258)),0,1),1)</f>
        <v>0</v>
      </c>
    </row>
    <row r="259" spans="12:18" x14ac:dyDescent="0.45">
      <c r="L259" s="80">
        <v>47.849791741142361</v>
      </c>
      <c r="M259" s="79">
        <f>ABS(FGE!K26-L259)</f>
        <v>0</v>
      </c>
      <c r="O259" s="8" t="s">
        <v>2020</v>
      </c>
      <c r="P259">
        <v>32</v>
      </c>
      <c r="Q259">
        <f>IF(ISBLANK(Inputs!D237),"",Inputs!D237)</f>
        <v>32</v>
      </c>
      <c r="R259">
        <f>IF(ISNUMBER(Inputs!D237),IF(ABS(Inputs!D237-P259)&lt;=0.000000000001*MAX(1,ABS(P259)),0,1),1)</f>
        <v>0</v>
      </c>
    </row>
    <row r="260" spans="12:18" x14ac:dyDescent="0.45">
      <c r="L260" s="80">
        <v>47.798266964569443</v>
      </c>
      <c r="M260" s="79">
        <f>ABS(FGE!L26-L260)</f>
        <v>7.1054273576010019E-15</v>
      </c>
      <c r="O260" s="8" t="s">
        <v>2021</v>
      </c>
      <c r="P260">
        <v>3.1875</v>
      </c>
      <c r="Q260">
        <f>IF(ISBLANK(Inputs!E237),"",Inputs!E237)</f>
        <v>3.1875</v>
      </c>
      <c r="R260">
        <f>IF(ISNUMBER(Inputs!E237),IF(ABS(Inputs!E237-P260)&lt;=0.000000000001*MAX(1,ABS(P260)),0,1),1)</f>
        <v>0</v>
      </c>
    </row>
    <row r="261" spans="12:18" x14ac:dyDescent="0.45">
      <c r="L261" s="80">
        <v>47.746742187996503</v>
      </c>
      <c r="M261" s="79">
        <f>ABS(FGE!M26-L261)</f>
        <v>0</v>
      </c>
      <c r="O261" s="8" t="s">
        <v>2022</v>
      </c>
      <c r="P261" t="s">
        <v>685</v>
      </c>
      <c r="Q261" t="str">
        <f>IF(ISBLANK(Inputs!B238),"",Inputs!B238)</f>
        <v>J</v>
      </c>
      <c r="R261">
        <f>IF(ISBLANK(Inputs!B238),1,IF(EXACT(Inputs!B238&amp;"",P261&amp;""),0,1))</f>
        <v>0</v>
      </c>
    </row>
    <row r="262" spans="12:18" x14ac:dyDescent="0.45">
      <c r="L262" s="80">
        <v>47.695217411423577</v>
      </c>
      <c r="M262" s="79">
        <f>ABS(FGE!N26-L262)</f>
        <v>0</v>
      </c>
      <c r="O262" s="8" t="s">
        <v>2023</v>
      </c>
      <c r="P262">
        <v>10</v>
      </c>
      <c r="Q262">
        <f>IF(ISBLANK(Inputs!C238),"",Inputs!C238)</f>
        <v>10</v>
      </c>
      <c r="R262">
        <f>IF(ISNUMBER(Inputs!C238),IF(ABS(Inputs!C238-P262)&lt;=0.000000000001*MAX(1,ABS(P262)),0,1),1)</f>
        <v>0</v>
      </c>
    </row>
    <row r="263" spans="12:18" x14ac:dyDescent="0.45">
      <c r="L263" s="80">
        <v>47.643692634850652</v>
      </c>
      <c r="M263" s="79">
        <f>ABS(FGE!O26-L263)</f>
        <v>0</v>
      </c>
      <c r="O263" s="8" t="s">
        <v>2024</v>
      </c>
      <c r="P263">
        <v>32</v>
      </c>
      <c r="Q263">
        <f>IF(ISBLANK(Inputs!D238),"",Inputs!D238)</f>
        <v>32</v>
      </c>
      <c r="R263">
        <f>IF(ISNUMBER(Inputs!D238),IF(ABS(Inputs!D238-P263)&lt;=0.000000000001*MAX(1,ABS(P263)),0,1),1)</f>
        <v>0</v>
      </c>
    </row>
    <row r="264" spans="12:18" x14ac:dyDescent="0.45">
      <c r="L264" s="80">
        <v>47.592167858277733</v>
      </c>
      <c r="M264" s="79">
        <f>ABS(FGE!P26-L264)</f>
        <v>7.1054273576010019E-15</v>
      </c>
      <c r="O264" s="8" t="s">
        <v>2025</v>
      </c>
      <c r="P264">
        <v>3.84375</v>
      </c>
      <c r="Q264">
        <f>IF(ISBLANK(Inputs!E238),"",Inputs!E238)</f>
        <v>3.84375</v>
      </c>
      <c r="R264">
        <f>IF(ISNUMBER(Inputs!E238),IF(ABS(Inputs!E238-P264)&lt;=0.000000000001*MAX(1,ABS(P264)),0,1),1)</f>
        <v>0</v>
      </c>
    </row>
    <row r="265" spans="12:18" x14ac:dyDescent="0.45">
      <c r="L265" s="80">
        <v>47.587166666666668</v>
      </c>
      <c r="M265" s="79">
        <f>ABS(FGE!Q26-L265)</f>
        <v>0</v>
      </c>
      <c r="O265" s="8" t="s">
        <v>2026</v>
      </c>
      <c r="P265" t="s">
        <v>686</v>
      </c>
      <c r="Q265" t="str">
        <f>IF(ISBLANK(Inputs!B239),"",Inputs!B239)</f>
        <v>K</v>
      </c>
      <c r="R265">
        <f>IF(ISBLANK(Inputs!B239),1,IF(EXACT(Inputs!B239&amp;"",P265&amp;""),0,1))</f>
        <v>0</v>
      </c>
    </row>
    <row r="266" spans="12:18" x14ac:dyDescent="0.45">
      <c r="L266" s="80">
        <v>48.197625000000002</v>
      </c>
      <c r="M266" s="79">
        <f>ABS(FGE!E27-L266)</f>
        <v>0</v>
      </c>
      <c r="O266" s="8" t="s">
        <v>2027</v>
      </c>
      <c r="P266">
        <v>12</v>
      </c>
      <c r="Q266">
        <f>IF(ISBLANK(Inputs!C239),"",Inputs!C239)</f>
        <v>12</v>
      </c>
      <c r="R266">
        <f>IF(ISNUMBER(Inputs!C239),IF(ABS(Inputs!C239-P266)&lt;=0.000000000001*MAX(1,ABS(P266)),0,1),1)</f>
        <v>0</v>
      </c>
    </row>
    <row r="267" spans="12:18" x14ac:dyDescent="0.45">
      <c r="L267" s="80">
        <v>48.193248957340323</v>
      </c>
      <c r="M267" s="79">
        <f>ABS(FGE!F27-L267)</f>
        <v>0</v>
      </c>
      <c r="O267" s="8" t="s">
        <v>2028</v>
      </c>
      <c r="P267">
        <v>32</v>
      </c>
      <c r="Q267">
        <f>IF(ISBLANK(Inputs!D239),"",Inputs!D239)</f>
        <v>32</v>
      </c>
      <c r="R267">
        <f>IF(ISNUMBER(Inputs!D239),IF(ABS(Inputs!D239-P267)&lt;=0.000000000001*MAX(1,ABS(P267)),0,1),1)</f>
        <v>0</v>
      </c>
    </row>
    <row r="268" spans="12:18" x14ac:dyDescent="0.45">
      <c r="L268" s="80">
        <v>48.141724180767397</v>
      </c>
      <c r="M268" s="79">
        <f>ABS(FGE!G27-L268)</f>
        <v>0</v>
      </c>
      <c r="O268" s="8" t="s">
        <v>2029</v>
      </c>
      <c r="P268">
        <v>3.84375</v>
      </c>
      <c r="Q268">
        <f>IF(ISBLANK(Inputs!E239),"",Inputs!E239)</f>
        <v>3.84375</v>
      </c>
      <c r="R268">
        <f>IF(ISNUMBER(Inputs!E239),IF(ABS(Inputs!E239-P268)&lt;=0.000000000001*MAX(1,ABS(P268)),0,1),1)</f>
        <v>0</v>
      </c>
    </row>
    <row r="269" spans="12:18" x14ac:dyDescent="0.45">
      <c r="L269" s="80">
        <v>48.090199404194472</v>
      </c>
      <c r="M269" s="79">
        <f>ABS(FGE!H27-L269)</f>
        <v>0</v>
      </c>
      <c r="O269" s="8" t="s">
        <v>2030</v>
      </c>
      <c r="P269">
        <v>0</v>
      </c>
      <c r="Q269">
        <f>IF(ISBLANK(Clearance!C16),"",Clearance!C16)</f>
        <v>0</v>
      </c>
      <c r="R269">
        <f>IF(ISNUMBER(Clearance!C16),IF(ABS(Clearance!C16-P269)&lt;=0.000000000001*MAX(1,ABS(P269)),0,1),1)</f>
        <v>0</v>
      </c>
    </row>
    <row r="270" spans="12:18" x14ac:dyDescent="0.45">
      <c r="L270" s="80">
        <v>48.038674627621553</v>
      </c>
      <c r="M270" s="79">
        <f>ABS(FGE!I27-L270)</f>
        <v>7.1054273576010019E-15</v>
      </c>
      <c r="O270" s="8" t="s">
        <v>2031</v>
      </c>
      <c r="P270">
        <v>2.3367929999999428</v>
      </c>
      <c r="Q270">
        <f>IF(ISBLANK(Clearance!D16),"",Clearance!D16)</f>
        <v>2.3367929999999428</v>
      </c>
      <c r="R270">
        <f>IF(ISNUMBER(Clearance!D16),IF(ABS(Clearance!D16-P270)&lt;=0.000000000001*MAX(1,ABS(P270)),0,1),1)</f>
        <v>0</v>
      </c>
    </row>
    <row r="271" spans="12:18" x14ac:dyDescent="0.45">
      <c r="L271" s="80">
        <v>47.987149851048621</v>
      </c>
      <c r="M271" s="79">
        <f>ABS(FGE!J27-L271)</f>
        <v>0</v>
      </c>
      <c r="O271" s="8" t="s">
        <v>2032</v>
      </c>
      <c r="P271">
        <v>24.034211378999998</v>
      </c>
      <c r="Q271">
        <f>IF(ISBLANK(Clearance!G16),"",Clearance!G16)</f>
        <v>24.034211378999998</v>
      </c>
      <c r="R271">
        <f>IF(ISNUMBER(Clearance!G16),IF(ABS(Clearance!G16-P271)&lt;=0.000000000001*MAX(1,ABS(P271)),0,1),1)</f>
        <v>0</v>
      </c>
    </row>
    <row r="272" spans="12:18" x14ac:dyDescent="0.45">
      <c r="L272" s="80">
        <v>47.935625074475688</v>
      </c>
      <c r="M272" s="79">
        <f>ABS(FGE!K27-L272)</f>
        <v>7.1054273576010019E-15</v>
      </c>
      <c r="O272" s="8" t="s">
        <v>2033</v>
      </c>
      <c r="P272">
        <v>-6.4160994148819664E-2</v>
      </c>
      <c r="Q272">
        <f>IF(ISBLANK(Clearance!H16),"",Clearance!H16)</f>
        <v>-6.4160994148819664E-2</v>
      </c>
      <c r="R272">
        <f>IF(ISNUMBER(Clearance!H16),IF(ABS(Clearance!H16-P272)&lt;=0.000000000001*MAX(1,ABS(P272)),0,1),1)</f>
        <v>0</v>
      </c>
    </row>
    <row r="273" spans="12:18" x14ac:dyDescent="0.45">
      <c r="L273" s="80">
        <v>47.884100297902769</v>
      </c>
      <c r="M273" s="79">
        <f>ABS(FGE!L27-L273)</f>
        <v>0</v>
      </c>
      <c r="O273" s="8" t="s">
        <v>2034</v>
      </c>
      <c r="P273">
        <v>0</v>
      </c>
      <c r="Q273">
        <f>IF(ISBLANK(Clearance!I16),"",Clearance!I16)</f>
        <v>0</v>
      </c>
      <c r="R273">
        <f>IF(ISNUMBER(Clearance!I16),IF(ABS(Clearance!I16-P273)&lt;=0.000000000001*MAX(1,ABS(P273)),0,1),1)</f>
        <v>0</v>
      </c>
    </row>
    <row r="274" spans="12:18" x14ac:dyDescent="0.45">
      <c r="L274" s="80">
        <v>47.832575521329836</v>
      </c>
      <c r="M274" s="79">
        <f>ABS(FGE!M27-L274)</f>
        <v>0</v>
      </c>
      <c r="O274" s="8" t="s">
        <v>2035</v>
      </c>
      <c r="P274">
        <v>2.3367929999999428</v>
      </c>
      <c r="Q274">
        <f>IF(ISBLANK(Clearance!C17),"",Clearance!C17)</f>
        <v>2.3367929999999428</v>
      </c>
      <c r="R274">
        <f>IF(ISNUMBER(Clearance!C17),IF(ABS(Clearance!C17-P274)&lt;=0.000000000001*MAX(1,ABS(P274)),0,1),1)</f>
        <v>0</v>
      </c>
    </row>
    <row r="275" spans="12:18" x14ac:dyDescent="0.45">
      <c r="L275" s="80">
        <v>47.781050744756911</v>
      </c>
      <c r="M275" s="79">
        <f>ABS(FGE!N27-L275)</f>
        <v>0</v>
      </c>
      <c r="O275" s="8" t="s">
        <v>2036</v>
      </c>
      <c r="P275">
        <v>5.1601399999999558</v>
      </c>
      <c r="Q275">
        <f>IF(ISBLANK(Clearance!D17),"",Clearance!D17)</f>
        <v>5.1601399999999558</v>
      </c>
      <c r="R275">
        <f>IF(ISNUMBER(Clearance!D17),IF(ABS(Clearance!D17-P275)&lt;=0.000000000001*MAX(1,ABS(P275)),0,1),1)</f>
        <v>0</v>
      </c>
    </row>
    <row r="276" spans="12:18" x14ac:dyDescent="0.45">
      <c r="L276" s="80">
        <v>47.729525968183992</v>
      </c>
      <c r="M276" s="79">
        <f>ABS(FGE!O27-L276)</f>
        <v>7.1054273576010019E-15</v>
      </c>
      <c r="O276" s="8" t="s">
        <v>2037</v>
      </c>
      <c r="P276">
        <v>23.884280416999999</v>
      </c>
      <c r="Q276">
        <f>IF(ISBLANK(Clearance!G17),"",Clearance!G17)</f>
        <v>23.884280416999999</v>
      </c>
      <c r="R276">
        <f>IF(ISNUMBER(Clearance!G17),IF(ABS(Clearance!G17-P276)&lt;=0.000000000001*MAX(1,ABS(P276)),0,1),1)</f>
        <v>0</v>
      </c>
    </row>
    <row r="277" spans="12:18" x14ac:dyDescent="0.45">
      <c r="L277" s="80">
        <v>47.67800119161106</v>
      </c>
      <c r="M277" s="79">
        <f>ABS(FGE!P27-L277)</f>
        <v>0</v>
      </c>
      <c r="O277" s="8" t="s">
        <v>2038</v>
      </c>
      <c r="P277">
        <v>-2.95099645916647E-3</v>
      </c>
      <c r="Q277">
        <f>IF(ISBLANK(Clearance!H17),"",Clearance!H17)</f>
        <v>-2.95099645916647E-3</v>
      </c>
      <c r="R277">
        <f>IF(ISNUMBER(Clearance!H17),IF(ABS(Clearance!H17-P277)&lt;=0.000000000001*MAX(1,ABS(P277)),0,1),1)</f>
        <v>0</v>
      </c>
    </row>
    <row r="278" spans="12:18" x14ac:dyDescent="0.45">
      <c r="L278" s="80">
        <v>47.673000000000002</v>
      </c>
      <c r="M278" s="79">
        <f>ABS(FGE!Q27-L278)</f>
        <v>0</v>
      </c>
      <c r="O278" s="8" t="s">
        <v>2039</v>
      </c>
      <c r="P278">
        <v>0</v>
      </c>
      <c r="Q278">
        <f>IF(ISBLANK(Clearance!I17),"",Clearance!I17)</f>
        <v>0</v>
      </c>
      <c r="R278">
        <f>IF(ISNUMBER(Clearance!I17),IF(ABS(Clearance!I17-P278)&lt;=0.000000000001*MAX(1,ABS(P278)),0,1),1)</f>
        <v>0</v>
      </c>
    </row>
    <row r="279" spans="12:18" x14ac:dyDescent="0.45">
      <c r="L279" s="80">
        <v>48.111791666666669</v>
      </c>
      <c r="M279" s="79">
        <f>ABS(FGE!E28-L279)</f>
        <v>0</v>
      </c>
      <c r="O279" s="8" t="s">
        <v>2040</v>
      </c>
      <c r="P279">
        <v>5.1601399999999558</v>
      </c>
      <c r="Q279">
        <f>IF(ISBLANK(Clearance!C18),"",Clearance!C18)</f>
        <v>5.1601399999999558</v>
      </c>
      <c r="R279">
        <f>IF(ISNUMBER(Clearance!C18),IF(ABS(Clearance!C18-P279)&lt;=0.000000000001*MAX(1,ABS(P279)),0,1),1)</f>
        <v>0</v>
      </c>
    </row>
    <row r="280" spans="12:18" x14ac:dyDescent="0.45">
      <c r="L280" s="80">
        <v>48.10741562400699</v>
      </c>
      <c r="M280" s="79">
        <f>ABS(FGE!F28-L280)</f>
        <v>0</v>
      </c>
      <c r="O280" s="8" t="s">
        <v>2041</v>
      </c>
      <c r="P280">
        <v>7.0663770000001023</v>
      </c>
      <c r="Q280">
        <f>IF(ISBLANK(Clearance!D18),"",Clearance!D18)</f>
        <v>7.0663770000001023</v>
      </c>
      <c r="R280">
        <f>IF(ISNUMBER(Clearance!D18),IF(ABS(Clearance!D18-P280)&lt;=0.000000000001*MAX(1,ABS(P280)),0,1),1)</f>
        <v>0</v>
      </c>
    </row>
    <row r="281" spans="12:18" x14ac:dyDescent="0.45">
      <c r="L281" s="80">
        <v>48.055890847434057</v>
      </c>
      <c r="M281" s="79">
        <f>ABS(FGE!G28-L281)</f>
        <v>7.1054273576010019E-15</v>
      </c>
      <c r="O281" s="8" t="s">
        <v>2042</v>
      </c>
      <c r="P281">
        <v>23.875948730000001</v>
      </c>
      <c r="Q281">
        <f>IF(ISBLANK(Clearance!G18),"",Clearance!G18)</f>
        <v>23.875948730000001</v>
      </c>
      <c r="R281">
        <f>IF(ISNUMBER(Clearance!G18),IF(ABS(Clearance!G18-P281)&lt;=0.000000000001*MAX(1,ABS(P281)),0,1),1)</f>
        <v>0</v>
      </c>
    </row>
    <row r="282" spans="12:18" x14ac:dyDescent="0.45">
      <c r="L282" s="80">
        <v>48.004366070861138</v>
      </c>
      <c r="M282" s="79">
        <f>ABS(FGE!H28-L282)</f>
        <v>0</v>
      </c>
      <c r="O282" s="8" t="s">
        <v>2043</v>
      </c>
      <c r="P282">
        <v>-9.9363930088550287E-4</v>
      </c>
      <c r="Q282">
        <f>IF(ISBLANK(Clearance!H18),"",Clearance!H18)</f>
        <v>-9.9363930088550287E-4</v>
      </c>
      <c r="R282">
        <f>IF(ISNUMBER(Clearance!H18),IF(ABS(Clearance!H18-P282)&lt;=0.000000000001*MAX(1,ABS(P282)),0,1),1)</f>
        <v>0</v>
      </c>
    </row>
    <row r="283" spans="12:18" x14ac:dyDescent="0.45">
      <c r="L283" s="80">
        <v>47.952841294288213</v>
      </c>
      <c r="M283" s="79">
        <f>ABS(FGE!I28-L283)</f>
        <v>0</v>
      </c>
      <c r="O283" s="8" t="s">
        <v>2044</v>
      </c>
      <c r="P283">
        <v>0</v>
      </c>
      <c r="Q283">
        <f>IF(ISBLANK(Clearance!I18),"",Clearance!I18)</f>
        <v>0</v>
      </c>
      <c r="R283">
        <f>IF(ISNUMBER(Clearance!I18),IF(ABS(Clearance!I18-P283)&lt;=0.000000000001*MAX(1,ABS(P283)),0,1),1)</f>
        <v>0</v>
      </c>
    </row>
    <row r="284" spans="12:18" x14ac:dyDescent="0.45">
      <c r="L284" s="80">
        <v>47.901316517715287</v>
      </c>
      <c r="M284" s="79">
        <f>ABS(FGE!J28-L284)</f>
        <v>0</v>
      </c>
      <c r="O284" s="8" t="s">
        <v>2045</v>
      </c>
      <c r="P284">
        <v>7.0663770000001023</v>
      </c>
      <c r="Q284">
        <f>IF(ISBLANK(Clearance!C19),"",Clearance!C19)</f>
        <v>7.0663770000001023</v>
      </c>
      <c r="R284">
        <f>IF(ISNUMBER(Clearance!C19),IF(ABS(Clearance!C19-P284)&lt;=0.000000000001*MAX(1,ABS(P284)),0,1),1)</f>
        <v>0</v>
      </c>
    </row>
    <row r="285" spans="12:18" x14ac:dyDescent="0.45">
      <c r="L285" s="80">
        <v>47.849791741142361</v>
      </c>
      <c r="M285" s="79">
        <f>ABS(FGE!K28-L285)</f>
        <v>0</v>
      </c>
      <c r="O285" s="8" t="s">
        <v>2046</v>
      </c>
      <c r="P285">
        <v>9.98791099999994</v>
      </c>
      <c r="Q285">
        <f>IF(ISBLANK(Clearance!D19),"",Clearance!D19)</f>
        <v>9.98791099999994</v>
      </c>
      <c r="R285">
        <f>IF(ISNUMBER(Clearance!D19),IF(ABS(Clearance!D19-P285)&lt;=0.000000000001*MAX(1,ABS(P285)),0,1),1)</f>
        <v>0</v>
      </c>
    </row>
    <row r="286" spans="12:18" x14ac:dyDescent="0.45">
      <c r="L286" s="80">
        <v>47.798266964569443</v>
      </c>
      <c r="M286" s="79">
        <f>ABS(FGE!L28-L286)</f>
        <v>7.1054273576010019E-15</v>
      </c>
      <c r="O286" s="8" t="s">
        <v>2047</v>
      </c>
      <c r="P286">
        <v>23.874054617999999</v>
      </c>
      <c r="Q286">
        <f>IF(ISBLANK(Clearance!G19),"",Clearance!G19)</f>
        <v>23.874054617999999</v>
      </c>
      <c r="R286">
        <f>IF(ISNUMBER(Clearance!G19),IF(ABS(Clearance!G19-P286)&lt;=0.000000000001*MAX(1,ABS(P286)),0,1),1)</f>
        <v>0</v>
      </c>
    </row>
    <row r="287" spans="12:18" x14ac:dyDescent="0.45">
      <c r="L287" s="80">
        <v>47.746742187996503</v>
      </c>
      <c r="M287" s="79">
        <f>ABS(FGE!M28-L287)</f>
        <v>0</v>
      </c>
      <c r="O287" s="8" t="s">
        <v>2048</v>
      </c>
      <c r="P287">
        <v>0.22410749866338589</v>
      </c>
      <c r="Q287">
        <f>IF(ISBLANK(Clearance!H19),"",Clearance!H19)</f>
        <v>0.22410749866338589</v>
      </c>
      <c r="R287">
        <f>IF(ISNUMBER(Clearance!H19),IF(ABS(Clearance!H19-P287)&lt;=0.000000000001*MAX(1,ABS(P287)),0,1),1)</f>
        <v>0</v>
      </c>
    </row>
    <row r="288" spans="12:18" x14ac:dyDescent="0.45">
      <c r="L288" s="80">
        <v>47.695217411423577</v>
      </c>
      <c r="M288" s="79">
        <f>ABS(FGE!N28-L288)</f>
        <v>0</v>
      </c>
      <c r="O288" s="8" t="s">
        <v>2049</v>
      </c>
      <c r="P288">
        <v>0</v>
      </c>
      <c r="Q288">
        <f>IF(ISBLANK(Clearance!I19),"",Clearance!I19)</f>
        <v>0</v>
      </c>
      <c r="R288">
        <f>IF(ISNUMBER(Clearance!I19),IF(ABS(Clearance!I19-P288)&lt;=0.000000000001*MAX(1,ABS(P288)),0,1),1)</f>
        <v>0</v>
      </c>
    </row>
    <row r="289" spans="12:18" x14ac:dyDescent="0.45">
      <c r="L289" s="80">
        <v>47.643692634850652</v>
      </c>
      <c r="M289" s="79">
        <f>ABS(FGE!O28-L289)</f>
        <v>0</v>
      </c>
      <c r="O289" s="8" t="s">
        <v>2050</v>
      </c>
      <c r="P289">
        <v>9.98791099999994</v>
      </c>
      <c r="Q289">
        <f>IF(ISBLANK(Clearance!C20),"",Clearance!C20)</f>
        <v>9.98791099999994</v>
      </c>
      <c r="R289">
        <f>IF(ISNUMBER(Clearance!C20),IF(ABS(Clearance!C20-P289)&lt;=0.000000000001*MAX(1,ABS(P289)),0,1),1)</f>
        <v>0</v>
      </c>
    </row>
    <row r="290" spans="12:18" x14ac:dyDescent="0.45">
      <c r="L290" s="80">
        <v>47.592167858277733</v>
      </c>
      <c r="M290" s="79">
        <f>ABS(FGE!P28-L290)</f>
        <v>7.1054273576010019E-15</v>
      </c>
      <c r="O290" s="8" t="s">
        <v>2051</v>
      </c>
      <c r="P290">
        <v>10.251893999999989</v>
      </c>
      <c r="Q290">
        <f>IF(ISBLANK(Clearance!D20),"",Clearance!D20)</f>
        <v>10.251893999999989</v>
      </c>
      <c r="R290">
        <f>IF(ISNUMBER(Clearance!D20),IF(ABS(Clearance!D20-P290)&lt;=0.000000000001*MAX(1,ABS(P290)),0,1),1)</f>
        <v>0</v>
      </c>
    </row>
    <row r="291" spans="12:18" x14ac:dyDescent="0.45">
      <c r="L291" s="80">
        <v>47.587166666666668</v>
      </c>
      <c r="M291" s="79">
        <f>ABS(FGE!Q28-L291)</f>
        <v>0</v>
      </c>
      <c r="O291" s="8" t="s">
        <v>2052</v>
      </c>
      <c r="P291">
        <v>24.528792294999999</v>
      </c>
      <c r="Q291">
        <f>IF(ISBLANK(Clearance!G20),"",Clearance!G20)</f>
        <v>24.528792294999999</v>
      </c>
      <c r="R291">
        <f>IF(ISNUMBER(Clearance!G20),IF(ABS(Clearance!G20-P291)&lt;=0.000000000001*MAX(1,ABS(P291)),0,1),1)</f>
        <v>0</v>
      </c>
    </row>
    <row r="292" spans="12:18" x14ac:dyDescent="0.45">
      <c r="L292" s="80">
        <v>48.061791666666672</v>
      </c>
      <c r="M292" s="79">
        <f>ABS(FGE!E29-L292)</f>
        <v>0</v>
      </c>
      <c r="O292" s="8" t="s">
        <v>2053</v>
      </c>
      <c r="P292">
        <v>7.591020633903281E-2</v>
      </c>
      <c r="Q292">
        <f>IF(ISBLANK(Clearance!H20),"",Clearance!H20)</f>
        <v>7.591020633903281E-2</v>
      </c>
      <c r="R292">
        <f>IF(ISNUMBER(Clearance!H20),IF(ABS(Clearance!H20-P292)&lt;=0.000000000001*MAX(1,ABS(P292)),0,1),1)</f>
        <v>0</v>
      </c>
    </row>
    <row r="293" spans="12:18" x14ac:dyDescent="0.45">
      <c r="L293" s="80">
        <v>48.057415624006993</v>
      </c>
      <c r="M293" s="79">
        <f>ABS(FGE!F29-L293)</f>
        <v>0</v>
      </c>
      <c r="O293" s="8" t="s">
        <v>2054</v>
      </c>
      <c r="P293">
        <v>0</v>
      </c>
      <c r="Q293">
        <f>IF(ISBLANK(Clearance!I20),"",Clearance!I20)</f>
        <v>0</v>
      </c>
      <c r="R293">
        <f>IF(ISNUMBER(Clearance!I20),IF(ABS(Clearance!I20-P293)&lt;=0.000000000001*MAX(1,ABS(P293)),0,1),1)</f>
        <v>0</v>
      </c>
    </row>
    <row r="294" spans="12:18" x14ac:dyDescent="0.45">
      <c r="L294" s="80">
        <v>48.005890847434067</v>
      </c>
      <c r="M294" s="79">
        <f>ABS(FGE!G29-L294)</f>
        <v>0</v>
      </c>
      <c r="O294" s="8" t="s">
        <v>2055</v>
      </c>
      <c r="P294">
        <v>10.251893999999989</v>
      </c>
      <c r="Q294">
        <f>IF(ISBLANK(Clearance!C21),"",Clearance!C21)</f>
        <v>10.251893999999989</v>
      </c>
      <c r="R294">
        <f>IF(ISNUMBER(Clearance!C21),IF(ABS(Clearance!C21-P294)&lt;=0.000000000001*MAX(1,ABS(P294)),0,1),1)</f>
        <v>0</v>
      </c>
    </row>
    <row r="295" spans="12:18" x14ac:dyDescent="0.45">
      <c r="L295" s="80">
        <v>47.954366070861141</v>
      </c>
      <c r="M295" s="79">
        <f>ABS(FGE!H29-L295)</f>
        <v>0</v>
      </c>
      <c r="O295" s="8" t="s">
        <v>2056</v>
      </c>
      <c r="P295">
        <v>10.31191800000011</v>
      </c>
      <c r="Q295">
        <f>IF(ISBLANK(Clearance!D21),"",Clearance!D21)</f>
        <v>10.31191800000011</v>
      </c>
      <c r="R295">
        <f>IF(ISNUMBER(Clearance!D21),IF(ABS(Clearance!D21-P295)&lt;=0.000000000001*MAX(1,ABS(P295)),0,1),1)</f>
        <v>0</v>
      </c>
    </row>
    <row r="296" spans="12:18" x14ac:dyDescent="0.45">
      <c r="L296" s="80">
        <v>47.902841294288223</v>
      </c>
      <c r="M296" s="79">
        <f>ABS(FGE!I29-L296)</f>
        <v>7.1054273576010019E-15</v>
      </c>
      <c r="O296" s="8" t="s">
        <v>2057</v>
      </c>
      <c r="P296">
        <v>24.548831299</v>
      </c>
      <c r="Q296">
        <f>IF(ISBLANK(Clearance!G21),"",Clearance!G21)</f>
        <v>24.548831299</v>
      </c>
      <c r="R296">
        <f>IF(ISNUMBER(Clearance!G21),IF(ABS(Clearance!G21-P296)&lt;=0.000000000001*MAX(1,ABS(P296)),0,1),1)</f>
        <v>0</v>
      </c>
    </row>
    <row r="297" spans="12:18" x14ac:dyDescent="0.45">
      <c r="L297" s="80">
        <v>47.85131651771529</v>
      </c>
      <c r="M297" s="79">
        <f>ABS(FGE!J29-L297)</f>
        <v>0</v>
      </c>
      <c r="O297" s="8" t="s">
        <v>2058</v>
      </c>
      <c r="P297">
        <v>7.591098560564262E-2</v>
      </c>
      <c r="Q297">
        <f>IF(ISBLANK(Clearance!H21),"",Clearance!H21)</f>
        <v>7.591098560564262E-2</v>
      </c>
      <c r="R297">
        <f>IF(ISNUMBER(Clearance!H21),IF(ABS(Clearance!H21-P297)&lt;=0.000000000001*MAX(1,ABS(P297)),0,1),1)</f>
        <v>0</v>
      </c>
    </row>
    <row r="298" spans="12:18" x14ac:dyDescent="0.45">
      <c r="L298" s="80">
        <v>47.799791741142357</v>
      </c>
      <c r="M298" s="79">
        <f>ABS(FGE!K29-L298)</f>
        <v>7.1054273576010019E-15</v>
      </c>
      <c r="O298" s="8" t="s">
        <v>2059</v>
      </c>
      <c r="P298">
        <v>0</v>
      </c>
      <c r="Q298">
        <f>IF(ISBLANK(Clearance!I21),"",Clearance!I21)</f>
        <v>0</v>
      </c>
      <c r="R298">
        <f>IF(ISNUMBER(Clearance!I21),IF(ABS(Clearance!I21-P298)&lt;=0.000000000001*MAX(1,ABS(P298)),0,1),1)</f>
        <v>0</v>
      </c>
    </row>
    <row r="299" spans="12:18" x14ac:dyDescent="0.45">
      <c r="L299" s="80">
        <v>47.748266964569439</v>
      </c>
      <c r="M299" s="79">
        <f>ABS(FGE!L29-L299)</f>
        <v>0</v>
      </c>
      <c r="O299" s="8" t="s">
        <v>2060</v>
      </c>
      <c r="P299">
        <v>10.31191800000011</v>
      </c>
      <c r="Q299">
        <f>IF(ISBLANK(Clearance!C22),"",Clearance!C22)</f>
        <v>10.31191800000011</v>
      </c>
      <c r="R299">
        <f>IF(ISNUMBER(Clearance!C22),IF(ABS(Clearance!C22-P299)&lt;=0.000000000001*MAX(1,ABS(P299)),0,1),1)</f>
        <v>0</v>
      </c>
    </row>
    <row r="300" spans="12:18" x14ac:dyDescent="0.45">
      <c r="L300" s="80">
        <v>47.696742187996513</v>
      </c>
      <c r="M300" s="79">
        <f>ABS(FGE!M29-L300)</f>
        <v>7.1054273576010019E-15</v>
      </c>
      <c r="O300" s="8" t="s">
        <v>2061</v>
      </c>
      <c r="P300">
        <v>10.384334000000081</v>
      </c>
      <c r="Q300">
        <f>IF(ISBLANK(Clearance!D22),"",Clearance!D22)</f>
        <v>10.384334000000081</v>
      </c>
      <c r="R300">
        <f>IF(ISNUMBER(Clearance!D22),IF(ABS(Clearance!D22-P300)&lt;=0.000000000001*MAX(1,ABS(P300)),0,1),1)</f>
        <v>0</v>
      </c>
    </row>
    <row r="301" spans="12:18" x14ac:dyDescent="0.45">
      <c r="L301" s="80">
        <v>47.64521741142358</v>
      </c>
      <c r="M301" s="79">
        <f>ABS(FGE!N29-L301)</f>
        <v>0</v>
      </c>
      <c r="O301" s="8" t="s">
        <v>2062</v>
      </c>
      <c r="P301">
        <v>24.553387780000001</v>
      </c>
      <c r="Q301">
        <f>IF(ISBLANK(Clearance!G22),"",Clearance!G22)</f>
        <v>24.553387780000001</v>
      </c>
      <c r="R301">
        <f>IF(ISNUMBER(Clearance!G22),IF(ABS(Clearance!G22-P301)&lt;=0.000000000001*MAX(1,ABS(P301)),0,1),1)</f>
        <v>0</v>
      </c>
    </row>
    <row r="302" spans="12:18" x14ac:dyDescent="0.45">
      <c r="L302" s="80">
        <v>47.593692634850647</v>
      </c>
      <c r="M302" s="79">
        <f>ABS(FGE!O29-L302)</f>
        <v>7.1054273576010019E-15</v>
      </c>
      <c r="O302" s="8" t="s">
        <v>2063</v>
      </c>
      <c r="P302">
        <v>7.5910309876263724E-2</v>
      </c>
      <c r="Q302">
        <f>IF(ISBLANK(Clearance!H22),"",Clearance!H22)</f>
        <v>7.5910309876263724E-2</v>
      </c>
      <c r="R302">
        <f>IF(ISNUMBER(Clearance!H22),IF(ABS(Clearance!H22-P302)&lt;=0.000000000001*MAX(1,ABS(P302)),0,1),1)</f>
        <v>0</v>
      </c>
    </row>
    <row r="303" spans="12:18" x14ac:dyDescent="0.45">
      <c r="L303" s="80">
        <v>47.542167858277729</v>
      </c>
      <c r="M303" s="79">
        <f>ABS(FGE!P29-L303)</f>
        <v>0</v>
      </c>
      <c r="O303" s="8" t="s">
        <v>2064</v>
      </c>
      <c r="P303">
        <v>0</v>
      </c>
      <c r="Q303">
        <f>IF(ISBLANK(Clearance!I22),"",Clearance!I22)</f>
        <v>0</v>
      </c>
      <c r="R303">
        <f>IF(ISNUMBER(Clearance!I22),IF(ABS(Clearance!I22-P303)&lt;=0.000000000001*MAX(1,ABS(P303)),0,1),1)</f>
        <v>0</v>
      </c>
    </row>
    <row r="304" spans="12:18" x14ac:dyDescent="0.45">
      <c r="L304" s="80">
        <v>47.537166666666671</v>
      </c>
      <c r="M304" s="79">
        <f>ABS(FGE!Q29-L304)</f>
        <v>0</v>
      </c>
      <c r="O304" s="8" t="s">
        <v>2065</v>
      </c>
      <c r="P304">
        <v>10.384334000000081</v>
      </c>
      <c r="Q304">
        <f>IF(ISBLANK(Clearance!C23),"",Clearance!C23)</f>
        <v>10.384334000000081</v>
      </c>
      <c r="R304">
        <f>IF(ISNUMBER(Clearance!C23),IF(ABS(Clearance!C23-P304)&lt;=0.000000000001*MAX(1,ABS(P304)),0,1),1)</f>
        <v>0</v>
      </c>
    </row>
    <row r="305" spans="15:18" x14ac:dyDescent="0.45">
      <c r="O305" s="8" t="s">
        <v>2066</v>
      </c>
      <c r="P305">
        <v>10.455044999999931</v>
      </c>
      <c r="Q305">
        <f>IF(ISBLANK(Clearance!D23),"",Clearance!D23)</f>
        <v>10.455044999999931</v>
      </c>
      <c r="R305">
        <f>IF(ISNUMBER(Clearance!D23),IF(ABS(Clearance!D23-P305)&lt;=0.000000000001*MAX(1,ABS(P305)),0,1),1)</f>
        <v>0</v>
      </c>
    </row>
    <row r="306" spans="15:18" x14ac:dyDescent="0.45">
      <c r="O306" s="8" t="s">
        <v>2067</v>
      </c>
      <c r="P306">
        <v>24.558884900999999</v>
      </c>
      <c r="Q306">
        <f>IF(ISBLANK(Clearance!G23),"",Clearance!G23)</f>
        <v>24.558884900999999</v>
      </c>
      <c r="R306">
        <f>IF(ISNUMBER(Clearance!G23),IF(ABS(Clearance!G23-P306)&lt;=0.000000000001*MAX(1,ABS(P306)),0,1),1)</f>
        <v>0</v>
      </c>
    </row>
    <row r="307" spans="15:18" x14ac:dyDescent="0.45">
      <c r="O307" s="8" t="s">
        <v>2068</v>
      </c>
      <c r="P307">
        <v>7.5910678678197979E-2</v>
      </c>
      <c r="Q307">
        <f>IF(ISBLANK(Clearance!H23),"",Clearance!H23)</f>
        <v>7.5910678678197979E-2</v>
      </c>
      <c r="R307">
        <f>IF(ISNUMBER(Clearance!H23),IF(ABS(Clearance!H23-P307)&lt;=0.000000000001*MAX(1,ABS(P307)),0,1),1)</f>
        <v>0</v>
      </c>
    </row>
    <row r="308" spans="15:18" x14ac:dyDescent="0.45">
      <c r="O308" s="8" t="s">
        <v>2069</v>
      </c>
      <c r="P308">
        <v>0</v>
      </c>
      <c r="Q308">
        <f>IF(ISBLANK(Clearance!I23),"",Clearance!I23)</f>
        <v>0</v>
      </c>
      <c r="R308">
        <f>IF(ISNUMBER(Clearance!I23),IF(ABS(Clearance!I23-P308)&lt;=0.000000000001*MAX(1,ABS(P308)),0,1),1)</f>
        <v>0</v>
      </c>
    </row>
    <row r="309" spans="15:18" x14ac:dyDescent="0.45">
      <c r="O309" s="8" t="s">
        <v>2070</v>
      </c>
      <c r="P309">
        <v>10.455044999999931</v>
      </c>
      <c r="Q309">
        <f>IF(ISBLANK(Clearance!C24),"",Clearance!C24)</f>
        <v>10.455044999999931</v>
      </c>
      <c r="R309">
        <f>IF(ISNUMBER(Clearance!C24),IF(ABS(Clearance!C24-P309)&lt;=0.000000000001*MAX(1,ABS(P309)),0,1),1)</f>
        <v>0</v>
      </c>
    </row>
    <row r="310" spans="15:18" x14ac:dyDescent="0.45">
      <c r="O310" s="8" t="s">
        <v>2071</v>
      </c>
      <c r="P310">
        <v>11.77617299999997</v>
      </c>
      <c r="Q310">
        <f>IF(ISBLANK(Clearance!D24),"",Clearance!D24)</f>
        <v>11.77617299999997</v>
      </c>
      <c r="R310">
        <f>IF(ISNUMBER(Clearance!D24),IF(ABS(Clearance!D24-P310)&lt;=0.000000000001*MAX(1,ABS(P310)),0,1),1)</f>
        <v>0</v>
      </c>
    </row>
    <row r="311" spans="15:18" x14ac:dyDescent="0.45">
      <c r="O311" s="8" t="s">
        <v>2072</v>
      </c>
      <c r="P311">
        <v>24.564252621000001</v>
      </c>
      <c r="Q311">
        <f>IF(ISBLANK(Clearance!G24),"",Clearance!G24)</f>
        <v>24.564252621000001</v>
      </c>
      <c r="R311">
        <f>IF(ISNUMBER(Clearance!G24),IF(ABS(Clearance!G24-P311)&lt;=0.000000000001*MAX(1,ABS(P311)),0,1),1)</f>
        <v>0</v>
      </c>
    </row>
    <row r="312" spans="15:18" x14ac:dyDescent="0.45">
      <c r="O312" s="8" t="s">
        <v>2073</v>
      </c>
      <c r="P312">
        <v>7.5910456064813267E-2</v>
      </c>
      <c r="Q312">
        <f>IF(ISBLANK(Clearance!H24),"",Clearance!H24)</f>
        <v>7.5910456064813267E-2</v>
      </c>
      <c r="R312">
        <f>IF(ISNUMBER(Clearance!H24),IF(ABS(Clearance!H24-P312)&lt;=0.000000000001*MAX(1,ABS(P312)),0,1),1)</f>
        <v>0</v>
      </c>
    </row>
    <row r="313" spans="15:18" x14ac:dyDescent="0.45">
      <c r="O313" s="8" t="s">
        <v>2074</v>
      </c>
      <c r="P313">
        <v>0</v>
      </c>
      <c r="Q313">
        <f>IF(ISBLANK(Clearance!I24),"",Clearance!I24)</f>
        <v>0</v>
      </c>
      <c r="R313">
        <f>IF(ISNUMBER(Clearance!I24),IF(ABS(Clearance!I24-P313)&lt;=0.000000000001*MAX(1,ABS(P313)),0,1),1)</f>
        <v>0</v>
      </c>
    </row>
    <row r="314" spans="15:18" x14ac:dyDescent="0.45">
      <c r="O314" s="8" t="s">
        <v>2075</v>
      </c>
      <c r="P314">
        <v>11.77617299999997</v>
      </c>
      <c r="Q314">
        <f>IF(ISBLANK(Clearance!C25),"",Clearance!C25)</f>
        <v>11.77617299999997</v>
      </c>
      <c r="R314">
        <f>IF(ISNUMBER(Clearance!C25),IF(ABS(Clearance!C25-P314)&lt;=0.000000000001*MAX(1,ABS(P314)),0,1),1)</f>
        <v>0</v>
      </c>
    </row>
    <row r="315" spans="15:18" x14ac:dyDescent="0.45">
      <c r="O315" s="8" t="s">
        <v>2076</v>
      </c>
      <c r="P315">
        <v>12.54720300000008</v>
      </c>
      <c r="Q315">
        <f>IF(ISBLANK(Clearance!D25),"",Clearance!D25)</f>
        <v>12.54720300000008</v>
      </c>
      <c r="R315">
        <f>IF(ISNUMBER(Clearance!D25),IF(ABS(Clearance!D25-P315)&lt;=0.000000000001*MAX(1,ABS(P315)),0,1),1)</f>
        <v>0</v>
      </c>
    </row>
    <row r="316" spans="15:18" x14ac:dyDescent="0.45">
      <c r="O316" s="8" t="s">
        <v>2077</v>
      </c>
      <c r="P316">
        <v>24.664540049999999</v>
      </c>
      <c r="Q316">
        <f>IF(ISBLANK(Clearance!G25),"",Clearance!G25)</f>
        <v>24.664540049999999</v>
      </c>
      <c r="R316">
        <f>IF(ISNUMBER(Clearance!G25),IF(ABS(Clearance!G25-P316)&lt;=0.000000000001*MAX(1,ABS(P316)),0,1),1)</f>
        <v>0</v>
      </c>
    </row>
    <row r="317" spans="15:18" x14ac:dyDescent="0.45">
      <c r="O317" s="8" t="s">
        <v>2078</v>
      </c>
      <c r="P317">
        <v>-0.1206597369751964</v>
      </c>
      <c r="Q317">
        <f>IF(ISBLANK(Clearance!H25),"",Clearance!H25)</f>
        <v>-0.1206597369751964</v>
      </c>
      <c r="R317">
        <f>IF(ISNUMBER(Clearance!H25),IF(ABS(Clearance!H25-P317)&lt;=0.000000000001*MAX(1,ABS(P317)),0,1),1)</f>
        <v>0</v>
      </c>
    </row>
    <row r="318" spans="15:18" x14ac:dyDescent="0.45">
      <c r="O318" s="8" t="s">
        <v>2079</v>
      </c>
      <c r="P318">
        <v>0</v>
      </c>
      <c r="Q318">
        <f>IF(ISBLANK(Clearance!I25),"",Clearance!I25)</f>
        <v>0</v>
      </c>
      <c r="R318">
        <f>IF(ISNUMBER(Clearance!I25),IF(ABS(Clearance!I25-P318)&lt;=0.000000000001*MAX(1,ABS(P318)),0,1),1)</f>
        <v>0</v>
      </c>
    </row>
    <row r="319" spans="15:18" x14ac:dyDescent="0.45">
      <c r="O319" s="8" t="s">
        <v>2080</v>
      </c>
      <c r="P319">
        <v>12.54720300000008</v>
      </c>
      <c r="Q319">
        <f>IF(ISBLANK(Clearance!C26),"",Clearance!C26)</f>
        <v>12.54720300000008</v>
      </c>
      <c r="R319">
        <f>IF(ISNUMBER(Clearance!C26),IF(ABS(Clearance!C26-P319)&lt;=0.000000000001*MAX(1,ABS(P319)),0,1),1)</f>
        <v>0</v>
      </c>
    </row>
    <row r="320" spans="15:18" x14ac:dyDescent="0.45">
      <c r="O320" s="8" t="s">
        <v>2081</v>
      </c>
      <c r="P320">
        <v>14.67012700000009</v>
      </c>
      <c r="Q320">
        <f>IF(ISBLANK(Clearance!D26),"",Clearance!D26)</f>
        <v>14.67012700000009</v>
      </c>
      <c r="R320">
        <f>IF(ISNUMBER(Clearance!D26),IF(ABS(Clearance!D26-P320)&lt;=0.000000000001*MAX(1,ABS(P320)),0,1),1)</f>
        <v>0</v>
      </c>
    </row>
    <row r="321" spans="15:18" x14ac:dyDescent="0.45">
      <c r="O321" s="8" t="s">
        <v>2082</v>
      </c>
      <c r="P321">
        <v>24.571507773</v>
      </c>
      <c r="Q321">
        <f>IF(ISBLANK(Clearance!G26),"",Clearance!G26)</f>
        <v>24.571507773</v>
      </c>
      <c r="R321">
        <f>IF(ISNUMBER(Clearance!G26),IF(ABS(Clearance!G26-P321)&lt;=0.000000000001*MAX(1,ABS(P321)),0,1),1)</f>
        <v>0</v>
      </c>
    </row>
    <row r="322" spans="15:18" x14ac:dyDescent="0.45">
      <c r="O322" s="8" t="s">
        <v>2083</v>
      </c>
      <c r="P322">
        <v>-4.8728382645821668E-2</v>
      </c>
      <c r="Q322">
        <f>IF(ISBLANK(Clearance!H26),"",Clearance!H26)</f>
        <v>-4.8728382645821668E-2</v>
      </c>
      <c r="R322">
        <f>IF(ISNUMBER(Clearance!H26),IF(ABS(Clearance!H26-P322)&lt;=0.000000000001*MAX(1,ABS(P322)),0,1),1)</f>
        <v>0</v>
      </c>
    </row>
    <row r="323" spans="15:18" x14ac:dyDescent="0.45">
      <c r="O323" s="8" t="s">
        <v>2084</v>
      </c>
      <c r="P323">
        <v>0</v>
      </c>
      <c r="Q323">
        <f>IF(ISBLANK(Clearance!I26),"",Clearance!I26)</f>
        <v>0</v>
      </c>
      <c r="R323">
        <f>IF(ISNUMBER(Clearance!I26),IF(ABS(Clearance!I26-P323)&lt;=0.000000000001*MAX(1,ABS(P323)),0,1),1)</f>
        <v>0</v>
      </c>
    </row>
    <row r="324" spans="15:18" x14ac:dyDescent="0.45">
      <c r="O324" s="8" t="s">
        <v>2085</v>
      </c>
      <c r="P324">
        <v>14.67012700000009</v>
      </c>
      <c r="Q324">
        <f>IF(ISBLANK(Clearance!C27),"",Clearance!C27)</f>
        <v>14.67012700000009</v>
      </c>
      <c r="R324">
        <f>IF(ISNUMBER(Clearance!C27),IF(ABS(Clearance!C27-P324)&lt;=0.000000000001*MAX(1,ABS(P324)),0,1),1)</f>
        <v>0</v>
      </c>
    </row>
    <row r="325" spans="15:18" x14ac:dyDescent="0.45">
      <c r="O325" s="8" t="s">
        <v>2086</v>
      </c>
      <c r="P325">
        <v>22.874307000000041</v>
      </c>
      <c r="Q325">
        <f>IF(ISBLANK(Clearance!D27),"",Clearance!D27)</f>
        <v>22.874307000000041</v>
      </c>
      <c r="R325">
        <f>IF(ISNUMBER(Clearance!D27),IF(ABS(Clearance!D27-P325)&lt;=0.000000000001*MAX(1,ABS(P325)),0,1),1)</f>
        <v>0</v>
      </c>
    </row>
    <row r="326" spans="15:18" x14ac:dyDescent="0.45">
      <c r="O326" s="8" t="s">
        <v>2087</v>
      </c>
      <c r="P326">
        <v>24.468061120000002</v>
      </c>
      <c r="Q326">
        <f>IF(ISBLANK(Clearance!G27),"",Clearance!G27)</f>
        <v>24.468061120000002</v>
      </c>
      <c r="R326">
        <f>IF(ISNUMBER(Clearance!G27),IF(ABS(Clearance!G27-P326)&lt;=0.000000000001*MAX(1,ABS(P326)),0,1),1)</f>
        <v>0</v>
      </c>
    </row>
    <row r="327" spans="15:18" x14ac:dyDescent="0.45">
      <c r="O327" s="8" t="s">
        <v>2088</v>
      </c>
      <c r="P327">
        <v>-0.1428949908461308</v>
      </c>
      <c r="Q327">
        <f>IF(ISBLANK(Clearance!H27),"",Clearance!H27)</f>
        <v>-0.1428949908461308</v>
      </c>
      <c r="R327">
        <f>IF(ISNUMBER(Clearance!H27),IF(ABS(Clearance!H27-P327)&lt;=0.000000000001*MAX(1,ABS(P327)),0,1),1)</f>
        <v>0</v>
      </c>
    </row>
    <row r="328" spans="15:18" x14ac:dyDescent="0.45">
      <c r="O328" s="8" t="s">
        <v>2089</v>
      </c>
      <c r="P328">
        <v>0</v>
      </c>
      <c r="Q328">
        <f>IF(ISBLANK(Clearance!I27),"",Clearance!I27)</f>
        <v>0</v>
      </c>
      <c r="R328">
        <f>IF(ISNUMBER(Clearance!I27),IF(ABS(Clearance!I27-P328)&lt;=0.000000000001*MAX(1,ABS(P328)),0,1),1)</f>
        <v>0</v>
      </c>
    </row>
    <row r="329" spans="15:18" x14ac:dyDescent="0.45">
      <c r="O329" s="8" t="s">
        <v>2090</v>
      </c>
      <c r="P329">
        <v>22.874307000000041</v>
      </c>
      <c r="Q329">
        <f>IF(ISBLANK(Clearance!C28),"",Clearance!C28)</f>
        <v>22.874307000000041</v>
      </c>
      <c r="R329">
        <f>IF(ISNUMBER(Clearance!C28),IF(ABS(Clearance!C28-P329)&lt;=0.000000000001*MAX(1,ABS(P329)),0,1),1)</f>
        <v>0</v>
      </c>
    </row>
    <row r="330" spans="15:18" x14ac:dyDescent="0.45">
      <c r="O330" s="8" t="s">
        <v>2091</v>
      </c>
      <c r="P330">
        <v>26.687670000000029</v>
      </c>
      <c r="Q330">
        <f>IF(ISBLANK(Clearance!D28),"",Clearance!D28)</f>
        <v>26.687670000000029</v>
      </c>
      <c r="R330">
        <f>IF(ISNUMBER(Clearance!D28),IF(ABS(Clearance!D28-P330)&lt;=0.000000000001*MAX(1,ABS(P330)),0,1),1)</f>
        <v>0</v>
      </c>
    </row>
    <row r="331" spans="15:18" x14ac:dyDescent="0.45">
      <c r="O331" s="8" t="s">
        <v>2092</v>
      </c>
      <c r="P331">
        <v>23.295724893999999</v>
      </c>
      <c r="Q331">
        <f>IF(ISBLANK(Clearance!G28),"",Clearance!G28)</f>
        <v>23.295724893999999</v>
      </c>
      <c r="R331">
        <f>IF(ISNUMBER(Clearance!G28),IF(ABS(Clearance!G28-P331)&lt;=0.000000000001*MAX(1,ABS(P331)),0,1),1)</f>
        <v>0</v>
      </c>
    </row>
    <row r="332" spans="15:18" x14ac:dyDescent="0.45">
      <c r="O332" s="8" t="s">
        <v>2093</v>
      </c>
      <c r="P332">
        <v>-0.146446393380332</v>
      </c>
      <c r="Q332">
        <f>IF(ISBLANK(Clearance!H28),"",Clearance!H28)</f>
        <v>-0.146446393380332</v>
      </c>
      <c r="R332">
        <f>IF(ISNUMBER(Clearance!H28),IF(ABS(Clearance!H28-P332)&lt;=0.000000000001*MAX(1,ABS(P332)),0,1),1)</f>
        <v>0</v>
      </c>
    </row>
    <row r="333" spans="15:18" x14ac:dyDescent="0.45">
      <c r="O333" s="8" t="s">
        <v>2094</v>
      </c>
      <c r="P333">
        <v>0</v>
      </c>
      <c r="Q333">
        <f>IF(ISBLANK(Clearance!I28),"",Clearance!I28)</f>
        <v>0</v>
      </c>
      <c r="R333">
        <f>IF(ISNUMBER(Clearance!I28),IF(ABS(Clearance!I28-P333)&lt;=0.000000000001*MAX(1,ABS(P333)),0,1),1)</f>
        <v>0</v>
      </c>
    </row>
    <row r="334" spans="15:18" x14ac:dyDescent="0.45">
      <c r="O334" s="8" t="s">
        <v>2095</v>
      </c>
      <c r="P334">
        <v>26.687670000000029</v>
      </c>
      <c r="Q334">
        <f>IF(ISBLANK(Clearance!C29),"",Clearance!C29)</f>
        <v>26.687670000000029</v>
      </c>
      <c r="R334">
        <f>IF(ISNUMBER(Clearance!C29),IF(ABS(Clearance!C29-P334)&lt;=0.000000000001*MAX(1,ABS(P334)),0,1),1)</f>
        <v>0</v>
      </c>
    </row>
    <row r="335" spans="15:18" x14ac:dyDescent="0.45">
      <c r="O335" s="8" t="s">
        <v>2096</v>
      </c>
      <c r="P335">
        <v>28.875017000000071</v>
      </c>
      <c r="Q335">
        <f>IF(ISBLANK(Clearance!D29),"",Clearance!D29)</f>
        <v>28.875017000000071</v>
      </c>
      <c r="R335">
        <f>IF(ISNUMBER(Clearance!D29),IF(ABS(Clearance!D29-P335)&lt;=0.000000000001*MAX(1,ABS(P335)),0,1),1)</f>
        <v>0</v>
      </c>
    </row>
    <row r="336" spans="15:18" x14ac:dyDescent="0.45">
      <c r="O336" s="8" t="s">
        <v>2097</v>
      </c>
      <c r="P336">
        <v>22.737271635999999</v>
      </c>
      <c r="Q336">
        <f>IF(ISBLANK(Clearance!G29),"",Clearance!G29)</f>
        <v>22.737271635999999</v>
      </c>
      <c r="R336">
        <f>IF(ISNUMBER(Clearance!G29),IF(ABS(Clearance!G29-P336)&lt;=0.000000000001*MAX(1,ABS(P336)),0,1),1)</f>
        <v>0</v>
      </c>
    </row>
    <row r="337" spans="15:18" x14ac:dyDescent="0.45">
      <c r="O337" s="8" t="s">
        <v>2098</v>
      </c>
      <c r="P337">
        <v>-2.149178845423207E-2</v>
      </c>
      <c r="Q337">
        <f>IF(ISBLANK(Clearance!H29),"",Clearance!H29)</f>
        <v>-2.149178845423207E-2</v>
      </c>
      <c r="R337">
        <f>IF(ISNUMBER(Clearance!H29),IF(ABS(Clearance!H29-P337)&lt;=0.000000000001*MAX(1,ABS(P337)),0,1),1)</f>
        <v>0</v>
      </c>
    </row>
    <row r="338" spans="15:18" x14ac:dyDescent="0.45">
      <c r="O338" s="8" t="s">
        <v>2099</v>
      </c>
      <c r="P338">
        <v>0</v>
      </c>
      <c r="Q338">
        <f>IF(ISBLANK(Clearance!I29),"",Clearance!I29)</f>
        <v>0</v>
      </c>
      <c r="R338">
        <f>IF(ISNUMBER(Clearance!I29),IF(ABS(Clearance!I29-P338)&lt;=0.000000000001*MAX(1,ABS(P338)),0,1),1)</f>
        <v>0</v>
      </c>
    </row>
    <row r="339" spans="15:18" x14ac:dyDescent="0.45">
      <c r="O339" s="8" t="s">
        <v>2100</v>
      </c>
      <c r="P339">
        <v>28.875017000000071</v>
      </c>
      <c r="Q339">
        <f>IF(ISBLANK(Clearance!C30),"",Clearance!C30)</f>
        <v>28.875017000000071</v>
      </c>
      <c r="R339">
        <f>IF(ISNUMBER(Clearance!C30),IF(ABS(Clearance!C30-P339)&lt;=0.000000000001*MAX(1,ABS(P339)),0,1),1)</f>
        <v>0</v>
      </c>
    </row>
    <row r="340" spans="15:18" x14ac:dyDescent="0.45">
      <c r="O340" s="8" t="s">
        <v>2101</v>
      </c>
      <c r="P340">
        <v>33.482909000000063</v>
      </c>
      <c r="Q340">
        <f>IF(ISBLANK(Clearance!D30),"",Clearance!D30)</f>
        <v>33.482909000000063</v>
      </c>
      <c r="R340">
        <f>IF(ISNUMBER(Clearance!D30),IF(ABS(Clearance!D30-P340)&lt;=0.000000000001*MAX(1,ABS(P340)),0,1),1)</f>
        <v>0</v>
      </c>
    </row>
    <row r="341" spans="15:18" x14ac:dyDescent="0.45">
      <c r="O341" s="8" t="s">
        <v>2102</v>
      </c>
      <c r="P341">
        <v>22.690261636999999</v>
      </c>
      <c r="Q341">
        <f>IF(ISBLANK(Clearance!G30),"",Clearance!G30)</f>
        <v>22.690261636999999</v>
      </c>
      <c r="R341">
        <f>IF(ISNUMBER(Clearance!G30),IF(ABS(Clearance!G30-P341)&lt;=0.000000000001*MAX(1,ABS(P341)),0,1),1)</f>
        <v>0</v>
      </c>
    </row>
    <row r="342" spans="15:18" x14ac:dyDescent="0.45">
      <c r="O342" s="8" t="s">
        <v>2103</v>
      </c>
      <c r="P342">
        <v>-3.0469016417919451E-2</v>
      </c>
      <c r="Q342">
        <f>IF(ISBLANK(Clearance!H30),"",Clearance!H30)</f>
        <v>-3.0469016417919451E-2</v>
      </c>
      <c r="R342">
        <f>IF(ISNUMBER(Clearance!H30),IF(ABS(Clearance!H30-P342)&lt;=0.000000000001*MAX(1,ABS(P342)),0,1),1)</f>
        <v>0</v>
      </c>
    </row>
    <row r="343" spans="15:18" x14ac:dyDescent="0.45">
      <c r="O343" s="8" t="s">
        <v>2104</v>
      </c>
      <c r="P343">
        <v>0</v>
      </c>
      <c r="Q343">
        <f>IF(ISBLANK(Clearance!I30),"",Clearance!I30)</f>
        <v>0</v>
      </c>
      <c r="R343">
        <f>IF(ISNUMBER(Clearance!I30),IF(ABS(Clearance!I30-P343)&lt;=0.000000000001*MAX(1,ABS(P343)),0,1),1)</f>
        <v>0</v>
      </c>
    </row>
    <row r="344" spans="15:18" x14ac:dyDescent="0.45">
      <c r="O344" s="8" t="s">
        <v>2105</v>
      </c>
      <c r="P344">
        <v>33.482909000000063</v>
      </c>
      <c r="Q344">
        <f>IF(ISBLANK(Clearance!C31),"",Clearance!C31)</f>
        <v>33.482909000000063</v>
      </c>
      <c r="R344">
        <f>IF(ISNUMBER(Clearance!C31),IF(ABS(Clearance!C31-P344)&lt;=0.000000000001*MAX(1,ABS(P344)),0,1),1)</f>
        <v>0</v>
      </c>
    </row>
    <row r="345" spans="15:18" x14ac:dyDescent="0.45">
      <c r="O345" s="8" t="s">
        <v>2106</v>
      </c>
      <c r="P345">
        <v>33.531744000000117</v>
      </c>
      <c r="Q345">
        <f>IF(ISBLANK(Clearance!D31),"",Clearance!D31)</f>
        <v>33.531744000000117</v>
      </c>
      <c r="R345">
        <f>IF(ISNUMBER(Clearance!D31),IF(ABS(Clearance!D31-P345)&lt;=0.000000000001*MAX(1,ABS(P345)),0,1),1)</f>
        <v>0</v>
      </c>
    </row>
    <row r="346" spans="15:18" x14ac:dyDescent="0.45">
      <c r="O346" s="8" t="s">
        <v>2107</v>
      </c>
      <c r="P346">
        <v>22.5498637</v>
      </c>
      <c r="Q346">
        <f>IF(ISBLANK(Clearance!G31),"",Clearance!G31)</f>
        <v>22.5498637</v>
      </c>
      <c r="R346">
        <f>IF(ISNUMBER(Clearance!G31),IF(ABS(Clearance!G31-P346)&lt;=0.000000000001*MAX(1,ABS(P346)),0,1),1)</f>
        <v>0</v>
      </c>
    </row>
    <row r="347" spans="15:18" x14ac:dyDescent="0.45">
      <c r="O347" s="8" t="s">
        <v>2108</v>
      </c>
      <c r="P347">
        <v>2.3926548581970009E-2</v>
      </c>
      <c r="Q347">
        <f>IF(ISBLANK(Clearance!H31),"",Clearance!H31)</f>
        <v>2.3926548581970009E-2</v>
      </c>
      <c r="R347">
        <f>IF(ISNUMBER(Clearance!H31),IF(ABS(Clearance!H31-P347)&lt;=0.000000000001*MAX(1,ABS(P347)),0,1),1)</f>
        <v>0</v>
      </c>
    </row>
    <row r="348" spans="15:18" x14ac:dyDescent="0.45">
      <c r="O348" s="8" t="s">
        <v>2109</v>
      </c>
      <c r="P348">
        <v>0</v>
      </c>
      <c r="Q348">
        <f>IF(ISBLANK(Clearance!I31),"",Clearance!I31)</f>
        <v>0</v>
      </c>
      <c r="R348">
        <f>IF(ISNUMBER(Clearance!I31),IF(ABS(Clearance!I31-P348)&lt;=0.000000000001*MAX(1,ABS(P348)),0,1),1)</f>
        <v>0</v>
      </c>
    </row>
    <row r="349" spans="15:18" x14ac:dyDescent="0.45">
      <c r="O349" s="8" t="s">
        <v>2110</v>
      </c>
      <c r="P349">
        <v>33.531744000000117</v>
      </c>
      <c r="Q349">
        <f>IF(ISBLANK(Clearance!C32),"",Clearance!C32)</f>
        <v>33.531744000000117</v>
      </c>
      <c r="R349">
        <f>IF(ISNUMBER(Clearance!C32),IF(ABS(Clearance!C32-P349)&lt;=0.000000000001*MAX(1,ABS(P349)),0,1),1)</f>
        <v>0</v>
      </c>
    </row>
    <row r="350" spans="15:18" x14ac:dyDescent="0.45">
      <c r="O350" s="8" t="s">
        <v>2111</v>
      </c>
      <c r="P350">
        <v>36.470724999999902</v>
      </c>
      <c r="Q350">
        <f>IF(ISBLANK(Clearance!D32),"",Clearance!D32)</f>
        <v>36.470724999999902</v>
      </c>
      <c r="R350">
        <f>IF(ISNUMBER(Clearance!D32),IF(ABS(Clearance!D32-P350)&lt;=0.000000000001*MAX(1,ABS(P350)),0,1),1)</f>
        <v>0</v>
      </c>
    </row>
    <row r="351" spans="15:18" x14ac:dyDescent="0.45">
      <c r="O351" s="8" t="s">
        <v>2112</v>
      </c>
      <c r="P351">
        <v>22.551032153000001</v>
      </c>
      <c r="Q351">
        <f>IF(ISBLANK(Clearance!G32),"",Clearance!G32)</f>
        <v>22.551032153000001</v>
      </c>
      <c r="R351">
        <f>IF(ISNUMBER(Clearance!G32),IF(ABS(Clearance!G32-P351)&lt;=0.000000000001*MAX(1,ABS(P351)),0,1),1)</f>
        <v>0</v>
      </c>
    </row>
    <row r="352" spans="15:18" x14ac:dyDescent="0.45">
      <c r="O352" s="8" t="s">
        <v>2113</v>
      </c>
      <c r="P352">
        <v>9.8730022752791136E-2</v>
      </c>
      <c r="Q352">
        <f>IF(ISBLANK(Clearance!H32),"",Clearance!H32)</f>
        <v>9.8730022752791136E-2</v>
      </c>
      <c r="R352">
        <f>IF(ISNUMBER(Clearance!H32),IF(ABS(Clearance!H32-P352)&lt;=0.000000000001*MAX(1,ABS(P352)),0,1),1)</f>
        <v>0</v>
      </c>
    </row>
    <row r="353" spans="15:18" x14ac:dyDescent="0.45">
      <c r="O353" s="8" t="s">
        <v>2114</v>
      </c>
      <c r="P353">
        <v>0</v>
      </c>
      <c r="Q353">
        <f>IF(ISBLANK(Clearance!I32),"",Clearance!I32)</f>
        <v>0</v>
      </c>
      <c r="R353">
        <f>IF(ISNUMBER(Clearance!I32),IF(ABS(Clearance!I32-P353)&lt;=0.000000000001*MAX(1,ABS(P353)),0,1),1)</f>
        <v>0</v>
      </c>
    </row>
    <row r="354" spans="15:18" x14ac:dyDescent="0.45">
      <c r="O354" s="8" t="s">
        <v>2115</v>
      </c>
      <c r="P354">
        <v>36.470724999999902</v>
      </c>
      <c r="Q354">
        <f>IF(ISBLANK(Clearance!C33),"",Clearance!C33)</f>
        <v>36.470724999999902</v>
      </c>
      <c r="R354">
        <f>IF(ISNUMBER(Clearance!C33),IF(ABS(Clearance!C33-P354)&lt;=0.000000000001*MAX(1,ABS(P354)),0,1),1)</f>
        <v>0</v>
      </c>
    </row>
    <row r="355" spans="15:18" x14ac:dyDescent="0.45">
      <c r="O355" s="8" t="s">
        <v>2116</v>
      </c>
      <c r="P355">
        <v>37.418310000000019</v>
      </c>
      <c r="Q355">
        <f>IF(ISBLANK(Clearance!D33),"",Clearance!D33)</f>
        <v>37.418310000000019</v>
      </c>
      <c r="R355">
        <f>IF(ISNUMBER(Clearance!D33),IF(ABS(Clearance!D33-P355)&lt;=0.000000000001*MAX(1,ABS(P355)),0,1),1)</f>
        <v>0</v>
      </c>
    </row>
    <row r="356" spans="15:18" x14ac:dyDescent="0.45">
      <c r="O356" s="8" t="s">
        <v>2117</v>
      </c>
      <c r="P356">
        <v>22.841197814000001</v>
      </c>
      <c r="Q356">
        <f>IF(ISBLANK(Clearance!G33),"",Clearance!G33)</f>
        <v>22.841197814000001</v>
      </c>
      <c r="R356">
        <f>IF(ISNUMBER(Clearance!G33),IF(ABS(Clearance!G33-P356)&lt;=0.000000000001*MAX(1,ABS(P356)),0,1),1)</f>
        <v>0</v>
      </c>
    </row>
    <row r="357" spans="15:18" x14ac:dyDescent="0.45">
      <c r="O357" s="8" t="s">
        <v>2118</v>
      </c>
      <c r="P357">
        <v>7.6396700032176648E-2</v>
      </c>
      <c r="Q357">
        <f>IF(ISBLANK(Clearance!H33),"",Clearance!H33)</f>
        <v>7.6396700032176648E-2</v>
      </c>
      <c r="R357">
        <f>IF(ISNUMBER(Clearance!H33),IF(ABS(Clearance!H33-P357)&lt;=0.000000000001*MAX(1,ABS(P357)),0,1),1)</f>
        <v>0</v>
      </c>
    </row>
    <row r="358" spans="15:18" x14ac:dyDescent="0.45">
      <c r="O358" s="8" t="s">
        <v>2119</v>
      </c>
      <c r="P358">
        <v>0</v>
      </c>
      <c r="Q358">
        <f>IF(ISBLANK(Clearance!I33),"",Clearance!I33)</f>
        <v>0</v>
      </c>
      <c r="R358">
        <f>IF(ISNUMBER(Clearance!I33),IF(ABS(Clearance!I33-P358)&lt;=0.000000000001*MAX(1,ABS(P358)),0,1),1)</f>
        <v>0</v>
      </c>
    </row>
    <row r="359" spans="15:18" x14ac:dyDescent="0.45">
      <c r="O359" s="8" t="s">
        <v>2120</v>
      </c>
      <c r="P359">
        <v>37.418310000000019</v>
      </c>
      <c r="Q359">
        <f>IF(ISBLANK(Clearance!C34),"",Clearance!C34)</f>
        <v>37.418310000000019</v>
      </c>
      <c r="R359">
        <f>IF(ISNUMBER(Clearance!C34),IF(ABS(Clearance!C34-P359)&lt;=0.000000000001*MAX(1,ABS(P359)),0,1),1)</f>
        <v>0</v>
      </c>
    </row>
    <row r="360" spans="15:18" x14ac:dyDescent="0.45">
      <c r="O360" s="8" t="s">
        <v>2121</v>
      </c>
      <c r="P360">
        <v>40.280353000000098</v>
      </c>
      <c r="Q360">
        <f>IF(ISBLANK(Clearance!D34),"",Clearance!D34)</f>
        <v>40.280353000000098</v>
      </c>
      <c r="R360">
        <f>IF(ISNUMBER(Clearance!D34),IF(ABS(Clearance!D34-P360)&lt;=0.000000000001*MAX(1,ABS(P360)),0,1),1)</f>
        <v>0</v>
      </c>
    </row>
    <row r="361" spans="15:18" x14ac:dyDescent="0.45">
      <c r="O361" s="8" t="s">
        <v>2122</v>
      </c>
      <c r="P361">
        <v>22.913590181</v>
      </c>
      <c r="Q361">
        <f>IF(ISBLANK(Clearance!G34),"",Clearance!G34)</f>
        <v>22.913590181</v>
      </c>
      <c r="R361">
        <f>IF(ISNUMBER(Clearance!G34),IF(ABS(Clearance!G34-P361)&lt;=0.000000000001*MAX(1,ABS(P361)),0,1),1)</f>
        <v>0</v>
      </c>
    </row>
    <row r="362" spans="15:18" x14ac:dyDescent="0.45">
      <c r="O362" s="8" t="s">
        <v>2123</v>
      </c>
      <c r="P362">
        <v>0.101845366054945</v>
      </c>
      <c r="Q362">
        <f>IF(ISBLANK(Clearance!H34),"",Clearance!H34)</f>
        <v>0.101845366054945</v>
      </c>
      <c r="R362">
        <f>IF(ISNUMBER(Clearance!H34),IF(ABS(Clearance!H34-P362)&lt;=0.000000000001*MAX(1,ABS(P362)),0,1),1)</f>
        <v>0</v>
      </c>
    </row>
    <row r="363" spans="15:18" x14ac:dyDescent="0.45">
      <c r="O363" s="8" t="s">
        <v>2124</v>
      </c>
      <c r="P363">
        <v>0</v>
      </c>
      <c r="Q363">
        <f>IF(ISBLANK(Clearance!I34),"",Clearance!I34)</f>
        <v>0</v>
      </c>
      <c r="R363">
        <f>IF(ISNUMBER(Clearance!I34),IF(ABS(Clearance!I34-P363)&lt;=0.000000000001*MAX(1,ABS(P363)),0,1),1)</f>
        <v>0</v>
      </c>
    </row>
    <row r="364" spans="15:18" x14ac:dyDescent="0.45">
      <c r="O364" s="8" t="s">
        <v>2125</v>
      </c>
      <c r="P364">
        <v>40.280353000000098</v>
      </c>
      <c r="Q364">
        <f>IF(ISBLANK(Clearance!C35),"",Clearance!C35)</f>
        <v>40.280353000000098</v>
      </c>
      <c r="R364">
        <f>IF(ISNUMBER(Clearance!C35),IF(ABS(Clearance!C35-P364)&lt;=0.000000000001*MAX(1,ABS(P364)),0,1),1)</f>
        <v>0</v>
      </c>
    </row>
    <row r="365" spans="15:18" x14ac:dyDescent="0.45">
      <c r="O365" s="8" t="s">
        <v>2126</v>
      </c>
      <c r="P365">
        <v>41.216775000000098</v>
      </c>
      <c r="Q365">
        <f>IF(ISBLANK(Clearance!D35),"",Clearance!D35)</f>
        <v>41.216775000000098</v>
      </c>
      <c r="R365">
        <f>IF(ISNUMBER(Clearance!D35),IF(ABS(Clearance!D35-P365)&lt;=0.000000000001*MAX(1,ABS(P365)),0,1),1)</f>
        <v>0</v>
      </c>
    </row>
    <row r="366" spans="15:18" x14ac:dyDescent="0.45">
      <c r="O366" s="8" t="s">
        <v>2127</v>
      </c>
      <c r="P366">
        <v>23.205075998000002</v>
      </c>
      <c r="Q366">
        <f>IF(ISBLANK(Clearance!G35),"",Clearance!G35)</f>
        <v>23.205075998000002</v>
      </c>
      <c r="R366">
        <f>IF(ISNUMBER(Clearance!G35),IF(ABS(Clearance!G35-P366)&lt;=0.000000000001*MAX(1,ABS(P366)),0,1),1)</f>
        <v>0</v>
      </c>
    </row>
    <row r="367" spans="15:18" x14ac:dyDescent="0.45">
      <c r="O367" s="8" t="s">
        <v>2128</v>
      </c>
      <c r="P367">
        <v>0.108325789013927</v>
      </c>
      <c r="Q367">
        <f>IF(ISBLANK(Clearance!H35),"",Clearance!H35)</f>
        <v>0.108325789013927</v>
      </c>
      <c r="R367">
        <f>IF(ISNUMBER(Clearance!H35),IF(ABS(Clearance!H35-P367)&lt;=0.000000000001*MAX(1,ABS(P367)),0,1),1)</f>
        <v>0</v>
      </c>
    </row>
    <row r="368" spans="15:18" x14ac:dyDescent="0.45">
      <c r="O368" s="8" t="s">
        <v>2129</v>
      </c>
      <c r="P368">
        <v>0</v>
      </c>
      <c r="Q368">
        <f>IF(ISBLANK(Clearance!I35),"",Clearance!I35)</f>
        <v>0</v>
      </c>
      <c r="R368">
        <f>IF(ISNUMBER(Clearance!I35),IF(ABS(Clearance!I35-P368)&lt;=0.000000000001*MAX(1,ABS(P368)),0,1),1)</f>
        <v>0</v>
      </c>
    </row>
    <row r="369" spans="15:18" x14ac:dyDescent="0.45">
      <c r="O369" s="8" t="s">
        <v>2130</v>
      </c>
      <c r="P369">
        <v>41.216775000000098</v>
      </c>
      <c r="Q369">
        <f>IF(ISBLANK(Clearance!C36),"",Clearance!C36)</f>
        <v>41.216775000000098</v>
      </c>
      <c r="R369">
        <f>IF(ISNUMBER(Clearance!C36),IF(ABS(Clearance!C36-P369)&lt;=0.000000000001*MAX(1,ABS(P369)),0,1),1)</f>
        <v>0</v>
      </c>
    </row>
    <row r="370" spans="15:18" x14ac:dyDescent="0.45">
      <c r="O370" s="8" t="s">
        <v>2131</v>
      </c>
      <c r="P370">
        <v>41.794176999999991</v>
      </c>
      <c r="Q370">
        <f>IF(ISBLANK(Clearance!D36),"",Clearance!D36)</f>
        <v>41.794176999999991</v>
      </c>
      <c r="R370">
        <f>IF(ISNUMBER(Clearance!D36),IF(ABS(Clearance!D36-P370)&lt;=0.000000000001*MAX(1,ABS(P370)),0,1),1)</f>
        <v>0</v>
      </c>
    </row>
    <row r="371" spans="15:18" x14ac:dyDescent="0.45">
      <c r="O371" s="8" t="s">
        <v>2132</v>
      </c>
      <c r="P371">
        <v>23.30651465</v>
      </c>
      <c r="Q371">
        <f>IF(ISBLANK(Clearance!G36),"",Clearance!G36)</f>
        <v>23.30651465</v>
      </c>
      <c r="R371">
        <f>IF(ISNUMBER(Clearance!G36),IF(ABS(Clearance!G36-P371)&lt;=0.000000000001*MAX(1,ABS(P371)),0,1),1)</f>
        <v>0</v>
      </c>
    </row>
    <row r="372" spans="15:18" x14ac:dyDescent="0.45">
      <c r="O372" s="8" t="s">
        <v>2133</v>
      </c>
      <c r="P372">
        <v>0.1811962757316741</v>
      </c>
      <c r="Q372">
        <f>IF(ISBLANK(Clearance!H36),"",Clearance!H36)</f>
        <v>0.1811962757316741</v>
      </c>
      <c r="R372">
        <f>IF(ISNUMBER(Clearance!H36),IF(ABS(Clearance!H36-P372)&lt;=0.000000000001*MAX(1,ABS(P372)),0,1),1)</f>
        <v>0</v>
      </c>
    </row>
    <row r="373" spans="15:18" x14ac:dyDescent="0.45">
      <c r="O373" s="8" t="s">
        <v>2134</v>
      </c>
      <c r="P373">
        <v>0</v>
      </c>
      <c r="Q373">
        <f>IF(ISBLANK(Clearance!I36),"",Clearance!I36)</f>
        <v>0</v>
      </c>
      <c r="R373">
        <f>IF(ISNUMBER(Clearance!I36),IF(ABS(Clearance!I36-P373)&lt;=0.000000000001*MAX(1,ABS(P373)),0,1),1)</f>
        <v>0</v>
      </c>
    </row>
    <row r="374" spans="15:18" x14ac:dyDescent="0.45">
      <c r="O374" s="8" t="s">
        <v>2135</v>
      </c>
      <c r="P374">
        <v>41.794176999999991</v>
      </c>
      <c r="Q374">
        <f>IF(ISBLANK(Clearance!C37),"",Clearance!C37)</f>
        <v>41.794176999999991</v>
      </c>
      <c r="R374">
        <f>IF(ISNUMBER(Clearance!C37),IF(ABS(Clearance!C37-P374)&lt;=0.000000000001*MAX(1,ABS(P374)),0,1),1)</f>
        <v>0</v>
      </c>
    </row>
    <row r="375" spans="15:18" x14ac:dyDescent="0.45">
      <c r="O375" s="8" t="s">
        <v>2136</v>
      </c>
      <c r="P375">
        <v>45.609353999999939</v>
      </c>
      <c r="Q375">
        <f>IF(ISBLANK(Clearance!D37),"",Clearance!D37)</f>
        <v>45.609353999999939</v>
      </c>
      <c r="R375">
        <f>IF(ISNUMBER(Clearance!D37),IF(ABS(Clearance!D37-P375)&lt;=0.000000000001*MAX(1,ABS(P375)),0,1),1)</f>
        <v>0</v>
      </c>
    </row>
    <row r="376" spans="15:18" x14ac:dyDescent="0.45">
      <c r="O376" s="8" t="s">
        <v>2137</v>
      </c>
      <c r="P376">
        <v>23.411137742000001</v>
      </c>
      <c r="Q376">
        <f>IF(ISBLANK(Clearance!G37),"",Clearance!G37)</f>
        <v>23.411137742000001</v>
      </c>
      <c r="R376">
        <f>IF(ISNUMBER(Clearance!G37),IF(ABS(Clearance!G37-P376)&lt;=0.000000000001*MAX(1,ABS(P376)),0,1),1)</f>
        <v>0</v>
      </c>
    </row>
    <row r="377" spans="15:18" x14ac:dyDescent="0.45">
      <c r="O377" s="8" t="s">
        <v>2138</v>
      </c>
      <c r="P377">
        <v>0.1834483836529755</v>
      </c>
      <c r="Q377">
        <f>IF(ISBLANK(Clearance!H37),"",Clearance!H37)</f>
        <v>0.1834483836529755</v>
      </c>
      <c r="R377">
        <f>IF(ISNUMBER(Clearance!H37),IF(ABS(Clearance!H37-P377)&lt;=0.000000000001*MAX(1,ABS(P377)),0,1),1)</f>
        <v>0</v>
      </c>
    </row>
    <row r="378" spans="15:18" x14ac:dyDescent="0.45">
      <c r="O378" s="8" t="s">
        <v>2139</v>
      </c>
      <c r="P378">
        <v>0</v>
      </c>
      <c r="Q378">
        <f>IF(ISBLANK(Clearance!I37),"",Clearance!I37)</f>
        <v>0</v>
      </c>
      <c r="R378">
        <f>IF(ISNUMBER(Clearance!I37),IF(ABS(Clearance!I37-P378)&lt;=0.000000000001*MAX(1,ABS(P378)),0,1),1)</f>
        <v>0</v>
      </c>
    </row>
    <row r="379" spans="15:18" x14ac:dyDescent="0.45">
      <c r="O379" s="8" t="s">
        <v>2140</v>
      </c>
      <c r="P379">
        <v>45.609353999999939</v>
      </c>
      <c r="Q379">
        <f>IF(ISBLANK(Clearance!C38),"",Clearance!C38)</f>
        <v>45.609353999999939</v>
      </c>
      <c r="R379">
        <f>IF(ISNUMBER(Clearance!C38),IF(ABS(Clearance!C38-P379)&lt;=0.000000000001*MAX(1,ABS(P379)),0,1),1)</f>
        <v>0</v>
      </c>
    </row>
    <row r="380" spans="15:18" x14ac:dyDescent="0.45">
      <c r="O380" s="8" t="s">
        <v>2141</v>
      </c>
      <c r="P380">
        <v>48.933579000000009</v>
      </c>
      <c r="Q380">
        <f>IF(ISBLANK(Clearance!D38),"",Clearance!D38)</f>
        <v>48.933579000000009</v>
      </c>
      <c r="R380">
        <f>IF(ISNUMBER(Clearance!D38),IF(ABS(Clearance!D38-P380)&lt;=0.000000000001*MAX(1,ABS(P380)),0,1),1)</f>
        <v>0</v>
      </c>
    </row>
    <row r="381" spans="15:18" x14ac:dyDescent="0.45">
      <c r="O381" s="8" t="s">
        <v>2142</v>
      </c>
      <c r="P381">
        <v>24.111025796</v>
      </c>
      <c r="Q381">
        <f>IF(ISBLANK(Clearance!G38),"",Clearance!G38)</f>
        <v>24.111025796</v>
      </c>
      <c r="R381">
        <f>IF(ISNUMBER(Clearance!G38),IF(ABS(Clearance!G38-P381)&lt;=0.000000000001*MAX(1,ABS(P381)),0,1),1)</f>
        <v>0</v>
      </c>
    </row>
    <row r="382" spans="15:18" x14ac:dyDescent="0.45">
      <c r="O382" s="8" t="s">
        <v>2143</v>
      </c>
      <c r="P382">
        <v>0.142833907752932</v>
      </c>
      <c r="Q382">
        <f>IF(ISBLANK(Clearance!H38),"",Clearance!H38)</f>
        <v>0.142833907752932</v>
      </c>
      <c r="R382">
        <f>IF(ISNUMBER(Clearance!H38),IF(ABS(Clearance!H38-P382)&lt;=0.000000000001*MAX(1,ABS(P382)),0,1),1)</f>
        <v>0</v>
      </c>
    </row>
    <row r="383" spans="15:18" x14ac:dyDescent="0.45">
      <c r="O383" s="8" t="s">
        <v>2144</v>
      </c>
      <c r="P383">
        <v>0</v>
      </c>
      <c r="Q383">
        <f>IF(ISBLANK(Clearance!I38),"",Clearance!I38)</f>
        <v>0</v>
      </c>
      <c r="R383">
        <f>IF(ISNUMBER(Clearance!I38),IF(ABS(Clearance!I38-P383)&lt;=0.000000000001*MAX(1,ABS(P383)),0,1),1)</f>
        <v>0</v>
      </c>
    </row>
    <row r="384" spans="15:18" x14ac:dyDescent="0.45">
      <c r="O384" s="8" t="s">
        <v>2145</v>
      </c>
      <c r="P384">
        <v>48.933579000000009</v>
      </c>
      <c r="Q384">
        <f>IF(ISBLANK(Clearance!C39),"",Clearance!C39)</f>
        <v>48.933579000000009</v>
      </c>
      <c r="R384">
        <f>IF(ISNUMBER(Clearance!C39),IF(ABS(Clearance!C39-P384)&lt;=0.000000000001*MAX(1,ABS(P384)),0,1),1)</f>
        <v>0</v>
      </c>
    </row>
    <row r="385" spans="15:18" x14ac:dyDescent="0.45">
      <c r="O385" s="8" t="s">
        <v>2146</v>
      </c>
      <c r="P385">
        <v>50.754384999999957</v>
      </c>
      <c r="Q385">
        <f>IF(ISBLANK(Clearance!D39),"",Clearance!D39)</f>
        <v>50.754384999999957</v>
      </c>
      <c r="R385">
        <f>IF(ISNUMBER(Clearance!D39),IF(ABS(Clearance!D39-P385)&lt;=0.000000000001*MAX(1,ABS(P385)),0,1),1)</f>
        <v>0</v>
      </c>
    </row>
    <row r="386" spans="15:18" x14ac:dyDescent="0.45">
      <c r="O386" s="8" t="s">
        <v>2147</v>
      </c>
      <c r="P386">
        <v>24.585837843</v>
      </c>
      <c r="Q386">
        <f>IF(ISBLANK(Clearance!G39),"",Clearance!G39)</f>
        <v>24.585837843</v>
      </c>
      <c r="R386">
        <f>IF(ISNUMBER(Clearance!G39),IF(ABS(Clearance!G39-P386)&lt;=0.000000000001*MAX(1,ABS(P386)),0,1),1)</f>
        <v>0</v>
      </c>
    </row>
    <row r="387" spans="15:18" x14ac:dyDescent="0.45">
      <c r="O387" s="8" t="s">
        <v>2148</v>
      </c>
      <c r="P387">
        <v>0.13535415689535699</v>
      </c>
      <c r="Q387">
        <f>IF(ISBLANK(Clearance!H39),"",Clearance!H39)</f>
        <v>0.13535415689535699</v>
      </c>
      <c r="R387">
        <f>IF(ISNUMBER(Clearance!H39),IF(ABS(Clearance!H39-P387)&lt;=0.000000000001*MAX(1,ABS(P387)),0,1),1)</f>
        <v>0</v>
      </c>
    </row>
    <row r="388" spans="15:18" x14ac:dyDescent="0.45">
      <c r="O388" s="8" t="s">
        <v>2149</v>
      </c>
      <c r="P388">
        <v>0</v>
      </c>
      <c r="Q388">
        <f>IF(ISBLANK(Clearance!I39),"",Clearance!I39)</f>
        <v>0</v>
      </c>
      <c r="R388">
        <f>IF(ISNUMBER(Clearance!I39),IF(ABS(Clearance!I39-P388)&lt;=0.000000000001*MAX(1,ABS(P388)),0,1),1)</f>
        <v>0</v>
      </c>
    </row>
    <row r="389" spans="15:18" x14ac:dyDescent="0.45">
      <c r="O389" s="8" t="s">
        <v>2150</v>
      </c>
      <c r="P389">
        <v>50.754384999999957</v>
      </c>
      <c r="Q389">
        <f>IF(ISBLANK(Clearance!C40),"",Clearance!C40)</f>
        <v>50.754384999999957</v>
      </c>
      <c r="R389">
        <f>IF(ISNUMBER(Clearance!C40),IF(ABS(Clearance!C40-P389)&lt;=0.000000000001*MAX(1,ABS(P389)),0,1),1)</f>
        <v>0</v>
      </c>
    </row>
    <row r="390" spans="15:18" x14ac:dyDescent="0.45">
      <c r="O390" s="8" t="s">
        <v>2151</v>
      </c>
      <c r="P390">
        <v>51.302572999999938</v>
      </c>
      <c r="Q390">
        <f>IF(ISBLANK(Clearance!D40),"",Clearance!D40)</f>
        <v>51.302572999999938</v>
      </c>
      <c r="R390">
        <f>IF(ISNUMBER(Clearance!D40),IF(ABS(Clearance!D40-P390)&lt;=0.000000000001*MAX(1,ABS(P390)),0,1),1)</f>
        <v>0</v>
      </c>
    </row>
    <row r="391" spans="15:18" x14ac:dyDescent="0.45">
      <c r="O391" s="8" t="s">
        <v>2152</v>
      </c>
      <c r="P391">
        <v>24.832291504000001</v>
      </c>
      <c r="Q391">
        <f>IF(ISBLANK(Clearance!G40),"",Clearance!G40)</f>
        <v>24.832291504000001</v>
      </c>
      <c r="R391">
        <f>IF(ISNUMBER(Clearance!G40),IF(ABS(Clearance!G40-P391)&lt;=0.000000000001*MAX(1,ABS(P391)),0,1),1)</f>
        <v>0</v>
      </c>
    </row>
    <row r="392" spans="15:18" x14ac:dyDescent="0.45">
      <c r="O392" s="8" t="s">
        <v>2153</v>
      </c>
      <c r="P392">
        <v>3.4381686574679188E-2</v>
      </c>
      <c r="Q392">
        <f>IF(ISBLANK(Clearance!H40),"",Clearance!H40)</f>
        <v>3.4381686574679188E-2</v>
      </c>
      <c r="R392">
        <f>IF(ISNUMBER(Clearance!H40),IF(ABS(Clearance!H40-P392)&lt;=0.000000000001*MAX(1,ABS(P392)),0,1),1)</f>
        <v>0</v>
      </c>
    </row>
    <row r="393" spans="15:18" x14ac:dyDescent="0.45">
      <c r="O393" s="8" t="s">
        <v>2154</v>
      </c>
      <c r="P393">
        <v>0</v>
      </c>
      <c r="Q393">
        <f>IF(ISBLANK(Clearance!I40),"",Clearance!I40)</f>
        <v>0</v>
      </c>
      <c r="R393">
        <f>IF(ISNUMBER(Clearance!I40),IF(ABS(Clearance!I40-P393)&lt;=0.000000000001*MAX(1,ABS(P393)),0,1),1)</f>
        <v>0</v>
      </c>
    </row>
    <row r="394" spans="15:18" x14ac:dyDescent="0.45">
      <c r="O394" s="8" t="s">
        <v>2155</v>
      </c>
      <c r="P394">
        <v>51.302572999999938</v>
      </c>
      <c r="Q394">
        <f>IF(ISBLANK(Clearance!C41),"",Clearance!C41)</f>
        <v>51.302572999999938</v>
      </c>
      <c r="R394">
        <f>IF(ISNUMBER(Clearance!C41),IF(ABS(Clearance!C41-P394)&lt;=0.000000000001*MAX(1,ABS(P394)),0,1),1)</f>
        <v>0</v>
      </c>
    </row>
    <row r="395" spans="15:18" x14ac:dyDescent="0.45">
      <c r="O395" s="8" t="s">
        <v>2156</v>
      </c>
      <c r="P395">
        <v>52.189026999999903</v>
      </c>
      <c r="Q395">
        <f>IF(ISBLANK(Clearance!D41),"",Clearance!D41)</f>
        <v>52.189026999999903</v>
      </c>
      <c r="R395">
        <f>IF(ISNUMBER(Clearance!D41),IF(ABS(Clearance!D41-P395)&lt;=0.000000000001*MAX(1,ABS(P395)),0,1),1)</f>
        <v>0</v>
      </c>
    </row>
    <row r="396" spans="15:18" x14ac:dyDescent="0.45">
      <c r="O396" s="8" t="s">
        <v>2157</v>
      </c>
      <c r="P396">
        <v>24.851139132</v>
      </c>
      <c r="Q396">
        <f>IF(ISBLANK(Clearance!G41),"",Clearance!G41)</f>
        <v>24.851139132</v>
      </c>
      <c r="R396">
        <f>IF(ISNUMBER(Clearance!G41),IF(ABS(Clearance!G41-P396)&lt;=0.000000000001*MAX(1,ABS(P396)),0,1),1)</f>
        <v>0</v>
      </c>
    </row>
    <row r="397" spans="15:18" x14ac:dyDescent="0.45">
      <c r="O397" s="8" t="s">
        <v>2158</v>
      </c>
      <c r="P397">
        <v>7.7078686542115152E-2</v>
      </c>
      <c r="Q397">
        <f>IF(ISBLANK(Clearance!H41),"",Clearance!H41)</f>
        <v>7.7078686542115152E-2</v>
      </c>
      <c r="R397">
        <f>IF(ISNUMBER(Clearance!H41),IF(ABS(Clearance!H41-P397)&lt;=0.000000000001*MAX(1,ABS(P397)),0,1),1)</f>
        <v>0</v>
      </c>
    </row>
    <row r="398" spans="15:18" x14ac:dyDescent="0.45">
      <c r="O398" s="8" t="s">
        <v>2159</v>
      </c>
      <c r="P398">
        <v>0</v>
      </c>
      <c r="Q398">
        <f>IF(ISBLANK(Clearance!I41),"",Clearance!I41)</f>
        <v>0</v>
      </c>
      <c r="R398">
        <f>IF(ISNUMBER(Clearance!I41),IF(ABS(Clearance!I41-P398)&lt;=0.000000000001*MAX(1,ABS(P398)),0,1),1)</f>
        <v>0</v>
      </c>
    </row>
    <row r="399" spans="15:18" x14ac:dyDescent="0.45">
      <c r="O399" s="8" t="s">
        <v>2160</v>
      </c>
      <c r="P399">
        <v>52.189026999999903</v>
      </c>
      <c r="Q399">
        <f>IF(ISBLANK(Clearance!C42),"",Clearance!C42)</f>
        <v>52.189026999999903</v>
      </c>
      <c r="R399">
        <f>IF(ISNUMBER(Clearance!C42),IF(ABS(Clearance!C42-P399)&lt;=0.000000000001*MAX(1,ABS(P399)),0,1),1)</f>
        <v>0</v>
      </c>
    </row>
    <row r="400" spans="15:18" x14ac:dyDescent="0.45">
      <c r="O400" s="8" t="s">
        <v>2161</v>
      </c>
      <c r="P400">
        <v>52.432835000000068</v>
      </c>
      <c r="Q400">
        <f>IF(ISBLANK(Clearance!D42),"",Clearance!D42)</f>
        <v>52.432835000000068</v>
      </c>
      <c r="R400">
        <f>IF(ISNUMBER(Clearance!D42),IF(ABS(Clearance!D42-P400)&lt;=0.000000000001*MAX(1,ABS(P400)),0,1),1)</f>
        <v>0</v>
      </c>
    </row>
    <row r="401" spans="15:18" x14ac:dyDescent="0.45">
      <c r="O401" s="8" t="s">
        <v>2162</v>
      </c>
      <c r="P401">
        <v>24.919465842000001</v>
      </c>
      <c r="Q401">
        <f>IF(ISBLANK(Clearance!G42),"",Clearance!G42)</f>
        <v>24.919465842000001</v>
      </c>
      <c r="R401">
        <f>IF(ISNUMBER(Clearance!G42),IF(ABS(Clearance!G42-P401)&lt;=0.000000000001*MAX(1,ABS(P401)),0,1),1)</f>
        <v>0</v>
      </c>
    </row>
    <row r="402" spans="15:18" x14ac:dyDescent="0.45">
      <c r="O402" s="8" t="s">
        <v>2163</v>
      </c>
      <c r="P402">
        <v>-0.21535840497426401</v>
      </c>
      <c r="Q402">
        <f>IF(ISBLANK(Clearance!H42),"",Clearance!H42)</f>
        <v>-0.21535840497426401</v>
      </c>
      <c r="R402">
        <f>IF(ISNUMBER(Clearance!H42),IF(ABS(Clearance!H42-P402)&lt;=0.000000000001*MAX(1,ABS(P402)),0,1),1)</f>
        <v>0</v>
      </c>
    </row>
    <row r="403" spans="15:18" x14ac:dyDescent="0.45">
      <c r="O403" s="8" t="s">
        <v>2164</v>
      </c>
      <c r="P403">
        <v>0</v>
      </c>
      <c r="Q403">
        <f>IF(ISBLANK(Clearance!I42),"",Clearance!I42)</f>
        <v>0</v>
      </c>
      <c r="R403">
        <f>IF(ISNUMBER(Clearance!I42),IF(ABS(Clearance!I42-P403)&lt;=0.000000000001*MAX(1,ABS(P403)),0,1),1)</f>
        <v>0</v>
      </c>
    </row>
    <row r="404" spans="15:18" x14ac:dyDescent="0.45">
      <c r="O404" s="8" t="s">
        <v>2165</v>
      </c>
      <c r="P404">
        <v>52.432835000000068</v>
      </c>
      <c r="Q404">
        <f>IF(ISBLANK(Clearance!C43),"",Clearance!C43)</f>
        <v>52.432835000000068</v>
      </c>
      <c r="R404">
        <f>IF(ISNUMBER(Clearance!C43),IF(ABS(Clearance!C43-P404)&lt;=0.000000000001*MAX(1,ABS(P404)),0,1),1)</f>
        <v>0</v>
      </c>
    </row>
    <row r="405" spans="15:18" x14ac:dyDescent="0.45">
      <c r="O405" s="8" t="s">
        <v>2166</v>
      </c>
      <c r="P405">
        <v>52.682430000000068</v>
      </c>
      <c r="Q405">
        <f>IF(ISBLANK(Clearance!D43),"",Clearance!D43)</f>
        <v>52.682430000000068</v>
      </c>
      <c r="R405">
        <f>IF(ISNUMBER(Clearance!D43),IF(ABS(Clearance!D43-P405)&lt;=0.000000000001*MAX(1,ABS(P405)),0,1),1)</f>
        <v>0</v>
      </c>
    </row>
    <row r="406" spans="15:18" x14ac:dyDescent="0.45">
      <c r="O406" s="8" t="s">
        <v>2167</v>
      </c>
      <c r="P406">
        <v>24.866959739999999</v>
      </c>
      <c r="Q406">
        <f>IF(ISBLANK(Clearance!G43),"",Clearance!G43)</f>
        <v>24.866959739999999</v>
      </c>
      <c r="R406">
        <f>IF(ISNUMBER(Clearance!G43),IF(ABS(Clearance!G43-P406)&lt;=0.000000000001*MAX(1,ABS(P406)),0,1),1)</f>
        <v>0</v>
      </c>
    </row>
    <row r="407" spans="15:18" x14ac:dyDescent="0.45">
      <c r="O407" s="8" t="s">
        <v>2168</v>
      </c>
      <c r="P407">
        <v>-0.30096499529236831</v>
      </c>
      <c r="Q407">
        <f>IF(ISBLANK(Clearance!H43),"",Clearance!H43)</f>
        <v>-0.30096499529236831</v>
      </c>
      <c r="R407">
        <f>IF(ISNUMBER(Clearance!H43),IF(ABS(Clearance!H43-P407)&lt;=0.000000000001*MAX(1,ABS(P407)),0,1),1)</f>
        <v>0</v>
      </c>
    </row>
    <row r="408" spans="15:18" x14ac:dyDescent="0.45">
      <c r="O408" s="8" t="s">
        <v>2169</v>
      </c>
      <c r="P408">
        <v>0</v>
      </c>
      <c r="Q408">
        <f>IF(ISBLANK(Clearance!I43),"",Clearance!I43)</f>
        <v>0</v>
      </c>
      <c r="R408">
        <f>IF(ISNUMBER(Clearance!I43),IF(ABS(Clearance!I43-P408)&lt;=0.000000000001*MAX(1,ABS(P408)),0,1),1)</f>
        <v>0</v>
      </c>
    </row>
    <row r="409" spans="15:18" x14ac:dyDescent="0.45">
      <c r="O409" s="8" t="s">
        <v>2170</v>
      </c>
      <c r="P409">
        <v>52.682430000000068</v>
      </c>
      <c r="Q409">
        <f>IF(ISBLANK(Clearance!C44),"",Clearance!C44)</f>
        <v>52.682430000000068</v>
      </c>
      <c r="R409">
        <f>IF(ISNUMBER(Clearance!C44),IF(ABS(Clearance!C44-P409)&lt;=0.000000000001*MAX(1,ABS(P409)),0,1),1)</f>
        <v>0</v>
      </c>
    </row>
    <row r="410" spans="15:18" x14ac:dyDescent="0.45">
      <c r="O410" s="8" t="s">
        <v>2171</v>
      </c>
      <c r="P410">
        <v>52.96255599999995</v>
      </c>
      <c r="Q410">
        <f>IF(ISBLANK(Clearance!D44),"",Clearance!D44)</f>
        <v>52.96255599999995</v>
      </c>
      <c r="R410">
        <f>IF(ISNUMBER(Clearance!D44),IF(ABS(Clearance!D44-P410)&lt;=0.000000000001*MAX(1,ABS(P410)),0,1),1)</f>
        <v>0</v>
      </c>
    </row>
    <row r="411" spans="15:18" x14ac:dyDescent="0.45">
      <c r="O411" s="8" t="s">
        <v>2172</v>
      </c>
      <c r="P411">
        <v>24.791840382</v>
      </c>
      <c r="Q411">
        <f>IF(ISBLANK(Clearance!G44),"",Clearance!G44)</f>
        <v>24.791840382</v>
      </c>
      <c r="R411">
        <f>IF(ISNUMBER(Clearance!G44),IF(ABS(Clearance!G44-P411)&lt;=0.000000000001*MAX(1,ABS(P411)),0,1),1)</f>
        <v>0</v>
      </c>
    </row>
    <row r="412" spans="15:18" x14ac:dyDescent="0.45">
      <c r="O412" s="8" t="s">
        <v>2173</v>
      </c>
      <c r="P412">
        <v>-0.33986554264880942</v>
      </c>
      <c r="Q412">
        <f>IF(ISBLANK(Clearance!H44),"",Clearance!H44)</f>
        <v>-0.33986554264880942</v>
      </c>
      <c r="R412">
        <f>IF(ISNUMBER(Clearance!H44),IF(ABS(Clearance!H44-P412)&lt;=0.000000000001*MAX(1,ABS(P412)),0,1),1)</f>
        <v>0</v>
      </c>
    </row>
    <row r="413" spans="15:18" x14ac:dyDescent="0.45">
      <c r="O413" s="8" t="s">
        <v>2174</v>
      </c>
      <c r="P413">
        <v>0</v>
      </c>
      <c r="Q413">
        <f>IF(ISBLANK(Clearance!I44),"",Clearance!I44)</f>
        <v>0</v>
      </c>
      <c r="R413">
        <f>IF(ISNUMBER(Clearance!I44),IF(ABS(Clearance!I44-P413)&lt;=0.000000000001*MAX(1,ABS(P413)),0,1),1)</f>
        <v>0</v>
      </c>
    </row>
    <row r="414" spans="15:18" x14ac:dyDescent="0.45">
      <c r="O414" s="8" t="s">
        <v>2175</v>
      </c>
      <c r="P414">
        <v>52.96255599999995</v>
      </c>
      <c r="Q414">
        <f>IF(ISBLANK(Clearance!C45),"",Clearance!C45)</f>
        <v>52.96255599999995</v>
      </c>
      <c r="R414">
        <f>IF(ISNUMBER(Clearance!C45),IF(ABS(Clearance!C45-P414)&lt;=0.000000000001*MAX(1,ABS(P414)),0,1),1)</f>
        <v>0</v>
      </c>
    </row>
    <row r="415" spans="15:18" x14ac:dyDescent="0.45">
      <c r="O415" s="8" t="s">
        <v>2176</v>
      </c>
      <c r="P415">
        <v>53.967198000000053</v>
      </c>
      <c r="Q415">
        <f>IF(ISBLANK(Clearance!D45),"",Clearance!D45)</f>
        <v>53.967198000000053</v>
      </c>
      <c r="R415">
        <f>IF(ISNUMBER(Clearance!D45),IF(ABS(Clearance!D45-P415)&lt;=0.000000000001*MAX(1,ABS(P415)),0,1),1)</f>
        <v>0</v>
      </c>
    </row>
    <row r="416" spans="15:18" x14ac:dyDescent="0.45">
      <c r="O416" s="8" t="s">
        <v>2177</v>
      </c>
      <c r="P416">
        <v>24.696635207</v>
      </c>
      <c r="Q416">
        <f>IF(ISBLANK(Clearance!G45),"",Clearance!G45)</f>
        <v>24.696635207</v>
      </c>
      <c r="R416">
        <f>IF(ISNUMBER(Clearance!G45),IF(ABS(Clearance!G45-P416)&lt;=0.000000000001*MAX(1,ABS(P416)),0,1),1)</f>
        <v>0</v>
      </c>
    </row>
    <row r="417" spans="15:18" x14ac:dyDescent="0.45">
      <c r="O417" s="8" t="s">
        <v>2178</v>
      </c>
      <c r="P417">
        <v>6.4491007742055878E-2</v>
      </c>
      <c r="Q417">
        <f>IF(ISBLANK(Clearance!H45),"",Clearance!H45)</f>
        <v>6.4491007742055878E-2</v>
      </c>
      <c r="R417">
        <f>IF(ISNUMBER(Clearance!H45),IF(ABS(Clearance!H45-P417)&lt;=0.000000000001*MAX(1,ABS(P417)),0,1),1)</f>
        <v>0</v>
      </c>
    </row>
    <row r="418" spans="15:18" x14ac:dyDescent="0.45">
      <c r="O418" s="8" t="s">
        <v>2179</v>
      </c>
      <c r="P418">
        <v>0</v>
      </c>
      <c r="Q418">
        <f>IF(ISBLANK(Clearance!I45),"",Clearance!I45)</f>
        <v>0</v>
      </c>
      <c r="R418">
        <f>IF(ISNUMBER(Clearance!I45),IF(ABS(Clearance!I45-P418)&lt;=0.000000000001*MAX(1,ABS(P418)),0,1),1)</f>
        <v>0</v>
      </c>
    </row>
    <row r="419" spans="15:18" x14ac:dyDescent="0.45">
      <c r="O419" s="8" t="s">
        <v>2180</v>
      </c>
      <c r="P419">
        <v>53.967198000000053</v>
      </c>
      <c r="Q419">
        <f>IF(ISBLANK(Clearance!C46),"",Clearance!C46)</f>
        <v>53.967198000000053</v>
      </c>
      <c r="R419">
        <f>IF(ISNUMBER(Clearance!C46),IF(ABS(Clearance!C46-P419)&lt;=0.000000000001*MAX(1,ABS(P419)),0,1),1)</f>
        <v>0</v>
      </c>
    </row>
    <row r="420" spans="15:18" x14ac:dyDescent="0.45">
      <c r="O420" s="8" t="s">
        <v>2181</v>
      </c>
      <c r="P420">
        <v>55.472052000000083</v>
      </c>
      <c r="Q420">
        <f>IF(ISBLANK(Clearance!D46),"",Clearance!D46)</f>
        <v>55.472052000000083</v>
      </c>
      <c r="R420">
        <f>IF(ISNUMBER(Clearance!D46),IF(ABS(Clearance!D46-P420)&lt;=0.000000000001*MAX(1,ABS(P420)),0,1),1)</f>
        <v>0</v>
      </c>
    </row>
    <row r="421" spans="15:18" x14ac:dyDescent="0.45">
      <c r="O421" s="8" t="s">
        <v>2182</v>
      </c>
      <c r="P421">
        <v>24.761425582000001</v>
      </c>
      <c r="Q421">
        <f>IF(ISBLANK(Clearance!G46),"",Clearance!G46)</f>
        <v>24.761425582000001</v>
      </c>
      <c r="R421">
        <f>IF(ISNUMBER(Clearance!G46),IF(ABS(Clearance!G46-P421)&lt;=0.000000000001*MAX(1,ABS(P421)),0,1),1)</f>
        <v>0</v>
      </c>
    </row>
    <row r="422" spans="15:18" x14ac:dyDescent="0.45">
      <c r="O422" s="8" t="s">
        <v>2183</v>
      </c>
      <c r="P422">
        <v>7.6687324484631919E-2</v>
      </c>
      <c r="Q422">
        <f>IF(ISBLANK(Clearance!H46),"",Clearance!H46)</f>
        <v>7.6687324484631919E-2</v>
      </c>
      <c r="R422">
        <f>IF(ISNUMBER(Clearance!H46),IF(ABS(Clearance!H46-P422)&lt;=0.000000000001*MAX(1,ABS(P422)),0,1),1)</f>
        <v>0</v>
      </c>
    </row>
    <row r="423" spans="15:18" x14ac:dyDescent="0.45">
      <c r="O423" s="8" t="s">
        <v>2184</v>
      </c>
      <c r="P423">
        <v>0</v>
      </c>
      <c r="Q423">
        <f>IF(ISBLANK(Clearance!I46),"",Clearance!I46)</f>
        <v>0</v>
      </c>
      <c r="R423">
        <f>IF(ISNUMBER(Clearance!I46),IF(ABS(Clearance!I46-P423)&lt;=0.000000000001*MAX(1,ABS(P423)),0,1),1)</f>
        <v>0</v>
      </c>
    </row>
    <row r="424" spans="15:18" x14ac:dyDescent="0.45">
      <c r="O424" s="8" t="s">
        <v>2185</v>
      </c>
      <c r="P424">
        <v>55.472052000000083</v>
      </c>
      <c r="Q424">
        <f>IF(ISBLANK(Clearance!C47),"",Clearance!C47)</f>
        <v>55.472052000000083</v>
      </c>
      <c r="R424">
        <f>IF(ISNUMBER(Clearance!C47),IF(ABS(Clearance!C47-P424)&lt;=0.000000000001*MAX(1,ABS(P424)),0,1),1)</f>
        <v>0</v>
      </c>
    </row>
    <row r="425" spans="15:18" x14ac:dyDescent="0.45">
      <c r="O425" s="8" t="s">
        <v>2186</v>
      </c>
      <c r="P425">
        <v>58.778671999999908</v>
      </c>
      <c r="Q425">
        <f>IF(ISBLANK(Clearance!D47),"",Clearance!D47)</f>
        <v>58.778671999999908</v>
      </c>
      <c r="R425">
        <f>IF(ISNUMBER(Clearance!D47),IF(ABS(Clearance!D47-P425)&lt;=0.000000000001*MAX(1,ABS(P425)),0,1),1)</f>
        <v>0</v>
      </c>
    </row>
    <row r="426" spans="15:18" x14ac:dyDescent="0.45">
      <c r="O426" s="8" t="s">
        <v>2187</v>
      </c>
      <c r="P426">
        <v>24.876828808999999</v>
      </c>
      <c r="Q426">
        <f>IF(ISBLANK(Clearance!G47),"",Clearance!G47)</f>
        <v>24.876828808999999</v>
      </c>
      <c r="R426">
        <f>IF(ISNUMBER(Clearance!G47),IF(ABS(Clearance!G47-P426)&lt;=0.000000000001*MAX(1,ABS(P426)),0,1),1)</f>
        <v>0</v>
      </c>
    </row>
    <row r="427" spans="15:18" x14ac:dyDescent="0.45">
      <c r="O427" s="8" t="s">
        <v>2188</v>
      </c>
      <c r="P427">
        <v>6.6165146282310114E-2</v>
      </c>
      <c r="Q427">
        <f>IF(ISBLANK(Clearance!H47),"",Clearance!H47)</f>
        <v>6.6165146282310114E-2</v>
      </c>
      <c r="R427">
        <f>IF(ISNUMBER(Clearance!H47),IF(ABS(Clearance!H47-P427)&lt;=0.000000000001*MAX(1,ABS(P427)),0,1),1)</f>
        <v>0</v>
      </c>
    </row>
    <row r="428" spans="15:18" x14ac:dyDescent="0.45">
      <c r="O428" s="8" t="s">
        <v>2189</v>
      </c>
      <c r="P428">
        <v>0</v>
      </c>
      <c r="Q428">
        <f>IF(ISBLANK(Clearance!I47),"",Clearance!I47)</f>
        <v>0</v>
      </c>
      <c r="R428">
        <f>IF(ISNUMBER(Clearance!I47),IF(ABS(Clearance!I47-P428)&lt;=0.000000000001*MAX(1,ABS(P428)),0,1),1)</f>
        <v>0</v>
      </c>
    </row>
    <row r="429" spans="15:18" x14ac:dyDescent="0.45">
      <c r="O429" s="8" t="s">
        <v>2190</v>
      </c>
      <c r="P429">
        <v>58.778671999999908</v>
      </c>
      <c r="Q429">
        <f>IF(ISBLANK(Clearance!C48),"",Clearance!C48)</f>
        <v>58.778671999999908</v>
      </c>
      <c r="R429">
        <f>IF(ISNUMBER(Clearance!C48),IF(ABS(Clearance!C48-P429)&lt;=0.000000000001*MAX(1,ABS(P429)),0,1),1)</f>
        <v>0</v>
      </c>
    </row>
    <row r="430" spans="15:18" x14ac:dyDescent="0.45">
      <c r="O430" s="8" t="s">
        <v>2191</v>
      </c>
      <c r="P430">
        <v>61.01622999999995</v>
      </c>
      <c r="Q430">
        <f>IF(ISBLANK(Clearance!D48),"",Clearance!D48)</f>
        <v>61.01622999999995</v>
      </c>
      <c r="R430">
        <f>IF(ISNUMBER(Clearance!D48),IF(ABS(Clearance!D48-P430)&lt;=0.000000000001*MAX(1,ABS(P430)),0,1),1)</f>
        <v>0</v>
      </c>
    </row>
    <row r="431" spans="15:18" x14ac:dyDescent="0.45">
      <c r="O431" s="8" t="s">
        <v>2192</v>
      </c>
      <c r="P431">
        <v>25.095611805000001</v>
      </c>
      <c r="Q431">
        <f>IF(ISBLANK(Clearance!G48),"",Clearance!G48)</f>
        <v>25.095611805000001</v>
      </c>
      <c r="R431">
        <f>IF(ISNUMBER(Clearance!G48),IF(ABS(Clearance!G48-P431)&lt;=0.000000000001*MAX(1,ABS(P431)),0,1),1)</f>
        <v>0</v>
      </c>
    </row>
    <row r="432" spans="15:18" x14ac:dyDescent="0.45">
      <c r="O432" s="8" t="s">
        <v>2193</v>
      </c>
      <c r="P432">
        <v>7.0401725452477942E-2</v>
      </c>
      <c r="Q432">
        <f>IF(ISBLANK(Clearance!H48),"",Clearance!H48)</f>
        <v>7.0401725452477942E-2</v>
      </c>
      <c r="R432">
        <f>IF(ISNUMBER(Clearance!H48),IF(ABS(Clearance!H48-P432)&lt;=0.000000000001*MAX(1,ABS(P432)),0,1),1)</f>
        <v>0</v>
      </c>
    </row>
    <row r="433" spans="15:18" x14ac:dyDescent="0.45">
      <c r="O433" s="8" t="s">
        <v>2194</v>
      </c>
      <c r="P433">
        <v>0</v>
      </c>
      <c r="Q433">
        <f>IF(ISBLANK(Clearance!I48),"",Clearance!I48)</f>
        <v>0</v>
      </c>
      <c r="R433">
        <f>IF(ISNUMBER(Clearance!I48),IF(ABS(Clearance!I48-P433)&lt;=0.000000000001*MAX(1,ABS(P433)),0,1),1)</f>
        <v>0</v>
      </c>
    </row>
    <row r="434" spans="15:18" x14ac:dyDescent="0.45">
      <c r="O434" s="8" t="s">
        <v>2195</v>
      </c>
      <c r="P434">
        <v>61.01622999999995</v>
      </c>
      <c r="Q434">
        <f>IF(ISBLANK(Clearance!C49),"",Clearance!C49)</f>
        <v>61.01622999999995</v>
      </c>
      <c r="R434">
        <f>IF(ISNUMBER(Clearance!C49),IF(ABS(Clearance!C49-P434)&lt;=0.000000000001*MAX(1,ABS(P434)),0,1),1)</f>
        <v>0</v>
      </c>
    </row>
    <row r="435" spans="15:18" x14ac:dyDescent="0.45">
      <c r="O435" s="8" t="s">
        <v>2196</v>
      </c>
      <c r="P435">
        <v>61.856831000000057</v>
      </c>
      <c r="Q435">
        <f>IF(ISBLANK(Clearance!D49),"",Clearance!D49)</f>
        <v>61.856831000000057</v>
      </c>
      <c r="R435">
        <f>IF(ISNUMBER(Clearance!D49),IF(ABS(Clearance!D49-P435)&lt;=0.000000000001*MAX(1,ABS(P435)),0,1),1)</f>
        <v>0</v>
      </c>
    </row>
    <row r="436" spans="15:18" x14ac:dyDescent="0.45">
      <c r="O436" s="8" t="s">
        <v>2197</v>
      </c>
      <c r="P436">
        <v>25.253139748999999</v>
      </c>
      <c r="Q436">
        <f>IF(ISBLANK(Clearance!G49),"",Clearance!G49)</f>
        <v>25.253139748999999</v>
      </c>
      <c r="R436">
        <f>IF(ISNUMBER(Clearance!G49),IF(ABS(Clearance!G49-P436)&lt;=0.000000000001*MAX(1,ABS(P436)),0,1),1)</f>
        <v>0</v>
      </c>
    </row>
    <row r="437" spans="15:18" x14ac:dyDescent="0.45">
      <c r="O437" s="8" t="s">
        <v>2198</v>
      </c>
      <c r="P437">
        <v>3.5916086228776463E-2</v>
      </c>
      <c r="Q437">
        <f>IF(ISBLANK(Clearance!H49),"",Clearance!H49)</f>
        <v>3.5916086228776463E-2</v>
      </c>
      <c r="R437">
        <f>IF(ISNUMBER(Clearance!H49),IF(ABS(Clearance!H49-P437)&lt;=0.000000000001*MAX(1,ABS(P437)),0,1),1)</f>
        <v>0</v>
      </c>
    </row>
    <row r="438" spans="15:18" x14ac:dyDescent="0.45">
      <c r="O438" s="8" t="s">
        <v>2199</v>
      </c>
      <c r="P438">
        <v>0</v>
      </c>
      <c r="Q438">
        <f>IF(ISBLANK(Clearance!I49),"",Clearance!I49)</f>
        <v>0</v>
      </c>
      <c r="R438">
        <f>IF(ISNUMBER(Clearance!I49),IF(ABS(Clearance!I49-P438)&lt;=0.000000000001*MAX(1,ABS(P438)),0,1),1)</f>
        <v>0</v>
      </c>
    </row>
    <row r="439" spans="15:18" x14ac:dyDescent="0.45">
      <c r="O439" s="8" t="s">
        <v>2200</v>
      </c>
      <c r="P439">
        <v>61.856831000000057</v>
      </c>
      <c r="Q439">
        <f>IF(ISBLANK(Clearance!C50),"",Clearance!C50)</f>
        <v>61.856831000000057</v>
      </c>
      <c r="R439">
        <f>IF(ISNUMBER(Clearance!C50),IF(ABS(Clearance!C50-P439)&lt;=0.000000000001*MAX(1,ABS(P439)),0,1),1)</f>
        <v>0</v>
      </c>
    </row>
    <row r="440" spans="15:18" x14ac:dyDescent="0.45">
      <c r="O440" s="8" t="s">
        <v>2201</v>
      </c>
      <c r="P440">
        <v>63.03118500000005</v>
      </c>
      <c r="Q440">
        <f>IF(ISBLANK(Clearance!D50),"",Clearance!D50)</f>
        <v>63.03118500000005</v>
      </c>
      <c r="R440">
        <f>IF(ISNUMBER(Clearance!D50),IF(ABS(Clearance!D50-P440)&lt;=0.000000000001*MAX(1,ABS(P440)),0,1),1)</f>
        <v>0</v>
      </c>
    </row>
    <row r="441" spans="15:18" x14ac:dyDescent="0.45">
      <c r="O441" s="8" t="s">
        <v>2202</v>
      </c>
      <c r="P441">
        <v>25.283330846999998</v>
      </c>
      <c r="Q441">
        <f>IF(ISBLANK(Clearance!G50),"",Clearance!G50)</f>
        <v>25.283330846999998</v>
      </c>
      <c r="R441">
        <f>IF(ISNUMBER(Clearance!G50),IF(ABS(Clearance!G50-P441)&lt;=0.000000000001*MAX(1,ABS(P441)),0,1),1)</f>
        <v>0</v>
      </c>
    </row>
    <row r="442" spans="15:18" x14ac:dyDescent="0.45">
      <c r="O442" s="8" t="s">
        <v>2203</v>
      </c>
      <c r="P442">
        <v>4.7082882163302447E-2</v>
      </c>
      <c r="Q442">
        <f>IF(ISBLANK(Clearance!H50),"",Clearance!H50)</f>
        <v>4.7082882163302447E-2</v>
      </c>
      <c r="R442">
        <f>IF(ISNUMBER(Clearance!H50),IF(ABS(Clearance!H50-P442)&lt;=0.000000000001*MAX(1,ABS(P442)),0,1),1)</f>
        <v>0</v>
      </c>
    </row>
    <row r="443" spans="15:18" x14ac:dyDescent="0.45">
      <c r="O443" s="8" t="s">
        <v>2204</v>
      </c>
      <c r="P443">
        <v>0</v>
      </c>
      <c r="Q443">
        <f>IF(ISBLANK(Clearance!I50),"",Clearance!I50)</f>
        <v>0</v>
      </c>
      <c r="R443">
        <f>IF(ISNUMBER(Clearance!I50),IF(ABS(Clearance!I50-P443)&lt;=0.000000000001*MAX(1,ABS(P443)),0,1),1)</f>
        <v>0</v>
      </c>
    </row>
    <row r="444" spans="15:18" x14ac:dyDescent="0.45">
      <c r="O444" s="8" t="s">
        <v>2205</v>
      </c>
      <c r="P444">
        <v>63.03118500000005</v>
      </c>
      <c r="Q444">
        <f>IF(ISBLANK(Clearance!C51),"",Clearance!C51)</f>
        <v>63.03118500000005</v>
      </c>
      <c r="R444">
        <f>IF(ISNUMBER(Clearance!C51),IF(ABS(Clearance!C51-P444)&lt;=0.000000000001*MAX(1,ABS(P444)),0,1),1)</f>
        <v>0</v>
      </c>
    </row>
    <row r="445" spans="15:18" x14ac:dyDescent="0.45">
      <c r="O445" s="8" t="s">
        <v>2206</v>
      </c>
      <c r="P445">
        <v>63.201452000000018</v>
      </c>
      <c r="Q445">
        <f>IF(ISBLANK(Clearance!D51),"",Clearance!D51)</f>
        <v>63.201452000000018</v>
      </c>
      <c r="R445">
        <f>IF(ISNUMBER(Clearance!D51),IF(ABS(Clearance!D51-P445)&lt;=0.000000000001*MAX(1,ABS(P445)),0,1),1)</f>
        <v>0</v>
      </c>
    </row>
    <row r="446" spans="15:18" x14ac:dyDescent="0.45">
      <c r="O446" s="8" t="s">
        <v>2207</v>
      </c>
      <c r="P446">
        <v>25.338622818000001</v>
      </c>
      <c r="Q446">
        <f>IF(ISBLANK(Clearance!G51),"",Clearance!G51)</f>
        <v>25.338622818000001</v>
      </c>
      <c r="R446">
        <f>IF(ISNUMBER(Clearance!G51),IF(ABS(Clearance!G51-P446)&lt;=0.000000000001*MAX(1,ABS(P446)),0,1),1)</f>
        <v>0</v>
      </c>
    </row>
    <row r="447" spans="15:18" x14ac:dyDescent="0.45">
      <c r="O447" s="8" t="s">
        <v>2208</v>
      </c>
      <c r="P447">
        <v>-2.652562739697371E-2</v>
      </c>
      <c r="Q447">
        <f>IF(ISBLANK(Clearance!H51),"",Clearance!H51)</f>
        <v>-2.652562739697371E-2</v>
      </c>
      <c r="R447">
        <f>IF(ISNUMBER(Clearance!H51),IF(ABS(Clearance!H51-P447)&lt;=0.000000000001*MAX(1,ABS(P447)),0,1),1)</f>
        <v>0</v>
      </c>
    </row>
    <row r="448" spans="15:18" x14ac:dyDescent="0.45">
      <c r="O448" s="8" t="s">
        <v>2209</v>
      </c>
      <c r="P448">
        <v>0</v>
      </c>
      <c r="Q448">
        <f>IF(ISBLANK(Clearance!I51),"",Clearance!I51)</f>
        <v>0</v>
      </c>
      <c r="R448">
        <f>IF(ISNUMBER(Clearance!I51),IF(ABS(Clearance!I51-P448)&lt;=0.000000000001*MAX(1,ABS(P448)),0,1),1)</f>
        <v>0</v>
      </c>
    </row>
    <row r="449" spans="15:18" x14ac:dyDescent="0.45">
      <c r="O449" s="8" t="s">
        <v>2210</v>
      </c>
      <c r="P449">
        <v>63.201452000000018</v>
      </c>
      <c r="Q449">
        <f>IF(ISBLANK(Clearance!C52),"",Clearance!C52)</f>
        <v>63.201452000000018</v>
      </c>
      <c r="R449">
        <f>IF(ISNUMBER(Clearance!C52),IF(ABS(Clearance!C52-P449)&lt;=0.000000000001*MAX(1,ABS(P449)),0,1),1)</f>
        <v>0</v>
      </c>
    </row>
    <row r="450" spans="15:18" x14ac:dyDescent="0.45">
      <c r="O450" s="8" t="s">
        <v>2211</v>
      </c>
      <c r="P450">
        <v>63.345145000000002</v>
      </c>
      <c r="Q450">
        <f>IF(ISBLANK(Clearance!D52),"",Clearance!D52)</f>
        <v>63.345145000000002</v>
      </c>
      <c r="R450">
        <f>IF(ISNUMBER(Clearance!D52),IF(ABS(Clearance!D52-P450)&lt;=0.000000000001*MAX(1,ABS(P450)),0,1),1)</f>
        <v>0</v>
      </c>
    </row>
    <row r="451" spans="15:18" x14ac:dyDescent="0.45">
      <c r="O451" s="8" t="s">
        <v>2212</v>
      </c>
      <c r="P451">
        <v>25.334106379000001</v>
      </c>
      <c r="Q451">
        <f>IF(ISBLANK(Clearance!G52),"",Clearance!G52)</f>
        <v>25.334106379000001</v>
      </c>
      <c r="R451">
        <f>IF(ISNUMBER(Clearance!G52),IF(ABS(Clearance!G52-P451)&lt;=0.000000000001*MAX(1,ABS(P451)),0,1),1)</f>
        <v>0</v>
      </c>
    </row>
    <row r="452" spans="15:18" x14ac:dyDescent="0.45">
      <c r="O452" s="8" t="s">
        <v>2213</v>
      </c>
      <c r="P452">
        <v>8.4767546087847173E-2</v>
      </c>
      <c r="Q452">
        <f>IF(ISBLANK(Clearance!H52),"",Clearance!H52)</f>
        <v>8.4767546087847173E-2</v>
      </c>
      <c r="R452">
        <f>IF(ISNUMBER(Clearance!H52),IF(ABS(Clearance!H52-P452)&lt;=0.000000000001*MAX(1,ABS(P452)),0,1),1)</f>
        <v>0</v>
      </c>
    </row>
    <row r="453" spans="15:18" x14ac:dyDescent="0.45">
      <c r="O453" s="8" t="s">
        <v>2214</v>
      </c>
      <c r="P453">
        <v>0</v>
      </c>
      <c r="Q453">
        <f>IF(ISBLANK(Clearance!I52),"",Clearance!I52)</f>
        <v>0</v>
      </c>
      <c r="R453">
        <f>IF(ISNUMBER(Clearance!I52),IF(ABS(Clearance!I52-P453)&lt;=0.000000000001*MAX(1,ABS(P453)),0,1),1)</f>
        <v>0</v>
      </c>
    </row>
    <row r="454" spans="15:18" x14ac:dyDescent="0.45">
      <c r="O454" s="8" t="s">
        <v>2215</v>
      </c>
      <c r="P454">
        <v>63.345145000000002</v>
      </c>
      <c r="Q454">
        <f>IF(ISBLANK(Clearance!C53),"",Clearance!C53)</f>
        <v>63.345145000000002</v>
      </c>
      <c r="R454">
        <f>IF(ISNUMBER(Clearance!C53),IF(ABS(Clearance!C53-P454)&lt;=0.000000000001*MAX(1,ABS(P454)),0,1),1)</f>
        <v>0</v>
      </c>
    </row>
    <row r="455" spans="15:18" x14ac:dyDescent="0.45">
      <c r="O455" s="8" t="s">
        <v>2216</v>
      </c>
      <c r="P455">
        <v>68.995652999999947</v>
      </c>
      <c r="Q455">
        <f>IF(ISBLANK(Clearance!D53),"",Clearance!D53)</f>
        <v>68.995652999999947</v>
      </c>
      <c r="R455">
        <f>IF(ISNUMBER(Clearance!D53),IF(ABS(Clearance!D53-P455)&lt;=0.000000000001*MAX(1,ABS(P455)),0,1),1)</f>
        <v>0</v>
      </c>
    </row>
    <row r="456" spans="15:18" x14ac:dyDescent="0.45">
      <c r="O456" s="8" t="s">
        <v>2217</v>
      </c>
      <c r="P456">
        <v>25.346286882000001</v>
      </c>
      <c r="Q456">
        <f>IF(ISBLANK(Clearance!G53),"",Clearance!G53)</f>
        <v>25.346286882000001</v>
      </c>
      <c r="R456">
        <f>IF(ISNUMBER(Clearance!G53),IF(ABS(Clearance!G53-P456)&lt;=0.000000000001*MAX(1,ABS(P456)),0,1),1)</f>
        <v>0</v>
      </c>
    </row>
    <row r="457" spans="15:18" x14ac:dyDescent="0.45">
      <c r="O457" s="8" t="s">
        <v>2218</v>
      </c>
      <c r="P457">
        <v>1.9952900340995661E-2</v>
      </c>
      <c r="Q457">
        <f>IF(ISBLANK(Clearance!H53),"",Clearance!H53)</f>
        <v>1.9952900340995661E-2</v>
      </c>
      <c r="R457">
        <f>IF(ISNUMBER(Clearance!H53),IF(ABS(Clearance!H53-P457)&lt;=0.000000000001*MAX(1,ABS(P457)),0,1),1)</f>
        <v>0</v>
      </c>
    </row>
    <row r="458" spans="15:18" x14ac:dyDescent="0.45">
      <c r="O458" s="8" t="s">
        <v>2219</v>
      </c>
      <c r="P458">
        <v>0</v>
      </c>
      <c r="Q458">
        <f>IF(ISBLANK(Clearance!I53),"",Clearance!I53)</f>
        <v>0</v>
      </c>
      <c r="R458">
        <f>IF(ISNUMBER(Clearance!I53),IF(ABS(Clearance!I53-P458)&lt;=0.000000000001*MAX(1,ABS(P458)),0,1),1)</f>
        <v>0</v>
      </c>
    </row>
    <row r="459" spans="15:18" x14ac:dyDescent="0.45">
      <c r="O459" s="8" t="s">
        <v>2220</v>
      </c>
      <c r="P459">
        <v>68.995652999999947</v>
      </c>
      <c r="Q459">
        <f>IF(ISBLANK(Clearance!C54),"",Clearance!C54)</f>
        <v>68.995652999999947</v>
      </c>
      <c r="R459">
        <f>IF(ISNUMBER(Clearance!C54),IF(ABS(Clearance!C54-P459)&lt;=0.000000000001*MAX(1,ABS(P459)),0,1),1)</f>
        <v>0</v>
      </c>
    </row>
    <row r="460" spans="15:18" x14ac:dyDescent="0.45">
      <c r="O460" s="8" t="s">
        <v>2221</v>
      </c>
      <c r="P460">
        <v>70.829439999999977</v>
      </c>
      <c r="Q460">
        <f>IF(ISBLANK(Clearance!D54),"",Clearance!D54)</f>
        <v>70.829439999999977</v>
      </c>
      <c r="R460">
        <f>IF(ISNUMBER(Clearance!D54),IF(ABS(Clearance!D54-P460)&lt;=0.000000000001*MAX(1,ABS(P460)),0,1),1)</f>
        <v>0</v>
      </c>
    </row>
    <row r="461" spans="15:18" x14ac:dyDescent="0.45">
      <c r="O461" s="8" t="s">
        <v>2222</v>
      </c>
      <c r="P461">
        <v>25.459030904999999</v>
      </c>
      <c r="Q461">
        <f>IF(ISBLANK(Clearance!G54),"",Clearance!G54)</f>
        <v>25.459030904999999</v>
      </c>
      <c r="R461">
        <f>IF(ISNUMBER(Clearance!G54),IF(ABS(Clearance!G54-P461)&lt;=0.000000000001*MAX(1,ABS(P461)),0,1),1)</f>
        <v>0</v>
      </c>
    </row>
    <row r="462" spans="15:18" x14ac:dyDescent="0.45">
      <c r="O462" s="8" t="s">
        <v>2223</v>
      </c>
      <c r="P462">
        <v>2.2070669603395029E-2</v>
      </c>
      <c r="Q462">
        <f>IF(ISBLANK(Clearance!H54),"",Clearance!H54)</f>
        <v>2.2070669603395029E-2</v>
      </c>
      <c r="R462">
        <f>IF(ISNUMBER(Clearance!H54),IF(ABS(Clearance!H54-P462)&lt;=0.000000000001*MAX(1,ABS(P462)),0,1),1)</f>
        <v>0</v>
      </c>
    </row>
    <row r="463" spans="15:18" x14ac:dyDescent="0.45">
      <c r="O463" s="8" t="s">
        <v>2224</v>
      </c>
      <c r="P463">
        <v>0</v>
      </c>
      <c r="Q463">
        <f>IF(ISBLANK(Clearance!I54),"",Clearance!I54)</f>
        <v>0</v>
      </c>
      <c r="R463">
        <f>IF(ISNUMBER(Clearance!I54),IF(ABS(Clearance!I54-P463)&lt;=0.000000000001*MAX(1,ABS(P463)),0,1),1)</f>
        <v>0</v>
      </c>
    </row>
    <row r="464" spans="15:18" x14ac:dyDescent="0.45">
      <c r="O464" s="8" t="s">
        <v>2225</v>
      </c>
      <c r="P464">
        <v>70.829439999999977</v>
      </c>
      <c r="Q464">
        <f>IF(ISBLANK(Clearance!C55),"",Clearance!C55)</f>
        <v>70.829439999999977</v>
      </c>
      <c r="R464">
        <f>IF(ISNUMBER(Clearance!C55),IF(ABS(Clearance!C55-P464)&lt;=0.000000000001*MAX(1,ABS(P464)),0,1),1)</f>
        <v>0</v>
      </c>
    </row>
    <row r="465" spans="15:18" x14ac:dyDescent="0.45">
      <c r="O465" s="8" t="s">
        <v>2226</v>
      </c>
      <c r="P465">
        <v>74.548448000000008</v>
      </c>
      <c r="Q465">
        <f>IF(ISBLANK(Clearance!D55),"",Clearance!D55)</f>
        <v>74.548448000000008</v>
      </c>
      <c r="R465">
        <f>IF(ISNUMBER(Clearance!D55),IF(ABS(Clearance!D55-P465)&lt;=0.000000000001*MAX(1,ABS(P465)),0,1),1)</f>
        <v>0</v>
      </c>
    </row>
    <row r="466" spans="15:18" x14ac:dyDescent="0.45">
      <c r="O466" s="8" t="s">
        <v>2227</v>
      </c>
      <c r="P466">
        <v>25.499503812</v>
      </c>
      <c r="Q466">
        <f>IF(ISBLANK(Clearance!G55),"",Clearance!G55)</f>
        <v>25.499503812</v>
      </c>
      <c r="R466">
        <f>IF(ISNUMBER(Clearance!G55),IF(ABS(Clearance!G55-P466)&lt;=0.000000000001*MAX(1,ABS(P466)),0,1),1)</f>
        <v>0</v>
      </c>
    </row>
    <row r="467" spans="15:18" x14ac:dyDescent="0.45">
      <c r="O467" s="8" t="s">
        <v>2228</v>
      </c>
      <c r="P467">
        <v>1.9351041191629149E-2</v>
      </c>
      <c r="Q467">
        <f>IF(ISBLANK(Clearance!H55),"",Clearance!H55)</f>
        <v>1.9351041191629149E-2</v>
      </c>
      <c r="R467">
        <f>IF(ISNUMBER(Clearance!H55),IF(ABS(Clearance!H55-P467)&lt;=0.000000000001*MAX(1,ABS(P467)),0,1),1)</f>
        <v>0</v>
      </c>
    </row>
    <row r="468" spans="15:18" x14ac:dyDescent="0.45">
      <c r="O468" s="8" t="s">
        <v>2229</v>
      </c>
      <c r="P468">
        <v>0</v>
      </c>
      <c r="Q468">
        <f>IF(ISBLANK(Clearance!I55),"",Clearance!I55)</f>
        <v>0</v>
      </c>
      <c r="R468">
        <f>IF(ISNUMBER(Clearance!I55),IF(ABS(Clearance!I55-P468)&lt;=0.000000000001*MAX(1,ABS(P468)),0,1),1)</f>
        <v>0</v>
      </c>
    </row>
    <row r="469" spans="15:18" x14ac:dyDescent="0.45">
      <c r="O469" s="8" t="s">
        <v>2230</v>
      </c>
      <c r="P469">
        <v>74.548448000000008</v>
      </c>
      <c r="Q469">
        <f>IF(ISBLANK(Clearance!C56),"",Clearance!C56)</f>
        <v>74.548448000000008</v>
      </c>
      <c r="R469">
        <f>IF(ISNUMBER(Clearance!C56),IF(ABS(Clearance!C56-P469)&lt;=0.000000000001*MAX(1,ABS(P469)),0,1),1)</f>
        <v>0</v>
      </c>
    </row>
    <row r="470" spans="15:18" x14ac:dyDescent="0.45">
      <c r="O470" s="8" t="s">
        <v>2231</v>
      </c>
      <c r="P470">
        <v>79.207202999999936</v>
      </c>
      <c r="Q470">
        <f>IF(ISBLANK(Clearance!D56),"",Clearance!D56)</f>
        <v>79.207202999999936</v>
      </c>
      <c r="R470">
        <f>IF(ISNUMBER(Clearance!D56),IF(ABS(Clearance!D56-P470)&lt;=0.000000000001*MAX(1,ABS(P470)),0,1),1)</f>
        <v>0</v>
      </c>
    </row>
    <row r="471" spans="15:18" x14ac:dyDescent="0.45">
      <c r="O471" s="8" t="s">
        <v>2232</v>
      </c>
      <c r="P471">
        <v>25.571470488999999</v>
      </c>
      <c r="Q471">
        <f>IF(ISBLANK(Clearance!G56),"",Clearance!G56)</f>
        <v>25.571470488999999</v>
      </c>
      <c r="R471">
        <f>IF(ISNUMBER(Clearance!G56),IF(ABS(Clearance!G56-P471)&lt;=0.000000000001*MAX(1,ABS(P471)),0,1),1)</f>
        <v>0</v>
      </c>
    </row>
    <row r="472" spans="15:18" x14ac:dyDescent="0.45">
      <c r="O472" s="8" t="s">
        <v>2233</v>
      </c>
      <c r="P472">
        <v>4.9726126400725448E-3</v>
      </c>
      <c r="Q472">
        <f>IF(ISBLANK(Clearance!H56),"",Clearance!H56)</f>
        <v>4.9726126400725448E-3</v>
      </c>
      <c r="R472">
        <f>IF(ISNUMBER(Clearance!H56),IF(ABS(Clearance!H56-P472)&lt;=0.000000000001*MAX(1,ABS(P472)),0,1),1)</f>
        <v>0</v>
      </c>
    </row>
    <row r="473" spans="15:18" x14ac:dyDescent="0.45">
      <c r="O473" s="8" t="s">
        <v>2234</v>
      </c>
      <c r="P473">
        <v>0</v>
      </c>
      <c r="Q473">
        <f>IF(ISBLANK(Clearance!I56),"",Clearance!I56)</f>
        <v>0</v>
      </c>
      <c r="R473">
        <f>IF(ISNUMBER(Clearance!I56),IF(ABS(Clearance!I56-P473)&lt;=0.000000000001*MAX(1,ABS(P473)),0,1),1)</f>
        <v>0</v>
      </c>
    </row>
    <row r="474" spans="15:18" x14ac:dyDescent="0.45">
      <c r="O474" s="8" t="s">
        <v>2235</v>
      </c>
      <c r="P474">
        <v>79.207202999999936</v>
      </c>
      <c r="Q474">
        <f>IF(ISBLANK(Clearance!C57),"",Clearance!C57)</f>
        <v>79.207202999999936</v>
      </c>
      <c r="R474">
        <f>IF(ISNUMBER(Clearance!C57),IF(ABS(Clearance!C57-P474)&lt;=0.000000000001*MAX(1,ABS(P474)),0,1),1)</f>
        <v>0</v>
      </c>
    </row>
    <row r="475" spans="15:18" x14ac:dyDescent="0.45">
      <c r="O475" s="8" t="s">
        <v>2236</v>
      </c>
      <c r="P475">
        <v>86.543852999999899</v>
      </c>
      <c r="Q475">
        <f>IF(ISBLANK(Clearance!D57),"",Clearance!D57)</f>
        <v>86.543852999999899</v>
      </c>
      <c r="R475">
        <f>IF(ISNUMBER(Clearance!D57),IF(ABS(Clearance!D57-P475)&lt;=0.000000000001*MAX(1,ABS(P475)),0,1),1)</f>
        <v>0</v>
      </c>
    </row>
    <row r="476" spans="15:18" x14ac:dyDescent="0.45">
      <c r="O476" s="8" t="s">
        <v>2237</v>
      </c>
      <c r="P476">
        <v>25.594636673</v>
      </c>
      <c r="Q476">
        <f>IF(ISBLANK(Clearance!G57),"",Clearance!G57)</f>
        <v>25.594636673</v>
      </c>
      <c r="R476">
        <f>IF(ISNUMBER(Clearance!G57),IF(ABS(Clearance!G57-P476)&lt;=0.000000000001*MAX(1,ABS(P476)),0,1),1)</f>
        <v>0</v>
      </c>
    </row>
    <row r="477" spans="15:18" x14ac:dyDescent="0.45">
      <c r="O477" s="8" t="s">
        <v>2238</v>
      </c>
      <c r="P477">
        <v>1.0273172088078601E-2</v>
      </c>
      <c r="Q477">
        <f>IF(ISBLANK(Clearance!H57),"",Clearance!H57)</f>
        <v>1.0273172088078601E-2</v>
      </c>
      <c r="R477">
        <f>IF(ISNUMBER(Clearance!H57),IF(ABS(Clearance!H57-P477)&lt;=0.000000000001*MAX(1,ABS(P477)),0,1),1)</f>
        <v>0</v>
      </c>
    </row>
    <row r="478" spans="15:18" x14ac:dyDescent="0.45">
      <c r="O478" s="8" t="s">
        <v>2239</v>
      </c>
      <c r="P478">
        <v>0</v>
      </c>
      <c r="Q478">
        <f>IF(ISBLANK(Clearance!I57),"",Clearance!I57)</f>
        <v>0</v>
      </c>
      <c r="R478">
        <f>IF(ISNUMBER(Clearance!I57),IF(ABS(Clearance!I57-P478)&lt;=0.000000000001*MAX(1,ABS(P478)),0,1),1)</f>
        <v>0</v>
      </c>
    </row>
    <row r="479" spans="15:18" x14ac:dyDescent="0.45">
      <c r="O479" s="8" t="s">
        <v>2240</v>
      </c>
      <c r="P479">
        <v>86.543852999999899</v>
      </c>
      <c r="Q479">
        <f>IF(ISBLANK(Clearance!C58),"",Clearance!C58)</f>
        <v>86.543852999999899</v>
      </c>
      <c r="R479">
        <f>IF(ISNUMBER(Clearance!C58),IF(ABS(Clearance!C58-P479)&lt;=0.000000000001*MAX(1,ABS(P479)),0,1),1)</f>
        <v>0</v>
      </c>
    </row>
    <row r="480" spans="15:18" x14ac:dyDescent="0.45">
      <c r="O480" s="8" t="s">
        <v>2241</v>
      </c>
      <c r="P480">
        <v>93.968568000000005</v>
      </c>
      <c r="Q480">
        <f>IF(ISBLANK(Clearance!D58),"",Clearance!D58)</f>
        <v>93.968568000000005</v>
      </c>
      <c r="R480">
        <f>IF(ISNUMBER(Clearance!D58),IF(ABS(Clearance!D58-P480)&lt;=0.000000000001*MAX(1,ABS(P480)),0,1),1)</f>
        <v>0</v>
      </c>
    </row>
    <row r="481" spans="15:18" x14ac:dyDescent="0.45">
      <c r="O481" s="8" t="s">
        <v>2242</v>
      </c>
      <c r="P481">
        <v>25.670007341000002</v>
      </c>
      <c r="Q481">
        <f>IF(ISBLANK(Clearance!G58),"",Clearance!G58)</f>
        <v>25.670007341000002</v>
      </c>
      <c r="R481">
        <f>IF(ISNUMBER(Clearance!G58),IF(ABS(Clearance!G58-P481)&lt;=0.000000000001*MAX(1,ABS(P481)),0,1),1)</f>
        <v>0</v>
      </c>
    </row>
    <row r="482" spans="15:18" x14ac:dyDescent="0.45">
      <c r="O482" s="8" t="s">
        <v>2243</v>
      </c>
      <c r="P482">
        <v>2.635271818514168E-2</v>
      </c>
      <c r="Q482">
        <f>IF(ISBLANK(Clearance!H58),"",Clearance!H58)</f>
        <v>2.635271818514168E-2</v>
      </c>
      <c r="R482">
        <f>IF(ISNUMBER(Clearance!H58),IF(ABS(Clearance!H58-P482)&lt;=0.000000000001*MAX(1,ABS(P482)),0,1),1)</f>
        <v>0</v>
      </c>
    </row>
    <row r="483" spans="15:18" x14ac:dyDescent="0.45">
      <c r="O483" s="8" t="s">
        <v>2244</v>
      </c>
      <c r="P483">
        <v>0</v>
      </c>
      <c r="Q483">
        <f>IF(ISBLANK(Clearance!I58),"",Clearance!I58)</f>
        <v>0</v>
      </c>
      <c r="R483">
        <f>IF(ISNUMBER(Clearance!I58),IF(ABS(Clearance!I58-P483)&lt;=0.000000000001*MAX(1,ABS(P483)),0,1),1)</f>
        <v>0</v>
      </c>
    </row>
    <row r="484" spans="15:18" x14ac:dyDescent="0.45">
      <c r="O484" s="8" t="s">
        <v>2245</v>
      </c>
      <c r="P484">
        <v>93.968568000000005</v>
      </c>
      <c r="Q484">
        <f>IF(ISBLANK(Clearance!C59),"",Clearance!C59)</f>
        <v>93.968568000000005</v>
      </c>
      <c r="R484">
        <f>IF(ISNUMBER(Clearance!C59),IF(ABS(Clearance!C59-P484)&lt;=0.000000000001*MAX(1,ABS(P484)),0,1),1)</f>
        <v>0</v>
      </c>
    </row>
    <row r="485" spans="15:18" x14ac:dyDescent="0.45">
      <c r="O485" s="8" t="s">
        <v>2246</v>
      </c>
      <c r="P485">
        <v>98.540158000000019</v>
      </c>
      <c r="Q485">
        <f>IF(ISBLANK(Clearance!D59),"",Clearance!D59)</f>
        <v>98.540158000000019</v>
      </c>
      <c r="R485">
        <f>IF(ISNUMBER(Clearance!D59),IF(ABS(Clearance!D59-P485)&lt;=0.000000000001*MAX(1,ABS(P485)),0,1),1)</f>
        <v>0</v>
      </c>
    </row>
    <row r="486" spans="15:18" x14ac:dyDescent="0.45">
      <c r="O486" s="8" t="s">
        <v>2247</v>
      </c>
      <c r="P486">
        <v>25.865668762999999</v>
      </c>
      <c r="Q486">
        <f>IF(ISBLANK(Clearance!G59),"",Clearance!G59)</f>
        <v>25.865668762999999</v>
      </c>
      <c r="R486">
        <f>IF(ISNUMBER(Clearance!G59),IF(ABS(Clearance!G59-P486)&lt;=0.000000000001*MAX(1,ABS(P486)),0,1),1)</f>
        <v>0</v>
      </c>
    </row>
    <row r="487" spans="15:18" x14ac:dyDescent="0.45">
      <c r="O487" s="8" t="s">
        <v>2248</v>
      </c>
      <c r="P487">
        <v>8.5219223508672531E-3</v>
      </c>
      <c r="Q487">
        <f>IF(ISBLANK(Clearance!H59),"",Clearance!H59)</f>
        <v>8.5219223508672531E-3</v>
      </c>
      <c r="R487">
        <f>IF(ISNUMBER(Clearance!H59),IF(ABS(Clearance!H59-P487)&lt;=0.000000000001*MAX(1,ABS(P487)),0,1),1)</f>
        <v>0</v>
      </c>
    </row>
    <row r="488" spans="15:18" x14ac:dyDescent="0.45">
      <c r="O488" s="8" t="s">
        <v>2249</v>
      </c>
      <c r="P488">
        <v>0</v>
      </c>
      <c r="Q488">
        <f>IF(ISBLANK(Clearance!I59),"",Clearance!I59)</f>
        <v>0</v>
      </c>
      <c r="R488">
        <f>IF(ISNUMBER(Clearance!I59),IF(ABS(Clearance!I59-P488)&lt;=0.000000000001*MAX(1,ABS(P488)),0,1),1)</f>
        <v>0</v>
      </c>
    </row>
    <row r="489" spans="15:18" x14ac:dyDescent="0.45">
      <c r="O489" s="8" t="s">
        <v>2250</v>
      </c>
      <c r="P489">
        <v>98.540158000000019</v>
      </c>
      <c r="Q489">
        <f>IF(ISBLANK(Clearance!C60),"",Clearance!C60)</f>
        <v>98.540158000000019</v>
      </c>
      <c r="R489">
        <f>IF(ISNUMBER(Clearance!C60),IF(ABS(Clearance!C60-P489)&lt;=0.000000000001*MAX(1,ABS(P489)),0,1),1)</f>
        <v>0</v>
      </c>
    </row>
    <row r="490" spans="15:18" x14ac:dyDescent="0.45">
      <c r="O490" s="8" t="s">
        <v>2251</v>
      </c>
      <c r="P490">
        <v>98.726771000000099</v>
      </c>
      <c r="Q490">
        <f>IF(ISBLANK(Clearance!D60),"",Clearance!D60)</f>
        <v>98.726771000000099</v>
      </c>
      <c r="R490">
        <f>IF(ISNUMBER(Clearance!D60),IF(ABS(Clearance!D60-P490)&lt;=0.000000000001*MAX(1,ABS(P490)),0,1),1)</f>
        <v>0</v>
      </c>
    </row>
    <row r="491" spans="15:18" x14ac:dyDescent="0.45">
      <c r="O491" s="8" t="s">
        <v>2252</v>
      </c>
      <c r="P491">
        <v>25.904627498</v>
      </c>
      <c r="Q491">
        <f>IF(ISBLANK(Clearance!G60),"",Clearance!G60)</f>
        <v>25.904627498</v>
      </c>
      <c r="R491">
        <f>IF(ISNUMBER(Clearance!G60),IF(ABS(Clearance!G60-P491)&lt;=0.000000000001*MAX(1,ABS(P491)),0,1),1)</f>
        <v>0</v>
      </c>
    </row>
    <row r="492" spans="15:18" x14ac:dyDescent="0.45">
      <c r="O492" s="8" t="s">
        <v>2253</v>
      </c>
      <c r="P492">
        <v>2.657434905390605E-2</v>
      </c>
      <c r="Q492">
        <f>IF(ISBLANK(Clearance!H60),"",Clearance!H60)</f>
        <v>2.657434905390605E-2</v>
      </c>
      <c r="R492">
        <f>IF(ISNUMBER(Clearance!H60),IF(ABS(Clearance!H60-P492)&lt;=0.000000000001*MAX(1,ABS(P492)),0,1),1)</f>
        <v>0</v>
      </c>
    </row>
    <row r="493" spans="15:18" x14ac:dyDescent="0.45">
      <c r="O493" s="8" t="s">
        <v>2254</v>
      </c>
      <c r="P493">
        <v>0</v>
      </c>
      <c r="Q493">
        <f>IF(ISBLANK(Clearance!I60),"",Clearance!I60)</f>
        <v>0</v>
      </c>
      <c r="R493">
        <f>IF(ISNUMBER(Clearance!I60),IF(ABS(Clearance!I60-P493)&lt;=0.000000000001*MAX(1,ABS(P493)),0,1),1)</f>
        <v>0</v>
      </c>
    </row>
    <row r="494" spans="15:18" x14ac:dyDescent="0.45">
      <c r="O494" s="8" t="s">
        <v>2255</v>
      </c>
      <c r="P494">
        <v>98.726771000000099</v>
      </c>
      <c r="Q494">
        <f>IF(ISBLANK(Clearance!C61),"",Clearance!C61)</f>
        <v>98.726771000000099</v>
      </c>
      <c r="R494">
        <f>IF(ISNUMBER(Clearance!C61),IF(ABS(Clearance!C61-P494)&lt;=0.000000000001*MAX(1,ABS(P494)),0,1),1)</f>
        <v>0</v>
      </c>
    </row>
    <row r="495" spans="15:18" x14ac:dyDescent="0.45">
      <c r="O495" s="8" t="s">
        <v>2256</v>
      </c>
      <c r="P495">
        <v>99.019363999999996</v>
      </c>
      <c r="Q495">
        <f>IF(ISBLANK(Clearance!D61),"",Clearance!D61)</f>
        <v>99.019363999999996</v>
      </c>
      <c r="R495">
        <f>IF(ISNUMBER(Clearance!D61),IF(ABS(Clearance!D61-P495)&lt;=0.000000000001*MAX(1,ABS(P495)),0,1),1)</f>
        <v>0</v>
      </c>
    </row>
    <row r="496" spans="15:18" x14ac:dyDescent="0.45">
      <c r="O496" s="8" t="s">
        <v>2257</v>
      </c>
      <c r="P496">
        <v>25.909586616999999</v>
      </c>
      <c r="Q496">
        <f>IF(ISBLANK(Clearance!G61),"",Clearance!G61)</f>
        <v>25.909586616999999</v>
      </c>
      <c r="R496">
        <f>IF(ISNUMBER(Clearance!G61),IF(ABS(Clearance!G61-P496)&lt;=0.000000000001*MAX(1,ABS(P496)),0,1),1)</f>
        <v>0</v>
      </c>
    </row>
    <row r="497" spans="15:18" x14ac:dyDescent="0.45">
      <c r="O497" s="8" t="s">
        <v>2258</v>
      </c>
      <c r="P497">
        <v>0.120557091249663</v>
      </c>
      <c r="Q497">
        <f>IF(ISBLANK(Clearance!H61),"",Clearance!H61)</f>
        <v>0.120557091249663</v>
      </c>
      <c r="R497">
        <f>IF(ISNUMBER(Clearance!H61),IF(ABS(Clearance!H61-P497)&lt;=0.000000000001*MAX(1,ABS(P497)),0,1),1)</f>
        <v>0</v>
      </c>
    </row>
    <row r="498" spans="15:18" x14ac:dyDescent="0.45">
      <c r="O498" s="8" t="s">
        <v>2259</v>
      </c>
      <c r="P498">
        <v>0</v>
      </c>
      <c r="Q498">
        <f>IF(ISBLANK(Clearance!I61),"",Clearance!I61)</f>
        <v>0</v>
      </c>
      <c r="R498">
        <f>IF(ISNUMBER(Clearance!I61),IF(ABS(Clearance!I61-P498)&lt;=0.000000000001*MAX(1,ABS(P498)),0,1),1)</f>
        <v>0</v>
      </c>
    </row>
    <row r="499" spans="15:18" x14ac:dyDescent="0.45">
      <c r="O499" s="8" t="s">
        <v>2260</v>
      </c>
      <c r="P499">
        <v>99.019363999999996</v>
      </c>
      <c r="Q499">
        <f>IF(ISBLANK(Clearance!C62),"",Clearance!C62)</f>
        <v>99.019363999999996</v>
      </c>
      <c r="R499">
        <f>IF(ISNUMBER(Clearance!C62),IF(ABS(Clearance!C62-P499)&lt;=0.000000000001*MAX(1,ABS(P499)),0,1),1)</f>
        <v>0</v>
      </c>
    </row>
    <row r="500" spans="15:18" x14ac:dyDescent="0.45">
      <c r="O500" s="8" t="s">
        <v>2261</v>
      </c>
      <c r="P500">
        <v>99.418079000000034</v>
      </c>
      <c r="Q500">
        <f>IF(ISBLANK(Clearance!D62),"",Clearance!D62)</f>
        <v>99.418079000000034</v>
      </c>
      <c r="R500">
        <f>IF(ISNUMBER(Clearance!D62),IF(ABS(Clearance!D62-P500)&lt;=0.000000000001*MAX(1,ABS(P500)),0,1),1)</f>
        <v>0</v>
      </c>
    </row>
    <row r="501" spans="15:18" x14ac:dyDescent="0.45">
      <c r="O501" s="8" t="s">
        <v>2262</v>
      </c>
      <c r="P501">
        <v>25.944860777999999</v>
      </c>
      <c r="Q501">
        <f>IF(ISBLANK(Clearance!G62),"",Clearance!G62)</f>
        <v>25.944860777999999</v>
      </c>
      <c r="R501">
        <f>IF(ISNUMBER(Clearance!G62),IF(ABS(Clearance!G62-P501)&lt;=0.000000000001*MAX(1,ABS(P501)),0,1),1)</f>
        <v>0</v>
      </c>
    </row>
    <row r="502" spans="15:18" x14ac:dyDescent="0.45">
      <c r="O502" s="8" t="s">
        <v>2263</v>
      </c>
      <c r="P502">
        <v>5.3226633058699922E-2</v>
      </c>
      <c r="Q502">
        <f>IF(ISBLANK(Clearance!H62),"",Clearance!H62)</f>
        <v>5.3226633058699922E-2</v>
      </c>
      <c r="R502">
        <f>IF(ISNUMBER(Clearance!H62),IF(ABS(Clearance!H62-P502)&lt;=0.000000000001*MAX(1,ABS(P502)),0,1),1)</f>
        <v>0</v>
      </c>
    </row>
    <row r="503" spans="15:18" x14ac:dyDescent="0.45">
      <c r="O503" s="8" t="s">
        <v>2264</v>
      </c>
      <c r="P503">
        <v>0</v>
      </c>
      <c r="Q503">
        <f>IF(ISBLANK(Clearance!I62),"",Clearance!I62)</f>
        <v>0</v>
      </c>
      <c r="R503">
        <f>IF(ISNUMBER(Clearance!I62),IF(ABS(Clearance!I62-P503)&lt;=0.000000000001*MAX(1,ABS(P503)),0,1),1)</f>
        <v>0</v>
      </c>
    </row>
    <row r="504" spans="15:18" x14ac:dyDescent="0.45">
      <c r="O504" s="8" t="s">
        <v>2265</v>
      </c>
      <c r="P504">
        <v>99.418079000000034</v>
      </c>
      <c r="Q504">
        <f>IF(ISBLANK(Clearance!C63),"",Clearance!C63)</f>
        <v>99.418079000000034</v>
      </c>
      <c r="R504">
        <f>IF(ISNUMBER(Clearance!C63),IF(ABS(Clearance!C63-P504)&lt;=0.000000000001*MAX(1,ABS(P504)),0,1),1)</f>
        <v>0</v>
      </c>
    </row>
    <row r="505" spans="15:18" x14ac:dyDescent="0.45">
      <c r="O505" s="8" t="s">
        <v>2266</v>
      </c>
      <c r="P505">
        <v>100.94587799999999</v>
      </c>
      <c r="Q505">
        <f>IF(ISBLANK(Clearance!D63),"",Clearance!D63)</f>
        <v>100.94587799999999</v>
      </c>
      <c r="R505">
        <f>IF(ISNUMBER(Clearance!D63),IF(ABS(Clearance!D63-P505)&lt;=0.000000000001*MAX(1,ABS(P505)),0,1),1)</f>
        <v>0</v>
      </c>
    </row>
    <row r="506" spans="15:18" x14ac:dyDescent="0.45">
      <c r="O506" s="8" t="s">
        <v>2267</v>
      </c>
      <c r="P506">
        <v>25.966083035</v>
      </c>
      <c r="Q506">
        <f>IF(ISBLANK(Clearance!G63),"",Clearance!G63)</f>
        <v>25.966083035</v>
      </c>
      <c r="R506">
        <f>IF(ISNUMBER(Clearance!G63),IF(ABS(Clearance!G63-P506)&lt;=0.000000000001*MAX(1,ABS(P506)),0,1),1)</f>
        <v>0</v>
      </c>
    </row>
    <row r="507" spans="15:18" x14ac:dyDescent="0.45">
      <c r="O507" s="8" t="s">
        <v>2268</v>
      </c>
      <c r="P507">
        <v>3.1940981110735948E-2</v>
      </c>
      <c r="Q507">
        <f>IF(ISBLANK(Clearance!H63),"",Clearance!H63)</f>
        <v>3.1940981110735948E-2</v>
      </c>
      <c r="R507">
        <f>IF(ISNUMBER(Clearance!H63),IF(ABS(Clearance!H63-P507)&lt;=0.000000000001*MAX(1,ABS(P507)),0,1),1)</f>
        <v>0</v>
      </c>
    </row>
    <row r="508" spans="15:18" x14ac:dyDescent="0.45">
      <c r="O508" s="8" t="s">
        <v>2269</v>
      </c>
      <c r="P508">
        <v>0</v>
      </c>
      <c r="Q508">
        <f>IF(ISBLANK(Clearance!I63),"",Clearance!I63)</f>
        <v>0</v>
      </c>
      <c r="R508">
        <f>IF(ISNUMBER(Clearance!I63),IF(ABS(Clearance!I63-P508)&lt;=0.000000000001*MAX(1,ABS(P508)),0,1),1)</f>
        <v>0</v>
      </c>
    </row>
    <row r="509" spans="15:18" x14ac:dyDescent="0.45">
      <c r="O509" s="8" t="s">
        <v>2270</v>
      </c>
      <c r="P509">
        <v>100.94587799999999</v>
      </c>
      <c r="Q509">
        <f>IF(ISBLANK(Clearance!C64),"",Clearance!C64)</f>
        <v>100.94587799999999</v>
      </c>
      <c r="R509">
        <f>IF(ISNUMBER(Clearance!C64),IF(ABS(Clearance!C64-P509)&lt;=0.000000000001*MAX(1,ABS(P509)),0,1),1)</f>
        <v>0</v>
      </c>
    </row>
    <row r="510" spans="15:18" x14ac:dyDescent="0.45">
      <c r="O510" s="8" t="s">
        <v>2271</v>
      </c>
      <c r="P510">
        <v>101.89129800000001</v>
      </c>
      <c r="Q510">
        <f>IF(ISBLANK(Clearance!D64),"",Clearance!D64)</f>
        <v>101.89129800000001</v>
      </c>
      <c r="R510">
        <f>IF(ISNUMBER(Clearance!D64),IF(ABS(Clearance!D64-P510)&lt;=0.000000000001*MAX(1,ABS(P510)),0,1),1)</f>
        <v>0</v>
      </c>
    </row>
    <row r="511" spans="15:18" x14ac:dyDescent="0.45">
      <c r="O511" s="8" t="s">
        <v>2272</v>
      </c>
      <c r="P511">
        <v>26.014882434</v>
      </c>
      <c r="Q511">
        <f>IF(ISBLANK(Clearance!G64),"",Clearance!G64)</f>
        <v>26.014882434</v>
      </c>
      <c r="R511">
        <f>IF(ISNUMBER(Clearance!G64),IF(ABS(Clearance!G64-P511)&lt;=0.000000000001*MAX(1,ABS(P511)),0,1),1)</f>
        <v>0</v>
      </c>
    </row>
    <row r="512" spans="15:18" x14ac:dyDescent="0.45">
      <c r="O512" s="8" t="s">
        <v>2273</v>
      </c>
      <c r="P512">
        <v>-2.9353476761650749E-2</v>
      </c>
      <c r="Q512">
        <f>IF(ISBLANK(Clearance!H64),"",Clearance!H64)</f>
        <v>-2.9353476761650749E-2</v>
      </c>
      <c r="R512">
        <f>IF(ISNUMBER(Clearance!H64),IF(ABS(Clearance!H64-P512)&lt;=0.000000000001*MAX(1,ABS(P512)),0,1),1)</f>
        <v>0</v>
      </c>
    </row>
    <row r="513" spans="15:18" x14ac:dyDescent="0.45">
      <c r="O513" s="8" t="s">
        <v>2274</v>
      </c>
      <c r="P513">
        <v>0</v>
      </c>
      <c r="Q513">
        <f>IF(ISBLANK(Clearance!I64),"",Clearance!I64)</f>
        <v>0</v>
      </c>
      <c r="R513">
        <f>IF(ISNUMBER(Clearance!I64),IF(ABS(Clearance!I64-P513)&lt;=0.000000000001*MAX(1,ABS(P513)),0,1),1)</f>
        <v>0</v>
      </c>
    </row>
    <row r="514" spans="15:18" x14ac:dyDescent="0.45">
      <c r="O514" s="8" t="s">
        <v>2275</v>
      </c>
      <c r="P514">
        <v>101.89129800000001</v>
      </c>
      <c r="Q514">
        <f>IF(ISBLANK(Clearance!C65),"",Clearance!C65)</f>
        <v>101.89129800000001</v>
      </c>
      <c r="R514">
        <f>IF(ISNUMBER(Clearance!C65),IF(ABS(Clearance!C65-P514)&lt;=0.000000000001*MAX(1,ABS(P514)),0,1),1)</f>
        <v>0</v>
      </c>
    </row>
    <row r="515" spans="15:18" x14ac:dyDescent="0.45">
      <c r="O515" s="8" t="s">
        <v>2276</v>
      </c>
      <c r="P515">
        <v>103.2733470000001</v>
      </c>
      <c r="Q515">
        <f>IF(ISBLANK(Clearance!D65),"",Clearance!D65)</f>
        <v>103.2733470000001</v>
      </c>
      <c r="R515">
        <f>IF(ISNUMBER(Clearance!D65),IF(ABS(Clearance!D65-P515)&lt;=0.000000000001*MAX(1,ABS(P515)),0,1),1)</f>
        <v>0</v>
      </c>
    </row>
    <row r="516" spans="15:18" x14ac:dyDescent="0.45">
      <c r="O516" s="8" t="s">
        <v>2277</v>
      </c>
      <c r="P516">
        <v>25.98713107</v>
      </c>
      <c r="Q516">
        <f>IF(ISBLANK(Clearance!G65),"",Clearance!G65)</f>
        <v>25.98713107</v>
      </c>
      <c r="R516">
        <f>IF(ISNUMBER(Clearance!G65),IF(ABS(Clearance!G65-P516)&lt;=0.000000000001*MAX(1,ABS(P516)),0,1),1)</f>
        <v>0</v>
      </c>
    </row>
    <row r="517" spans="15:18" x14ac:dyDescent="0.45">
      <c r="O517" s="8" t="s">
        <v>2278</v>
      </c>
      <c r="P517">
        <v>1.6183392195211199E-2</v>
      </c>
      <c r="Q517">
        <f>IF(ISBLANK(Clearance!H65),"",Clearance!H65)</f>
        <v>1.6183392195211199E-2</v>
      </c>
      <c r="R517">
        <f>IF(ISNUMBER(Clearance!H65),IF(ABS(Clearance!H65-P517)&lt;=0.000000000001*MAX(1,ABS(P517)),0,1),1)</f>
        <v>0</v>
      </c>
    </row>
    <row r="518" spans="15:18" x14ac:dyDescent="0.45">
      <c r="O518" s="8" t="s">
        <v>2279</v>
      </c>
      <c r="P518">
        <v>0</v>
      </c>
      <c r="Q518">
        <f>IF(ISBLANK(Clearance!I65),"",Clearance!I65)</f>
        <v>0</v>
      </c>
      <c r="R518">
        <f>IF(ISNUMBER(Clearance!I65),IF(ABS(Clearance!I65-P518)&lt;=0.000000000001*MAX(1,ABS(P518)),0,1),1)</f>
        <v>0</v>
      </c>
    </row>
    <row r="519" spans="15:18" x14ac:dyDescent="0.45">
      <c r="O519" s="8" t="s">
        <v>2280</v>
      </c>
      <c r="P519">
        <v>103.2733470000001</v>
      </c>
      <c r="Q519">
        <f>IF(ISBLANK(Clearance!C66),"",Clearance!C66)</f>
        <v>103.2733470000001</v>
      </c>
      <c r="R519">
        <f>IF(ISNUMBER(Clearance!C66),IF(ABS(Clearance!C66-P519)&lt;=0.000000000001*MAX(1,ABS(P519)),0,1),1)</f>
        <v>0</v>
      </c>
    </row>
    <row r="520" spans="15:18" x14ac:dyDescent="0.45">
      <c r="O520" s="8" t="s">
        <v>2281</v>
      </c>
      <c r="P520">
        <v>104.27773000000001</v>
      </c>
      <c r="Q520">
        <f>IF(ISBLANK(Clearance!D66),"",Clearance!D66)</f>
        <v>104.27773000000001</v>
      </c>
      <c r="R520">
        <f>IF(ISNUMBER(Clearance!D66),IF(ABS(Clearance!D66-P520)&lt;=0.000000000001*MAX(1,ABS(P520)),0,1),1)</f>
        <v>0</v>
      </c>
    </row>
    <row r="521" spans="15:18" x14ac:dyDescent="0.45">
      <c r="O521" s="8" t="s">
        <v>2282</v>
      </c>
      <c r="P521">
        <v>26.009497311000001</v>
      </c>
      <c r="Q521">
        <f>IF(ISBLANK(Clearance!G66),"",Clearance!G66)</f>
        <v>26.009497311000001</v>
      </c>
      <c r="R521">
        <f>IF(ISNUMBER(Clearance!G66),IF(ABS(Clearance!G66-P521)&lt;=0.000000000001*MAX(1,ABS(P521)),0,1),1)</f>
        <v>0</v>
      </c>
    </row>
    <row r="522" spans="15:18" x14ac:dyDescent="0.45">
      <c r="O522" s="8" t="s">
        <v>2283</v>
      </c>
      <c r="P522">
        <v>1.020600109719094E-2</v>
      </c>
      <c r="Q522">
        <f>IF(ISBLANK(Clearance!H66),"",Clearance!H66)</f>
        <v>1.020600109719094E-2</v>
      </c>
      <c r="R522">
        <f>IF(ISNUMBER(Clearance!H66),IF(ABS(Clearance!H66-P522)&lt;=0.000000000001*MAX(1,ABS(P522)),0,1),1)</f>
        <v>0</v>
      </c>
    </row>
    <row r="523" spans="15:18" x14ac:dyDescent="0.45">
      <c r="O523" s="8" t="s">
        <v>2284</v>
      </c>
      <c r="P523">
        <v>0</v>
      </c>
      <c r="Q523">
        <f>IF(ISBLANK(Clearance!I66),"",Clearance!I66)</f>
        <v>0</v>
      </c>
      <c r="R523">
        <f>IF(ISNUMBER(Clearance!I66),IF(ABS(Clearance!I66-P523)&lt;=0.000000000001*MAX(1,ABS(P523)),0,1),1)</f>
        <v>0</v>
      </c>
    </row>
    <row r="524" spans="15:18" x14ac:dyDescent="0.45">
      <c r="O524" s="8" t="s">
        <v>2285</v>
      </c>
      <c r="P524">
        <v>104.27773000000001</v>
      </c>
      <c r="Q524">
        <f>IF(ISBLANK(Clearance!C67),"",Clearance!C67)</f>
        <v>104.27773000000001</v>
      </c>
      <c r="R524">
        <f>IF(ISNUMBER(Clearance!C67),IF(ABS(Clearance!C67-P524)&lt;=0.000000000001*MAX(1,ABS(P524)),0,1),1)</f>
        <v>0</v>
      </c>
    </row>
    <row r="525" spans="15:18" x14ac:dyDescent="0.45">
      <c r="O525" s="8" t="s">
        <v>2286</v>
      </c>
      <c r="P525">
        <v>106.2423289999999</v>
      </c>
      <c r="Q525">
        <f>IF(ISBLANK(Clearance!D67),"",Clearance!D67)</f>
        <v>106.2423289999999</v>
      </c>
      <c r="R525">
        <f>IF(ISNUMBER(Clearance!D67),IF(ABS(Clearance!D67-P525)&lt;=0.000000000001*MAX(1,ABS(P525)),0,1),1)</f>
        <v>0</v>
      </c>
    </row>
    <row r="526" spans="15:18" x14ac:dyDescent="0.45">
      <c r="O526" s="8" t="s">
        <v>2287</v>
      </c>
      <c r="P526">
        <v>26.019748045</v>
      </c>
      <c r="Q526">
        <f>IF(ISBLANK(Clearance!G67),"",Clearance!G67)</f>
        <v>26.019748045</v>
      </c>
      <c r="R526">
        <f>IF(ISNUMBER(Clearance!G67),IF(ABS(Clearance!G67-P526)&lt;=0.000000000001*MAX(1,ABS(P526)),0,1),1)</f>
        <v>0</v>
      </c>
    </row>
    <row r="527" spans="15:18" x14ac:dyDescent="0.45">
      <c r="O527" s="8" t="s">
        <v>2288</v>
      </c>
      <c r="P527">
        <v>4.8914775992455868E-2</v>
      </c>
      <c r="Q527">
        <f>IF(ISBLANK(Clearance!H67),"",Clearance!H67)</f>
        <v>4.8914775992455868E-2</v>
      </c>
      <c r="R527">
        <f>IF(ISNUMBER(Clearance!H67),IF(ABS(Clearance!H67-P527)&lt;=0.000000000001*MAX(1,ABS(P527)),0,1),1)</f>
        <v>0</v>
      </c>
    </row>
    <row r="528" spans="15:18" x14ac:dyDescent="0.45">
      <c r="O528" s="8" t="s">
        <v>2289</v>
      </c>
      <c r="P528">
        <v>0</v>
      </c>
      <c r="Q528">
        <f>IF(ISBLANK(Clearance!I67),"",Clearance!I67)</f>
        <v>0</v>
      </c>
      <c r="R528">
        <f>IF(ISNUMBER(Clearance!I67),IF(ABS(Clearance!I67-P528)&lt;=0.000000000001*MAX(1,ABS(P528)),0,1),1)</f>
        <v>0</v>
      </c>
    </row>
    <row r="529" spans="15:18" x14ac:dyDescent="0.45">
      <c r="O529" s="8" t="s">
        <v>2290</v>
      </c>
      <c r="P529">
        <v>106.2423289999999</v>
      </c>
      <c r="Q529">
        <f>IF(ISBLANK(Clearance!C68),"",Clearance!C68)</f>
        <v>106.2423289999999</v>
      </c>
      <c r="R529">
        <f>IF(ISNUMBER(Clearance!C68),IF(ABS(Clearance!C68-P529)&lt;=0.000000000001*MAX(1,ABS(P529)),0,1),1)</f>
        <v>0</v>
      </c>
    </row>
    <row r="530" spans="15:18" x14ac:dyDescent="0.45">
      <c r="O530" s="8" t="s">
        <v>2291</v>
      </c>
      <c r="P530">
        <v>107.57458</v>
      </c>
      <c r="Q530">
        <f>IF(ISBLANK(Clearance!D68),"",Clearance!D68)</f>
        <v>107.57458</v>
      </c>
      <c r="R530">
        <f>IF(ISNUMBER(Clearance!D68),IF(ABS(Clearance!D68-P530)&lt;=0.000000000001*MAX(1,ABS(P530)),0,1),1)</f>
        <v>0</v>
      </c>
    </row>
    <row r="531" spans="15:18" x14ac:dyDescent="0.45">
      <c r="O531" s="8" t="s">
        <v>2292</v>
      </c>
      <c r="P531">
        <v>26.115845964999998</v>
      </c>
      <c r="Q531">
        <f>IF(ISBLANK(Clearance!G68),"",Clearance!G68)</f>
        <v>26.115845964999998</v>
      </c>
      <c r="R531">
        <f>IF(ISNUMBER(Clearance!G68),IF(ABS(Clearance!G68-P531)&lt;=0.000000000001*MAX(1,ABS(P531)),0,1),1)</f>
        <v>0</v>
      </c>
    </row>
    <row r="532" spans="15:18" x14ac:dyDescent="0.45">
      <c r="O532" s="8" t="s">
        <v>2293</v>
      </c>
      <c r="P532">
        <v>-5.7343021697859757E-2</v>
      </c>
      <c r="Q532">
        <f>IF(ISBLANK(Clearance!H68),"",Clearance!H68)</f>
        <v>-5.7343021697859757E-2</v>
      </c>
      <c r="R532">
        <f>IF(ISNUMBER(Clearance!H68),IF(ABS(Clearance!H68-P532)&lt;=0.000000000001*MAX(1,ABS(P532)),0,1),1)</f>
        <v>0</v>
      </c>
    </row>
    <row r="533" spans="15:18" x14ac:dyDescent="0.45">
      <c r="O533" s="8" t="s">
        <v>2294</v>
      </c>
      <c r="P533">
        <v>0</v>
      </c>
      <c r="Q533">
        <f>IF(ISBLANK(Clearance!I68),"",Clearance!I68)</f>
        <v>0</v>
      </c>
      <c r="R533">
        <f>IF(ISNUMBER(Clearance!I68),IF(ABS(Clearance!I68-P533)&lt;=0.000000000001*MAX(1,ABS(P533)),0,1),1)</f>
        <v>0</v>
      </c>
    </row>
    <row r="534" spans="15:18" x14ac:dyDescent="0.45">
      <c r="O534" s="8" t="s">
        <v>2295</v>
      </c>
      <c r="P534">
        <v>107.57458</v>
      </c>
      <c r="Q534">
        <f>IF(ISBLANK(Clearance!C69),"",Clearance!C69)</f>
        <v>107.57458</v>
      </c>
      <c r="R534">
        <f>IF(ISNUMBER(Clearance!C69),IF(ABS(Clearance!C69-P534)&lt;=0.000000000001*MAX(1,ABS(P534)),0,1),1)</f>
        <v>0</v>
      </c>
    </row>
    <row r="535" spans="15:18" x14ac:dyDescent="0.45">
      <c r="O535" s="8" t="s">
        <v>2296</v>
      </c>
      <c r="P535">
        <v>108.4693540000001</v>
      </c>
      <c r="Q535">
        <f>IF(ISBLANK(Clearance!D69),"",Clearance!D69)</f>
        <v>108.4693540000001</v>
      </c>
      <c r="R535">
        <f>IF(ISNUMBER(Clearance!D69),IF(ABS(Clearance!D69-P535)&lt;=0.000000000001*MAX(1,ABS(P535)),0,1),1)</f>
        <v>0</v>
      </c>
    </row>
    <row r="536" spans="15:18" x14ac:dyDescent="0.45">
      <c r="O536" s="8" t="s">
        <v>2297</v>
      </c>
      <c r="P536">
        <v>26.039450667000001</v>
      </c>
      <c r="Q536">
        <f>IF(ISBLANK(Clearance!G69),"",Clearance!G69)</f>
        <v>26.039450667000001</v>
      </c>
      <c r="R536">
        <f>IF(ISNUMBER(Clearance!G69),IF(ABS(Clearance!G69-P536)&lt;=0.000000000001*MAX(1,ABS(P536)),0,1),1)</f>
        <v>0</v>
      </c>
    </row>
    <row r="537" spans="15:18" x14ac:dyDescent="0.45">
      <c r="O537" s="8" t="s">
        <v>2298</v>
      </c>
      <c r="P537">
        <v>-6.5937797700864567E-2</v>
      </c>
      <c r="Q537">
        <f>IF(ISBLANK(Clearance!H69),"",Clearance!H69)</f>
        <v>-6.5937797700864567E-2</v>
      </c>
      <c r="R537">
        <f>IF(ISNUMBER(Clearance!H69),IF(ABS(Clearance!H69-P537)&lt;=0.000000000001*MAX(1,ABS(P537)),0,1),1)</f>
        <v>0</v>
      </c>
    </row>
    <row r="538" spans="15:18" x14ac:dyDescent="0.45">
      <c r="O538" s="8" t="s">
        <v>2299</v>
      </c>
      <c r="P538">
        <v>0</v>
      </c>
      <c r="Q538">
        <f>IF(ISBLANK(Clearance!I69),"",Clearance!I69)</f>
        <v>0</v>
      </c>
      <c r="R538">
        <f>IF(ISNUMBER(Clearance!I69),IF(ABS(Clearance!I69-P538)&lt;=0.000000000001*MAX(1,ABS(P538)),0,1),1)</f>
        <v>0</v>
      </c>
    </row>
    <row r="539" spans="15:18" x14ac:dyDescent="0.45">
      <c r="O539" s="8" t="s">
        <v>2300</v>
      </c>
      <c r="P539">
        <v>108.4693540000001</v>
      </c>
      <c r="Q539">
        <f>IF(ISBLANK(Clearance!C70),"",Clearance!C70)</f>
        <v>108.4693540000001</v>
      </c>
      <c r="R539">
        <f>IF(ISNUMBER(Clearance!C70),IF(ABS(Clearance!C70-P539)&lt;=0.000000000001*MAX(1,ABS(P539)),0,1),1)</f>
        <v>0</v>
      </c>
    </row>
    <row r="540" spans="15:18" x14ac:dyDescent="0.45">
      <c r="O540" s="8" t="s">
        <v>2301</v>
      </c>
      <c r="P540">
        <v>109.3210779999999</v>
      </c>
      <c r="Q540">
        <f>IF(ISBLANK(Clearance!D70),"",Clearance!D70)</f>
        <v>109.3210779999999</v>
      </c>
      <c r="R540">
        <f>IF(ISNUMBER(Clearance!D70),IF(ABS(Clearance!D70-P540)&lt;=0.000000000001*MAX(1,ABS(P540)),0,1),1)</f>
        <v>0</v>
      </c>
    </row>
    <row r="541" spans="15:18" x14ac:dyDescent="0.45">
      <c r="O541" s="8" t="s">
        <v>2302</v>
      </c>
      <c r="P541">
        <v>25.980451240000001</v>
      </c>
      <c r="Q541">
        <f>IF(ISBLANK(Clearance!G70),"",Clearance!G70)</f>
        <v>25.980451240000001</v>
      </c>
      <c r="R541">
        <f>IF(ISNUMBER(Clearance!G70),IF(ABS(Clearance!G70-P541)&lt;=0.000000000001*MAX(1,ABS(P541)),0,1),1)</f>
        <v>0</v>
      </c>
    </row>
    <row r="542" spans="15:18" x14ac:dyDescent="0.45">
      <c r="O542" s="8" t="s">
        <v>2303</v>
      </c>
      <c r="P542">
        <v>-1.163134301722491E-2</v>
      </c>
      <c r="Q542">
        <f>IF(ISBLANK(Clearance!H70),"",Clearance!H70)</f>
        <v>-1.163134301722491E-2</v>
      </c>
      <c r="R542">
        <f>IF(ISNUMBER(Clearance!H70),IF(ABS(Clearance!H70-P542)&lt;=0.000000000001*MAX(1,ABS(P542)),0,1),1)</f>
        <v>0</v>
      </c>
    </row>
    <row r="543" spans="15:18" x14ac:dyDescent="0.45">
      <c r="O543" s="8" t="s">
        <v>2304</v>
      </c>
      <c r="P543">
        <v>0</v>
      </c>
      <c r="Q543">
        <f>IF(ISBLANK(Clearance!I70),"",Clearance!I70)</f>
        <v>0</v>
      </c>
      <c r="R543">
        <f>IF(ISNUMBER(Clearance!I70),IF(ABS(Clearance!I70-P543)&lt;=0.000000000001*MAX(1,ABS(P543)),0,1),1)</f>
        <v>0</v>
      </c>
    </row>
    <row r="544" spans="15:18" x14ac:dyDescent="0.45">
      <c r="O544" s="8" t="s">
        <v>2305</v>
      </c>
      <c r="P544">
        <v>109.3210779999999</v>
      </c>
      <c r="Q544">
        <f>IF(ISBLANK(Clearance!C71),"",Clearance!C71)</f>
        <v>109.3210779999999</v>
      </c>
      <c r="R544">
        <f>IF(ISNUMBER(Clearance!C71),IF(ABS(Clearance!C71-P544)&lt;=0.000000000001*MAX(1,ABS(P544)),0,1),1)</f>
        <v>0</v>
      </c>
    </row>
    <row r="545" spans="15:18" x14ac:dyDescent="0.45">
      <c r="O545" s="8" t="s">
        <v>2306</v>
      </c>
      <c r="P545">
        <v>111.645</v>
      </c>
      <c r="Q545">
        <f>IF(ISBLANK(Clearance!D71),"",Clearance!D71)</f>
        <v>111.645</v>
      </c>
      <c r="R545">
        <f>IF(ISNUMBER(Clearance!D71),IF(ABS(Clearance!D71-P545)&lt;=0.000000000001*MAX(1,ABS(P545)),0,1),1)</f>
        <v>0</v>
      </c>
    </row>
    <row r="546" spans="15:18" x14ac:dyDescent="0.45">
      <c r="O546" s="8" t="s">
        <v>2307</v>
      </c>
      <c r="P546">
        <v>25.970544545999999</v>
      </c>
      <c r="Q546">
        <f>IF(ISBLANK(Clearance!G71),"",Clearance!G71)</f>
        <v>25.970544545999999</v>
      </c>
      <c r="R546">
        <f>IF(ISNUMBER(Clearance!G71),IF(ABS(Clearance!G71-P546)&lt;=0.000000000001*MAX(1,ABS(P546)),0,1),1)</f>
        <v>0</v>
      </c>
    </row>
    <row r="547" spans="15:18" x14ac:dyDescent="0.45">
      <c r="O547" s="8" t="s">
        <v>2308</v>
      </c>
      <c r="P547">
        <v>-2.782478930015749E-3</v>
      </c>
      <c r="Q547">
        <f>IF(ISBLANK(Clearance!H71),"",Clearance!H71)</f>
        <v>-2.782478930015749E-3</v>
      </c>
      <c r="R547">
        <f>IF(ISNUMBER(Clearance!H71),IF(ABS(Clearance!H71-P547)&lt;=0.000000000001*MAX(1,ABS(P547)),0,1),1)</f>
        <v>0</v>
      </c>
    </row>
    <row r="548" spans="15:18" x14ac:dyDescent="0.45">
      <c r="O548" s="8" t="s">
        <v>2309</v>
      </c>
      <c r="P548">
        <v>0</v>
      </c>
      <c r="Q548">
        <f>IF(ISBLANK(Clearance!I71),"",Clearance!I71)</f>
        <v>0</v>
      </c>
      <c r="R548">
        <f>IF(ISNUMBER(Clearance!I71),IF(ABS(Clearance!I71-P548)&lt;=0.000000000001*MAX(1,ABS(P548)),0,1),1)</f>
        <v>0</v>
      </c>
    </row>
    <row r="549" spans="15:18" x14ac:dyDescent="0.45">
      <c r="O549" s="8" t="s">
        <v>2310</v>
      </c>
      <c r="P549">
        <v>111.645</v>
      </c>
      <c r="Q549">
        <f>IF(ISBLANK(Clearance!C72),"",Clearance!C72)</f>
        <v>111.645</v>
      </c>
      <c r="R549">
        <f>IF(ISNUMBER(Clearance!C72),IF(ABS(Clearance!C72-P549)&lt;=0.000000000001*MAX(1,ABS(P549)),0,1),1)</f>
        <v>0</v>
      </c>
    </row>
    <row r="550" spans="15:18" x14ac:dyDescent="0.45">
      <c r="O550" s="8" t="s">
        <v>2311</v>
      </c>
      <c r="P550">
        <v>112.4639050000001</v>
      </c>
      <c r="Q550">
        <f>IF(ISBLANK(Clearance!D72),"",Clearance!D72)</f>
        <v>112.4639050000001</v>
      </c>
      <c r="R550">
        <f>IF(ISNUMBER(Clearance!D72),IF(ABS(Clearance!D72-P550)&lt;=0.000000000001*MAX(1,ABS(P550)),0,1),1)</f>
        <v>0</v>
      </c>
    </row>
    <row r="551" spans="15:18" x14ac:dyDescent="0.45">
      <c r="O551" s="8" t="s">
        <v>2312</v>
      </c>
      <c r="P551">
        <v>25.964078281999999</v>
      </c>
      <c r="Q551">
        <f>IF(ISBLANK(Clearance!G72),"",Clearance!G72)</f>
        <v>25.964078281999999</v>
      </c>
      <c r="R551">
        <f>IF(ISNUMBER(Clearance!G72),IF(ABS(Clearance!G72-P551)&lt;=0.000000000001*MAX(1,ABS(P551)),0,1),1)</f>
        <v>0</v>
      </c>
    </row>
    <row r="552" spans="15:18" x14ac:dyDescent="0.45">
      <c r="O552" s="8" t="s">
        <v>2313</v>
      </c>
      <c r="P552">
        <v>-1.9775011753494911E-2</v>
      </c>
      <c r="Q552">
        <f>IF(ISBLANK(Clearance!H72),"",Clearance!H72)</f>
        <v>-1.9775011753494911E-2</v>
      </c>
      <c r="R552">
        <f>IF(ISNUMBER(Clearance!H72),IF(ABS(Clearance!H72-P552)&lt;=0.000000000001*MAX(1,ABS(P552)),0,1),1)</f>
        <v>0</v>
      </c>
    </row>
    <row r="553" spans="15:18" x14ac:dyDescent="0.45">
      <c r="O553" s="8" t="s">
        <v>2314</v>
      </c>
      <c r="P553">
        <v>0</v>
      </c>
      <c r="Q553">
        <f>IF(ISBLANK(Clearance!I72),"",Clearance!I72)</f>
        <v>0</v>
      </c>
      <c r="R553">
        <f>IF(ISNUMBER(Clearance!I72),IF(ABS(Clearance!I72-P553)&lt;=0.000000000001*MAX(1,ABS(P553)),0,1),1)</f>
        <v>0</v>
      </c>
    </row>
    <row r="554" spans="15:18" x14ac:dyDescent="0.45">
      <c r="O554" s="8" t="s">
        <v>2315</v>
      </c>
      <c r="P554">
        <v>112.4639050000001</v>
      </c>
      <c r="Q554">
        <f>IF(ISBLANK(Clearance!C73),"",Clearance!C73)</f>
        <v>112.4639050000001</v>
      </c>
      <c r="R554">
        <f>IF(ISNUMBER(Clearance!C73),IF(ABS(Clearance!C73-P554)&lt;=0.000000000001*MAX(1,ABS(P554)),0,1),1)</f>
        <v>0</v>
      </c>
    </row>
    <row r="555" spans="15:18" x14ac:dyDescent="0.45">
      <c r="O555" s="8" t="s">
        <v>2316</v>
      </c>
      <c r="P555">
        <v>113.52903599999991</v>
      </c>
      <c r="Q555">
        <f>IF(ISBLANK(Clearance!D73),"",Clearance!D73)</f>
        <v>113.52903599999991</v>
      </c>
      <c r="R555">
        <f>IF(ISNUMBER(Clearance!D73),IF(ABS(Clearance!D73-P555)&lt;=0.000000000001*MAX(1,ABS(P555)),0,1),1)</f>
        <v>0</v>
      </c>
    </row>
    <row r="556" spans="15:18" x14ac:dyDescent="0.45">
      <c r="O556" s="8" t="s">
        <v>2317</v>
      </c>
      <c r="P556">
        <v>25.947884426000002</v>
      </c>
      <c r="Q556">
        <f>IF(ISBLANK(Clearance!G73),"",Clearance!G73)</f>
        <v>25.947884426000002</v>
      </c>
      <c r="R556">
        <f>IF(ISNUMBER(Clearance!G73),IF(ABS(Clearance!G73-P556)&lt;=0.000000000001*MAX(1,ABS(P556)),0,1),1)</f>
        <v>0</v>
      </c>
    </row>
    <row r="557" spans="15:18" x14ac:dyDescent="0.45">
      <c r="O557" s="8" t="s">
        <v>2318</v>
      </c>
      <c r="P557">
        <v>1.332922241489543E-2</v>
      </c>
      <c r="Q557">
        <f>IF(ISBLANK(Clearance!H73),"",Clearance!H73)</f>
        <v>1.332922241489543E-2</v>
      </c>
      <c r="R557">
        <f>IF(ISNUMBER(Clearance!H73),IF(ABS(Clearance!H73-P557)&lt;=0.000000000001*MAX(1,ABS(P557)),0,1),1)</f>
        <v>0</v>
      </c>
    </row>
    <row r="558" spans="15:18" x14ac:dyDescent="0.45">
      <c r="O558" s="8" t="s">
        <v>2319</v>
      </c>
      <c r="P558">
        <v>0</v>
      </c>
      <c r="Q558">
        <f>IF(ISBLANK(Clearance!I73),"",Clearance!I73)</f>
        <v>0</v>
      </c>
      <c r="R558">
        <f>IF(ISNUMBER(Clearance!I73),IF(ABS(Clearance!I73-P558)&lt;=0.000000000001*MAX(1,ABS(P558)),0,1),1)</f>
        <v>0</v>
      </c>
    </row>
    <row r="559" spans="15:18" x14ac:dyDescent="0.45">
      <c r="O559" s="8" t="s">
        <v>2320</v>
      </c>
      <c r="P559">
        <v>113.52903599999991</v>
      </c>
      <c r="Q559">
        <f>IF(ISBLANK(Clearance!C74),"",Clearance!C74)</f>
        <v>113.52903599999991</v>
      </c>
      <c r="R559">
        <f>IF(ISNUMBER(Clearance!C74),IF(ABS(Clearance!C74-P559)&lt;=0.000000000001*MAX(1,ABS(P559)),0,1),1)</f>
        <v>0</v>
      </c>
    </row>
    <row r="560" spans="15:18" x14ac:dyDescent="0.45">
      <c r="O560" s="8" t="s">
        <v>2321</v>
      </c>
      <c r="P560">
        <v>115.1687830000001</v>
      </c>
      <c r="Q560">
        <f>IF(ISBLANK(Clearance!D74),"",Clearance!D74)</f>
        <v>115.1687830000001</v>
      </c>
      <c r="R560">
        <f>IF(ISNUMBER(Clearance!D74),IF(ABS(Clearance!D74-P560)&lt;=0.000000000001*MAX(1,ABS(P560)),0,1),1)</f>
        <v>0</v>
      </c>
    </row>
    <row r="561" spans="15:18" x14ac:dyDescent="0.45">
      <c r="O561" s="8" t="s">
        <v>2322</v>
      </c>
      <c r="P561">
        <v>25.962081793999999</v>
      </c>
      <c r="Q561">
        <f>IF(ISBLANK(Clearance!G74),"",Clearance!G74)</f>
        <v>25.962081793999999</v>
      </c>
      <c r="R561">
        <f>IF(ISNUMBER(Clearance!G74),IF(ABS(Clearance!G74-P561)&lt;=0.000000000001*MAX(1,ABS(P561)),0,1),1)</f>
        <v>0</v>
      </c>
    </row>
    <row r="562" spans="15:18" x14ac:dyDescent="0.45">
      <c r="O562" s="8" t="s">
        <v>2323</v>
      </c>
      <c r="P562">
        <v>-4.371026322962817E-2</v>
      </c>
      <c r="Q562">
        <f>IF(ISBLANK(Clearance!H74),"",Clearance!H74)</f>
        <v>-4.371026322962817E-2</v>
      </c>
      <c r="R562">
        <f>IF(ISNUMBER(Clearance!H74),IF(ABS(Clearance!H74-P562)&lt;=0.000000000001*MAX(1,ABS(P562)),0,1),1)</f>
        <v>0</v>
      </c>
    </row>
    <row r="563" spans="15:18" x14ac:dyDescent="0.45">
      <c r="O563" s="8" t="s">
        <v>2324</v>
      </c>
      <c r="P563">
        <v>0</v>
      </c>
      <c r="Q563">
        <f>IF(ISBLANK(Clearance!I74),"",Clearance!I74)</f>
        <v>0</v>
      </c>
      <c r="R563">
        <f>IF(ISNUMBER(Clearance!I74),IF(ABS(Clearance!I74-P563)&lt;=0.000000000001*MAX(1,ABS(P563)),0,1),1)</f>
        <v>0</v>
      </c>
    </row>
    <row r="564" spans="15:18" x14ac:dyDescent="0.45">
      <c r="O564" s="8" t="s">
        <v>2325</v>
      </c>
      <c r="P564">
        <v>115.1687830000001</v>
      </c>
      <c r="Q564">
        <f>IF(ISBLANK(Clearance!C75),"",Clearance!C75)</f>
        <v>115.1687830000001</v>
      </c>
      <c r="R564">
        <f>IF(ISNUMBER(Clearance!C75),IF(ABS(Clearance!C75-P564)&lt;=0.000000000001*MAX(1,ABS(P564)),0,1),1)</f>
        <v>0</v>
      </c>
    </row>
    <row r="565" spans="15:18" x14ac:dyDescent="0.45">
      <c r="O565" s="8" t="s">
        <v>2326</v>
      </c>
      <c r="P565">
        <v>115.61924500000011</v>
      </c>
      <c r="Q565">
        <f>IF(ISBLANK(Clearance!D75),"",Clearance!D75)</f>
        <v>115.61924500000011</v>
      </c>
      <c r="R565">
        <f>IF(ISNUMBER(Clearance!D75),IF(ABS(Clearance!D75-P565)&lt;=0.000000000001*MAX(1,ABS(P565)),0,1),1)</f>
        <v>0</v>
      </c>
    </row>
    <row r="566" spans="15:18" x14ac:dyDescent="0.45">
      <c r="O566" s="8" t="s">
        <v>2327</v>
      </c>
      <c r="P566">
        <v>25.890408020999999</v>
      </c>
      <c r="Q566">
        <f>IF(ISBLANK(Clearance!G75),"",Clearance!G75)</f>
        <v>25.890408020999999</v>
      </c>
      <c r="R566">
        <f>IF(ISNUMBER(Clearance!G75),IF(ABS(Clearance!G75-P566)&lt;=0.000000000001*MAX(1,ABS(P566)),0,1),1)</f>
        <v>0</v>
      </c>
    </row>
    <row r="567" spans="15:18" x14ac:dyDescent="0.45">
      <c r="O567" s="8" t="s">
        <v>2328</v>
      </c>
      <c r="P567">
        <v>-3.7920781331161939E-2</v>
      </c>
      <c r="Q567">
        <f>IF(ISBLANK(Clearance!H75),"",Clearance!H75)</f>
        <v>-3.7920781331161939E-2</v>
      </c>
      <c r="R567">
        <f>IF(ISNUMBER(Clearance!H75),IF(ABS(Clearance!H75-P567)&lt;=0.000000000001*MAX(1,ABS(P567)),0,1),1)</f>
        <v>0</v>
      </c>
    </row>
    <row r="568" spans="15:18" x14ac:dyDescent="0.45">
      <c r="O568" s="8" t="s">
        <v>2329</v>
      </c>
      <c r="P568">
        <v>0</v>
      </c>
      <c r="Q568">
        <f>IF(ISBLANK(Clearance!I75),"",Clearance!I75)</f>
        <v>0</v>
      </c>
      <c r="R568">
        <f>IF(ISNUMBER(Clearance!I75),IF(ABS(Clearance!I75-P568)&lt;=0.000000000001*MAX(1,ABS(P568)),0,1),1)</f>
        <v>0</v>
      </c>
    </row>
    <row r="569" spans="15:18" x14ac:dyDescent="0.45">
      <c r="O569" s="8" t="s">
        <v>2330</v>
      </c>
      <c r="P569">
        <v>115.61924500000011</v>
      </c>
      <c r="Q569">
        <f>IF(ISBLANK(Clearance!C76),"",Clearance!C76)</f>
        <v>115.61924500000011</v>
      </c>
      <c r="R569">
        <f>IF(ISNUMBER(Clearance!C76),IF(ABS(Clearance!C76-P569)&lt;=0.000000000001*MAX(1,ABS(P569)),0,1),1)</f>
        <v>0</v>
      </c>
    </row>
    <row r="570" spans="15:18" x14ac:dyDescent="0.45">
      <c r="O570" s="8" t="s">
        <v>2331</v>
      </c>
      <c r="P570">
        <v>115.75846299999991</v>
      </c>
      <c r="Q570">
        <f>IF(ISBLANK(Clearance!D76),"",Clearance!D76)</f>
        <v>115.75846299999991</v>
      </c>
      <c r="R570">
        <f>IF(ISNUMBER(Clearance!D76),IF(ABS(Clearance!D76-P570)&lt;=0.000000000001*MAX(1,ABS(P570)),0,1),1)</f>
        <v>0</v>
      </c>
    </row>
    <row r="571" spans="15:18" x14ac:dyDescent="0.45">
      <c r="O571" s="8" t="s">
        <v>2332</v>
      </c>
      <c r="P571">
        <v>25.87332615</v>
      </c>
      <c r="Q571">
        <f>IF(ISBLANK(Clearance!G76),"",Clearance!G76)</f>
        <v>25.87332615</v>
      </c>
      <c r="R571">
        <f>IF(ISNUMBER(Clearance!G76),IF(ABS(Clearance!G76-P571)&lt;=0.000000000001*MAX(1,ABS(P571)),0,1),1)</f>
        <v>0</v>
      </c>
    </row>
    <row r="572" spans="15:18" x14ac:dyDescent="0.45">
      <c r="O572" s="8" t="s">
        <v>2333</v>
      </c>
      <c r="P572">
        <v>-1.380494619949833E-2</v>
      </c>
      <c r="Q572">
        <f>IF(ISBLANK(Clearance!H76),"",Clearance!H76)</f>
        <v>-1.380494619949833E-2</v>
      </c>
      <c r="R572">
        <f>IF(ISNUMBER(Clearance!H76),IF(ABS(Clearance!H76-P572)&lt;=0.000000000001*MAX(1,ABS(P572)),0,1),1)</f>
        <v>0</v>
      </c>
    </row>
    <row r="573" spans="15:18" x14ac:dyDescent="0.45">
      <c r="O573" s="8" t="s">
        <v>2334</v>
      </c>
      <c r="P573">
        <v>0</v>
      </c>
      <c r="Q573">
        <f>IF(ISBLANK(Clearance!I76),"",Clearance!I76)</f>
        <v>0</v>
      </c>
      <c r="R573">
        <f>IF(ISNUMBER(Clearance!I76),IF(ABS(Clearance!I76-P573)&lt;=0.000000000001*MAX(1,ABS(P573)),0,1),1)</f>
        <v>0</v>
      </c>
    </row>
    <row r="574" spans="15:18" x14ac:dyDescent="0.45">
      <c r="O574" s="8" t="s">
        <v>2335</v>
      </c>
      <c r="P574">
        <v>115.75846299999991</v>
      </c>
      <c r="Q574">
        <f>IF(ISBLANK(Clearance!C77),"",Clearance!C77)</f>
        <v>115.75846299999991</v>
      </c>
      <c r="R574">
        <f>IF(ISNUMBER(Clearance!C77),IF(ABS(Clearance!C77-P574)&lt;=0.000000000001*MAX(1,ABS(P574)),0,1),1)</f>
        <v>0</v>
      </c>
    </row>
    <row r="575" spans="15:18" x14ac:dyDescent="0.45">
      <c r="O575" s="8" t="s">
        <v>2336</v>
      </c>
      <c r="P575">
        <v>116.10053499999999</v>
      </c>
      <c r="Q575">
        <f>IF(ISBLANK(Clearance!D77),"",Clearance!D77)</f>
        <v>116.10053499999999</v>
      </c>
      <c r="R575">
        <f>IF(ISNUMBER(Clearance!D77),IF(ABS(Clearance!D77-P575)&lt;=0.000000000001*MAX(1,ABS(P575)),0,1),1)</f>
        <v>0</v>
      </c>
    </row>
    <row r="576" spans="15:18" x14ac:dyDescent="0.45">
      <c r="O576" s="8" t="s">
        <v>2337</v>
      </c>
      <c r="P576">
        <v>25.871404253000001</v>
      </c>
      <c r="Q576">
        <f>IF(ISBLANK(Clearance!G77),"",Clearance!G77)</f>
        <v>25.871404253000001</v>
      </c>
      <c r="R576">
        <f>IF(ISNUMBER(Clearance!G77),IF(ABS(Clearance!G77-P576)&lt;=0.000000000001*MAX(1,ABS(P576)),0,1),1)</f>
        <v>0</v>
      </c>
    </row>
    <row r="577" spans="15:18" x14ac:dyDescent="0.45">
      <c r="O577" s="8" t="s">
        <v>2338</v>
      </c>
      <c r="P577">
        <v>-3.8014742510337728E-2</v>
      </c>
      <c r="Q577">
        <f>IF(ISBLANK(Clearance!H77),"",Clearance!H77)</f>
        <v>-3.8014742510337728E-2</v>
      </c>
      <c r="R577">
        <f>IF(ISNUMBER(Clearance!H77),IF(ABS(Clearance!H77-P577)&lt;=0.000000000001*MAX(1,ABS(P577)),0,1),1)</f>
        <v>0</v>
      </c>
    </row>
    <row r="578" spans="15:18" x14ac:dyDescent="0.45">
      <c r="O578" s="8" t="s">
        <v>2339</v>
      </c>
      <c r="P578">
        <v>0</v>
      </c>
      <c r="Q578">
        <f>IF(ISBLANK(Clearance!I77),"",Clearance!I77)</f>
        <v>0</v>
      </c>
      <c r="R578">
        <f>IF(ISNUMBER(Clearance!I77),IF(ABS(Clearance!I77-P578)&lt;=0.000000000001*MAX(1,ABS(P578)),0,1),1)</f>
        <v>0</v>
      </c>
    </row>
    <row r="579" spans="15:18" x14ac:dyDescent="0.45">
      <c r="O579" s="8" t="s">
        <v>2340</v>
      </c>
      <c r="P579">
        <v>116.10053499999999</v>
      </c>
      <c r="Q579">
        <f>IF(ISBLANK(Clearance!C78),"",Clearance!C78)</f>
        <v>116.10053499999999</v>
      </c>
      <c r="R579">
        <f>IF(ISNUMBER(Clearance!C78),IF(ABS(Clearance!C78-P579)&lt;=0.000000000001*MAX(1,ABS(P579)),0,1),1)</f>
        <v>0</v>
      </c>
    </row>
    <row r="580" spans="15:18" x14ac:dyDescent="0.45">
      <c r="O580" s="8" t="s">
        <v>2341</v>
      </c>
      <c r="P580">
        <v>126.9405790000001</v>
      </c>
      <c r="Q580">
        <f>IF(ISBLANK(Clearance!D78),"",Clearance!D78)</f>
        <v>126.9405790000001</v>
      </c>
      <c r="R580">
        <f>IF(ISNUMBER(Clearance!D78),IF(ABS(Clearance!D78-P580)&lt;=0.000000000001*MAX(1,ABS(P580)),0,1),1)</f>
        <v>0</v>
      </c>
    </row>
    <row r="581" spans="15:18" x14ac:dyDescent="0.45">
      <c r="O581" s="8" t="s">
        <v>2342</v>
      </c>
      <c r="P581">
        <v>25.858400474</v>
      </c>
      <c r="Q581">
        <f>IF(ISBLANK(Clearance!G78),"",Clearance!G78)</f>
        <v>25.858400474</v>
      </c>
      <c r="R581">
        <f>IF(ISNUMBER(Clearance!G78),IF(ABS(Clearance!G78-P581)&lt;=0.000000000001*MAX(1,ABS(P581)),0,1),1)</f>
        <v>0</v>
      </c>
    </row>
    <row r="582" spans="15:18" x14ac:dyDescent="0.45">
      <c r="O582" s="8" t="s">
        <v>2343</v>
      </c>
      <c r="P582">
        <v>-1.0860834144215681E-2</v>
      </c>
      <c r="Q582">
        <f>IF(ISBLANK(Clearance!H78),"",Clearance!H78)</f>
        <v>-1.0860834144215681E-2</v>
      </c>
      <c r="R582">
        <f>IF(ISNUMBER(Clearance!H78),IF(ABS(Clearance!H78-P582)&lt;=0.000000000001*MAX(1,ABS(P582)),0,1),1)</f>
        <v>0</v>
      </c>
    </row>
    <row r="583" spans="15:18" x14ac:dyDescent="0.45">
      <c r="O583" s="8" t="s">
        <v>2344</v>
      </c>
      <c r="P583">
        <v>0</v>
      </c>
      <c r="Q583">
        <f>IF(ISBLANK(Clearance!I78),"",Clearance!I78)</f>
        <v>0</v>
      </c>
      <c r="R583">
        <f>IF(ISNUMBER(Clearance!I78),IF(ABS(Clearance!I78-P583)&lt;=0.000000000001*MAX(1,ABS(P583)),0,1),1)</f>
        <v>0</v>
      </c>
    </row>
    <row r="584" spans="15:18" x14ac:dyDescent="0.45">
      <c r="O584" s="8" t="s">
        <v>2345</v>
      </c>
      <c r="P584">
        <v>126.9405790000001</v>
      </c>
      <c r="Q584">
        <f>IF(ISBLANK(Clearance!C79),"",Clearance!C79)</f>
        <v>126.9405790000001</v>
      </c>
      <c r="R584">
        <f>IF(ISNUMBER(Clearance!C79),IF(ABS(Clearance!C79-P584)&lt;=0.000000000001*MAX(1,ABS(P584)),0,1),1)</f>
        <v>0</v>
      </c>
    </row>
    <row r="585" spans="15:18" x14ac:dyDescent="0.45">
      <c r="O585" s="8" t="s">
        <v>2346</v>
      </c>
      <c r="P585">
        <v>128.1276169999999</v>
      </c>
      <c r="Q585">
        <f>IF(ISBLANK(Clearance!D79),"",Clearance!D79)</f>
        <v>128.1276169999999</v>
      </c>
      <c r="R585">
        <f>IF(ISNUMBER(Clearance!D79),IF(ABS(Clearance!D79-P585)&lt;=0.000000000001*MAX(1,ABS(P585)),0,1),1)</f>
        <v>0</v>
      </c>
    </row>
    <row r="586" spans="15:18" x14ac:dyDescent="0.45">
      <c r="O586" s="8" t="s">
        <v>2347</v>
      </c>
      <c r="P586">
        <v>25.740668553999999</v>
      </c>
      <c r="Q586">
        <f>IF(ISBLANK(Clearance!G79),"",Clearance!G79)</f>
        <v>25.740668553999999</v>
      </c>
      <c r="R586">
        <f>IF(ISNUMBER(Clearance!G79),IF(ABS(Clearance!G79-P586)&lt;=0.000000000001*MAX(1,ABS(P586)),0,1),1)</f>
        <v>0</v>
      </c>
    </row>
    <row r="587" spans="15:18" x14ac:dyDescent="0.45">
      <c r="O587" s="8" t="s">
        <v>2348</v>
      </c>
      <c r="P587">
        <v>-1.047392332848868E-2</v>
      </c>
      <c r="Q587">
        <f>IF(ISBLANK(Clearance!H79),"",Clearance!H79)</f>
        <v>-1.047392332848868E-2</v>
      </c>
      <c r="R587">
        <f>IF(ISNUMBER(Clearance!H79),IF(ABS(Clearance!H79-P587)&lt;=0.000000000001*MAX(1,ABS(P587)),0,1),1)</f>
        <v>0</v>
      </c>
    </row>
    <row r="588" spans="15:18" x14ac:dyDescent="0.45">
      <c r="O588" s="8" t="s">
        <v>2349</v>
      </c>
      <c r="P588">
        <v>0</v>
      </c>
      <c r="Q588">
        <f>IF(ISBLANK(Clearance!I79),"",Clearance!I79)</f>
        <v>0</v>
      </c>
      <c r="R588">
        <f>IF(ISNUMBER(Clearance!I79),IF(ABS(Clearance!I79-P588)&lt;=0.000000000001*MAX(1,ABS(P588)),0,1),1)</f>
        <v>0</v>
      </c>
    </row>
    <row r="589" spans="15:18" x14ac:dyDescent="0.45">
      <c r="O589" s="8" t="s">
        <v>2350</v>
      </c>
      <c r="P589">
        <v>128.1276169999999</v>
      </c>
      <c r="Q589">
        <f>IF(ISBLANK(Clearance!C80),"",Clearance!C80)</f>
        <v>128.1276169999999</v>
      </c>
      <c r="R589">
        <f>IF(ISNUMBER(Clearance!C80),IF(ABS(Clearance!C80-P589)&lt;=0.000000000001*MAX(1,ABS(P589)),0,1),1)</f>
        <v>0</v>
      </c>
    </row>
    <row r="590" spans="15:18" x14ac:dyDescent="0.45">
      <c r="O590" s="8" t="s">
        <v>2351</v>
      </c>
      <c r="P590">
        <v>130.12283099999991</v>
      </c>
      <c r="Q590">
        <f>IF(ISBLANK(Clearance!D80),"",Clearance!D80)</f>
        <v>130.12283099999991</v>
      </c>
      <c r="R590">
        <f>IF(ISNUMBER(Clearance!D80),IF(ABS(Clearance!D80-P590)&lt;=0.000000000001*MAX(1,ABS(P590)),0,1),1)</f>
        <v>0</v>
      </c>
    </row>
    <row r="591" spans="15:18" x14ac:dyDescent="0.45">
      <c r="O591" s="8" t="s">
        <v>2352</v>
      </c>
      <c r="P591">
        <v>25.728235608999999</v>
      </c>
      <c r="Q591">
        <f>IF(ISBLANK(Clearance!G80),"",Clearance!G80)</f>
        <v>25.728235608999999</v>
      </c>
      <c r="R591">
        <f>IF(ISNUMBER(Clearance!G80),IF(ABS(Clearance!G80-P591)&lt;=0.000000000001*MAX(1,ABS(P591)),0,1),1)</f>
        <v>0</v>
      </c>
    </row>
    <row r="592" spans="15:18" x14ac:dyDescent="0.45">
      <c r="O592" s="8" t="s">
        <v>2353</v>
      </c>
      <c r="P592">
        <v>-1.932031601622558E-2</v>
      </c>
      <c r="Q592">
        <f>IF(ISBLANK(Clearance!H80),"",Clearance!H80)</f>
        <v>-1.932031601622558E-2</v>
      </c>
      <c r="R592">
        <f>IF(ISNUMBER(Clearance!H80),IF(ABS(Clearance!H80-P592)&lt;=0.000000000001*MAX(1,ABS(P592)),0,1),1)</f>
        <v>0</v>
      </c>
    </row>
    <row r="593" spans="15:18" x14ac:dyDescent="0.45">
      <c r="O593" s="8" t="s">
        <v>2354</v>
      </c>
      <c r="P593">
        <v>0</v>
      </c>
      <c r="Q593">
        <f>IF(ISBLANK(Clearance!I80),"",Clearance!I80)</f>
        <v>0</v>
      </c>
      <c r="R593">
        <f>IF(ISNUMBER(Clearance!I80),IF(ABS(Clearance!I80-P593)&lt;=0.000000000001*MAX(1,ABS(P593)),0,1),1)</f>
        <v>0</v>
      </c>
    </row>
    <row r="594" spans="15:18" x14ac:dyDescent="0.45">
      <c r="O594" s="8" t="s">
        <v>2355</v>
      </c>
      <c r="P594">
        <v>130.12283099999991</v>
      </c>
      <c r="Q594">
        <f>IF(ISBLANK(Clearance!C81),"",Clearance!C81)</f>
        <v>130.12283099999991</v>
      </c>
      <c r="R594">
        <f>IF(ISNUMBER(Clearance!C81),IF(ABS(Clearance!C81-P594)&lt;=0.000000000001*MAX(1,ABS(P594)),0,1),1)</f>
        <v>0</v>
      </c>
    </row>
    <row r="595" spans="15:18" x14ac:dyDescent="0.45">
      <c r="O595" s="8" t="s">
        <v>2356</v>
      </c>
      <c r="P595">
        <v>140.19070600000009</v>
      </c>
      <c r="Q595">
        <f>IF(ISBLANK(Clearance!D81),"",Clearance!D81)</f>
        <v>140.19070600000009</v>
      </c>
      <c r="R595">
        <f>IF(ISNUMBER(Clearance!D81),IF(ABS(Clearance!D81-P595)&lt;=0.000000000001*MAX(1,ABS(P595)),0,1),1)</f>
        <v>0</v>
      </c>
    </row>
    <row r="596" spans="15:18" x14ac:dyDescent="0.45">
      <c r="O596" s="8" t="s">
        <v>2357</v>
      </c>
      <c r="P596">
        <v>25.689687444</v>
      </c>
      <c r="Q596">
        <f>IF(ISBLANK(Clearance!G81),"",Clearance!G81)</f>
        <v>25.689687444</v>
      </c>
      <c r="R596">
        <f>IF(ISNUMBER(Clearance!G81),IF(ABS(Clearance!G81-P596)&lt;=0.000000000001*MAX(1,ABS(P596)),0,1),1)</f>
        <v>0</v>
      </c>
    </row>
    <row r="597" spans="15:18" x14ac:dyDescent="0.45">
      <c r="O597" s="8" t="s">
        <v>2358</v>
      </c>
      <c r="P597">
        <v>-1.8318222167041071E-2</v>
      </c>
      <c r="Q597">
        <f>IF(ISBLANK(Clearance!H81),"",Clearance!H81)</f>
        <v>-1.8318222167041071E-2</v>
      </c>
      <c r="R597">
        <f>IF(ISNUMBER(Clearance!H81),IF(ABS(Clearance!H81-P597)&lt;=0.000000000001*MAX(1,ABS(P597)),0,1),1)</f>
        <v>0</v>
      </c>
    </row>
    <row r="598" spans="15:18" x14ac:dyDescent="0.45">
      <c r="O598" s="8" t="s">
        <v>2359</v>
      </c>
      <c r="P598">
        <v>0</v>
      </c>
      <c r="Q598">
        <f>IF(ISBLANK(Clearance!I81),"",Clearance!I81)</f>
        <v>0</v>
      </c>
      <c r="R598">
        <f>IF(ISNUMBER(Clearance!I81),IF(ABS(Clearance!I81-P598)&lt;=0.000000000001*MAX(1,ABS(P598)),0,1),1)</f>
        <v>0</v>
      </c>
    </row>
    <row r="599" spans="15:18" x14ac:dyDescent="0.45">
      <c r="O599" s="8" t="s">
        <v>2360</v>
      </c>
      <c r="P599">
        <v>140.19070600000009</v>
      </c>
      <c r="Q599">
        <f>IF(ISBLANK(Clearance!C82),"",Clearance!C82)</f>
        <v>140.19070600000009</v>
      </c>
      <c r="R599">
        <f>IF(ISNUMBER(Clearance!C82),IF(ABS(Clearance!C82-P599)&lt;=0.000000000001*MAX(1,ABS(P599)),0,1),1)</f>
        <v>0</v>
      </c>
    </row>
    <row r="600" spans="15:18" x14ac:dyDescent="0.45">
      <c r="O600" s="8" t="s">
        <v>2361</v>
      </c>
      <c r="P600">
        <v>144.15370699999991</v>
      </c>
      <c r="Q600">
        <f>IF(ISBLANK(Clearance!D82),"",Clearance!D82)</f>
        <v>144.15370699999991</v>
      </c>
      <c r="R600">
        <f>IF(ISNUMBER(Clearance!D82),IF(ABS(Clearance!D82-P600)&lt;=0.000000000001*MAX(1,ABS(P600)),0,1),1)</f>
        <v>0</v>
      </c>
    </row>
    <row r="601" spans="15:18" x14ac:dyDescent="0.45">
      <c r="O601" s="8" t="s">
        <v>2362</v>
      </c>
      <c r="P601">
        <v>25.505261872999998</v>
      </c>
      <c r="Q601">
        <f>IF(ISBLANK(Clearance!G82),"",Clearance!G82)</f>
        <v>25.505261872999998</v>
      </c>
      <c r="R601">
        <f>IF(ISNUMBER(Clearance!G82),IF(ABS(Clearance!G82-P601)&lt;=0.000000000001*MAX(1,ABS(P601)),0,1),1)</f>
        <v>0</v>
      </c>
    </row>
    <row r="602" spans="15:18" x14ac:dyDescent="0.45">
      <c r="O602" s="8" t="s">
        <v>2363</v>
      </c>
      <c r="P602">
        <v>-1.529878846863773E-2</v>
      </c>
      <c r="Q602">
        <f>IF(ISBLANK(Clearance!H82),"",Clearance!H82)</f>
        <v>-1.529878846863773E-2</v>
      </c>
      <c r="R602">
        <f>IF(ISNUMBER(Clearance!H82),IF(ABS(Clearance!H82-P602)&lt;=0.000000000001*MAX(1,ABS(P602)),0,1),1)</f>
        <v>0</v>
      </c>
    </row>
    <row r="603" spans="15:18" x14ac:dyDescent="0.45">
      <c r="O603" s="8" t="s">
        <v>2364</v>
      </c>
      <c r="P603">
        <v>0</v>
      </c>
      <c r="Q603">
        <f>IF(ISBLANK(Clearance!I82),"",Clearance!I82)</f>
        <v>0</v>
      </c>
      <c r="R603">
        <f>IF(ISNUMBER(Clearance!I82),IF(ABS(Clearance!I82-P603)&lt;=0.000000000001*MAX(1,ABS(P603)),0,1),1)</f>
        <v>0</v>
      </c>
    </row>
    <row r="604" spans="15:18" x14ac:dyDescent="0.45">
      <c r="O604" s="8" t="s">
        <v>2365</v>
      </c>
      <c r="P604">
        <v>144.15370699999991</v>
      </c>
      <c r="Q604">
        <f>IF(ISBLANK(Clearance!C83),"",Clearance!C83)</f>
        <v>144.15370699999991</v>
      </c>
      <c r="R604">
        <f>IF(ISNUMBER(Clearance!C83),IF(ABS(Clearance!C83-P604)&lt;=0.000000000001*MAX(1,ABS(P604)),0,1),1)</f>
        <v>0</v>
      </c>
    </row>
    <row r="605" spans="15:18" x14ac:dyDescent="0.45">
      <c r="O605" s="8" t="s">
        <v>2366</v>
      </c>
      <c r="P605">
        <v>151.14136000000011</v>
      </c>
      <c r="Q605">
        <f>IF(ISBLANK(Clearance!D83),"",Clearance!D83)</f>
        <v>151.14136000000011</v>
      </c>
      <c r="R605">
        <f>IF(ISNUMBER(Clearance!D83),IF(ABS(Clearance!D83-P605)&lt;=0.000000000001*MAX(1,ABS(P605)),0,1),1)</f>
        <v>0</v>
      </c>
    </row>
    <row r="606" spans="15:18" x14ac:dyDescent="0.45">
      <c r="O606" s="8" t="s">
        <v>2367</v>
      </c>
      <c r="P606">
        <v>25.444632759000001</v>
      </c>
      <c r="Q606">
        <f>IF(ISBLANK(Clearance!G83),"",Clearance!G83)</f>
        <v>25.444632759000001</v>
      </c>
      <c r="R606">
        <f>IF(ISNUMBER(Clearance!G83),IF(ABS(Clearance!G83-P606)&lt;=0.000000000001*MAX(1,ABS(P606)),0,1),1)</f>
        <v>0</v>
      </c>
    </row>
    <row r="607" spans="15:18" x14ac:dyDescent="0.45">
      <c r="O607" s="8" t="s">
        <v>2368</v>
      </c>
      <c r="P607">
        <v>-1.8579452786221421E-2</v>
      </c>
      <c r="Q607">
        <f>IF(ISBLANK(Clearance!H83),"",Clearance!H83)</f>
        <v>-1.8579452786221421E-2</v>
      </c>
      <c r="R607">
        <f>IF(ISNUMBER(Clearance!H83),IF(ABS(Clearance!H83-P607)&lt;=0.000000000001*MAX(1,ABS(P607)),0,1),1)</f>
        <v>0</v>
      </c>
    </row>
    <row r="608" spans="15:18" x14ac:dyDescent="0.45">
      <c r="O608" s="8" t="s">
        <v>2369</v>
      </c>
      <c r="P608">
        <v>0</v>
      </c>
      <c r="Q608">
        <f>IF(ISBLANK(Clearance!I83),"",Clearance!I83)</f>
        <v>0</v>
      </c>
      <c r="R608">
        <f>IF(ISNUMBER(Clearance!I83),IF(ABS(Clearance!I83-P608)&lt;=0.000000000001*MAX(1,ABS(P608)),0,1),1)</f>
        <v>0</v>
      </c>
    </row>
    <row r="609" spans="15:18" x14ac:dyDescent="0.45">
      <c r="O609" s="8" t="s">
        <v>2370</v>
      </c>
      <c r="P609">
        <v>151.14136000000011</v>
      </c>
      <c r="Q609">
        <f>IF(ISBLANK(Clearance!C84),"",Clearance!C84)</f>
        <v>151.14136000000011</v>
      </c>
      <c r="R609">
        <f>IF(ISNUMBER(Clearance!C84),IF(ABS(Clearance!C84-P609)&lt;=0.000000000001*MAX(1,ABS(P609)),0,1),1)</f>
        <v>0</v>
      </c>
    </row>
    <row r="610" spans="15:18" x14ac:dyDescent="0.45">
      <c r="O610" s="8" t="s">
        <v>2371</v>
      </c>
      <c r="P610">
        <v>151.62579899999989</v>
      </c>
      <c r="Q610">
        <f>IF(ISBLANK(Clearance!D84),"",Clearance!D84)</f>
        <v>151.62579899999989</v>
      </c>
      <c r="R610">
        <f>IF(ISNUMBER(Clearance!D84),IF(ABS(Clearance!D84-P610)&lt;=0.000000000001*MAX(1,ABS(P610)),0,1),1)</f>
        <v>0</v>
      </c>
    </row>
    <row r="611" spans="15:18" x14ac:dyDescent="0.45">
      <c r="O611" s="8" t="s">
        <v>2372</v>
      </c>
      <c r="P611">
        <v>25.31480599</v>
      </c>
      <c r="Q611">
        <f>IF(ISBLANK(Clearance!G84),"",Clearance!G84)</f>
        <v>25.31480599</v>
      </c>
      <c r="R611">
        <f>IF(ISNUMBER(Clearance!G84),IF(ABS(Clearance!G84-P611)&lt;=0.000000000001*MAX(1,ABS(P611)),0,1),1)</f>
        <v>0</v>
      </c>
    </row>
    <row r="612" spans="15:18" x14ac:dyDescent="0.45">
      <c r="O612" s="8" t="s">
        <v>2373</v>
      </c>
      <c r="P612">
        <v>-0.1061959689455596</v>
      </c>
      <c r="Q612">
        <f>IF(ISBLANK(Clearance!H84),"",Clearance!H84)</f>
        <v>-0.1061959689455596</v>
      </c>
      <c r="R612">
        <f>IF(ISNUMBER(Clearance!H84),IF(ABS(Clearance!H84-P612)&lt;=0.000000000001*MAX(1,ABS(P612)),0,1),1)</f>
        <v>0</v>
      </c>
    </row>
    <row r="613" spans="15:18" x14ac:dyDescent="0.45">
      <c r="O613" s="8" t="s">
        <v>2374</v>
      </c>
      <c r="P613">
        <v>0</v>
      </c>
      <c r="Q613">
        <f>IF(ISBLANK(Clearance!I84),"",Clearance!I84)</f>
        <v>0</v>
      </c>
      <c r="R613">
        <f>IF(ISNUMBER(Clearance!I84),IF(ABS(Clearance!I84-P613)&lt;=0.000000000001*MAX(1,ABS(P613)),0,1),1)</f>
        <v>0</v>
      </c>
    </row>
    <row r="614" spans="15:18" x14ac:dyDescent="0.45">
      <c r="O614" s="8" t="s">
        <v>2375</v>
      </c>
      <c r="P614">
        <v>151.62579899999989</v>
      </c>
      <c r="Q614">
        <f>IF(ISBLANK(Clearance!C85),"",Clearance!C85)</f>
        <v>151.62579899999989</v>
      </c>
      <c r="R614">
        <f>IF(ISNUMBER(Clearance!C85),IF(ABS(Clearance!C85-P614)&lt;=0.000000000001*MAX(1,ABS(P614)),0,1),1)</f>
        <v>0</v>
      </c>
    </row>
    <row r="615" spans="15:18" x14ac:dyDescent="0.45">
      <c r="O615" s="8" t="s">
        <v>2376</v>
      </c>
      <c r="P615">
        <v>151.6413850000001</v>
      </c>
      <c r="Q615">
        <f>IF(ISBLANK(Clearance!D85),"",Clearance!D85)</f>
        <v>151.6413850000001</v>
      </c>
      <c r="R615">
        <f>IF(ISNUMBER(Clearance!D85),IF(ABS(Clearance!D85-P615)&lt;=0.000000000001*MAX(1,ABS(P615)),0,1),1)</f>
        <v>0</v>
      </c>
    </row>
    <row r="616" spans="15:18" x14ac:dyDescent="0.45">
      <c r="O616" s="8" t="s">
        <v>2377</v>
      </c>
      <c r="P616">
        <v>25.263360520999999</v>
      </c>
      <c r="Q616">
        <f>IF(ISBLANK(Clearance!G85),"",Clearance!G85)</f>
        <v>25.263360520999999</v>
      </c>
      <c r="R616">
        <f>IF(ISNUMBER(Clearance!G85),IF(ABS(Clearance!G85-P616)&lt;=0.000000000001*MAX(1,ABS(P616)),0,1),1)</f>
        <v>0</v>
      </c>
    </row>
    <row r="617" spans="15:18" x14ac:dyDescent="0.45">
      <c r="O617" s="8" t="s">
        <v>2378</v>
      </c>
      <c r="P617">
        <v>-4.4399781854810208E-2</v>
      </c>
      <c r="Q617">
        <f>IF(ISBLANK(Clearance!H85),"",Clearance!H85)</f>
        <v>-4.4399781854810208E-2</v>
      </c>
      <c r="R617">
        <f>IF(ISNUMBER(Clearance!H85),IF(ABS(Clearance!H85-P617)&lt;=0.000000000001*MAX(1,ABS(P617)),0,1),1)</f>
        <v>0</v>
      </c>
    </row>
    <row r="618" spans="15:18" x14ac:dyDescent="0.45">
      <c r="O618" s="8" t="s">
        <v>2379</v>
      </c>
      <c r="P618">
        <v>0</v>
      </c>
      <c r="Q618">
        <f>IF(ISBLANK(Clearance!I85),"",Clearance!I85)</f>
        <v>0</v>
      </c>
      <c r="R618">
        <f>IF(ISNUMBER(Clearance!I85),IF(ABS(Clearance!I85-P618)&lt;=0.000000000001*MAX(1,ABS(P618)),0,1),1)</f>
        <v>0</v>
      </c>
    </row>
    <row r="619" spans="15:18" x14ac:dyDescent="0.45">
      <c r="O619" s="8" t="s">
        <v>2380</v>
      </c>
      <c r="P619">
        <v>151.6413850000001</v>
      </c>
      <c r="Q619">
        <f>IF(ISBLANK(Clearance!C86),"",Clearance!C86)</f>
        <v>151.6413850000001</v>
      </c>
      <c r="R619">
        <f>IF(ISNUMBER(Clearance!C86),IF(ABS(Clearance!C86-P619)&lt;=0.000000000001*MAX(1,ABS(P619)),0,1),1)</f>
        <v>0</v>
      </c>
    </row>
    <row r="620" spans="15:18" x14ac:dyDescent="0.45">
      <c r="O620" s="8" t="s">
        <v>2381</v>
      </c>
      <c r="P620">
        <v>151.70094100000011</v>
      </c>
      <c r="Q620">
        <f>IF(ISBLANK(Clearance!D86),"",Clearance!D86)</f>
        <v>151.70094100000011</v>
      </c>
      <c r="R620">
        <f>IF(ISNUMBER(Clearance!D86),IF(ABS(Clearance!D86-P620)&lt;=0.000000000001*MAX(1,ABS(P620)),0,1),1)</f>
        <v>0</v>
      </c>
    </row>
    <row r="621" spans="15:18" x14ac:dyDescent="0.45">
      <c r="O621" s="8" t="s">
        <v>2382</v>
      </c>
      <c r="P621">
        <v>25.262668506000001</v>
      </c>
      <c r="Q621">
        <f>IF(ISBLANK(Clearance!G86),"",Clearance!G86)</f>
        <v>25.262668506000001</v>
      </c>
      <c r="R621">
        <f>IF(ISNUMBER(Clearance!G86),IF(ABS(Clearance!G86-P621)&lt;=0.000000000001*MAX(1,ABS(P621)),0,1),1)</f>
        <v>0</v>
      </c>
    </row>
    <row r="622" spans="15:18" x14ac:dyDescent="0.45">
      <c r="O622" s="8" t="s">
        <v>2383</v>
      </c>
      <c r="P622">
        <v>-2.8908774934552829E-2</v>
      </c>
      <c r="Q622">
        <f>IF(ISBLANK(Clearance!H86),"",Clearance!H86)</f>
        <v>-2.8908774934552829E-2</v>
      </c>
      <c r="R622">
        <f>IF(ISNUMBER(Clearance!H86),IF(ABS(Clearance!H86-P622)&lt;=0.000000000001*MAX(1,ABS(P622)),0,1),1)</f>
        <v>0</v>
      </c>
    </row>
    <row r="623" spans="15:18" x14ac:dyDescent="0.45">
      <c r="O623" s="8" t="s">
        <v>2384</v>
      </c>
      <c r="P623">
        <v>0</v>
      </c>
      <c r="Q623">
        <f>IF(ISBLANK(Clearance!I86),"",Clearance!I86)</f>
        <v>0</v>
      </c>
      <c r="R623">
        <f>IF(ISNUMBER(Clearance!I86),IF(ABS(Clearance!I86-P623)&lt;=0.000000000001*MAX(1,ABS(P623)),0,1),1)</f>
        <v>0</v>
      </c>
    </row>
    <row r="624" spans="15:18" x14ac:dyDescent="0.45">
      <c r="O624" s="8" t="s">
        <v>2385</v>
      </c>
      <c r="P624">
        <v>151.70094100000011</v>
      </c>
      <c r="Q624">
        <f>IF(ISBLANK(Clearance!C87),"",Clearance!C87)</f>
        <v>151.70094100000011</v>
      </c>
      <c r="R624">
        <f>IF(ISNUMBER(Clearance!C87),IF(ABS(Clearance!C87-P624)&lt;=0.000000000001*MAX(1,ABS(P624)),0,1),1)</f>
        <v>0</v>
      </c>
    </row>
    <row r="625" spans="15:18" x14ac:dyDescent="0.45">
      <c r="O625" s="8" t="s">
        <v>2386</v>
      </c>
      <c r="P625">
        <v>153.39003600000001</v>
      </c>
      <c r="Q625">
        <f>IF(ISBLANK(Clearance!D87),"",Clearance!D87)</f>
        <v>153.39003600000001</v>
      </c>
      <c r="R625">
        <f>IF(ISNUMBER(Clearance!D87),IF(ABS(Clearance!D87-P625)&lt;=0.000000000001*MAX(1,ABS(P625)),0,1),1)</f>
        <v>0</v>
      </c>
    </row>
    <row r="626" spans="15:18" x14ac:dyDescent="0.45">
      <c r="O626" s="8" t="s">
        <v>2387</v>
      </c>
      <c r="P626">
        <v>25.260946815</v>
      </c>
      <c r="Q626">
        <f>IF(ISBLANK(Clearance!G87),"",Clearance!G87)</f>
        <v>25.260946815</v>
      </c>
      <c r="R626">
        <f>IF(ISNUMBER(Clearance!G87),IF(ABS(Clearance!G87-P626)&lt;=0.000000000001*MAX(1,ABS(P626)),0,1),1)</f>
        <v>0</v>
      </c>
    </row>
    <row r="627" spans="15:18" x14ac:dyDescent="0.45">
      <c r="O627" s="8" t="s">
        <v>2388</v>
      </c>
      <c r="P627">
        <v>-2.165469674589245E-2</v>
      </c>
      <c r="Q627">
        <f>IF(ISBLANK(Clearance!H87),"",Clearance!H87)</f>
        <v>-2.165469674589245E-2</v>
      </c>
      <c r="R627">
        <f>IF(ISNUMBER(Clearance!H87),IF(ABS(Clearance!H87-P627)&lt;=0.000000000001*MAX(1,ABS(P627)),0,1),1)</f>
        <v>0</v>
      </c>
    </row>
    <row r="628" spans="15:18" x14ac:dyDescent="0.45">
      <c r="O628" s="8" t="s">
        <v>2389</v>
      </c>
      <c r="P628">
        <v>0</v>
      </c>
      <c r="Q628">
        <f>IF(ISBLANK(Clearance!I87),"",Clearance!I87)</f>
        <v>0</v>
      </c>
      <c r="R628">
        <f>IF(ISNUMBER(Clearance!I87),IF(ABS(Clearance!I87-P628)&lt;=0.000000000001*MAX(1,ABS(P628)),0,1),1)</f>
        <v>0</v>
      </c>
    </row>
    <row r="629" spans="15:18" x14ac:dyDescent="0.45">
      <c r="O629" s="8" t="s">
        <v>2390</v>
      </c>
      <c r="P629">
        <v>153.39003600000001</v>
      </c>
      <c r="Q629">
        <f>IF(ISBLANK(Clearance!C88),"",Clearance!C88)</f>
        <v>153.39003600000001</v>
      </c>
      <c r="R629">
        <f>IF(ISNUMBER(Clearance!C88),IF(ABS(Clearance!C88-P629)&lt;=0.000000000001*MAX(1,ABS(P629)),0,1),1)</f>
        <v>0</v>
      </c>
    </row>
    <row r="630" spans="15:18" x14ac:dyDescent="0.45">
      <c r="O630" s="8" t="s">
        <v>2391</v>
      </c>
      <c r="P630">
        <v>155.64725799999999</v>
      </c>
      <c r="Q630">
        <f>IF(ISBLANK(Clearance!D88),"",Clearance!D88)</f>
        <v>155.64725799999999</v>
      </c>
      <c r="R630">
        <f>IF(ISNUMBER(Clearance!D88),IF(ABS(Clearance!D88-P630)&lt;=0.000000000001*MAX(1,ABS(P630)),0,1),1)</f>
        <v>0</v>
      </c>
    </row>
    <row r="631" spans="15:18" x14ac:dyDescent="0.45">
      <c r="O631" s="8" t="s">
        <v>2392</v>
      </c>
      <c r="P631">
        <v>25.224369974999998</v>
      </c>
      <c r="Q631">
        <f>IF(ISBLANK(Clearance!G88),"",Clearance!G88)</f>
        <v>25.224369974999998</v>
      </c>
      <c r="R631">
        <f>IF(ISNUMBER(Clearance!G88),IF(ABS(Clearance!G88-P631)&lt;=0.000000000001*MAX(1,ABS(P631)),0,1),1)</f>
        <v>0</v>
      </c>
    </row>
    <row r="632" spans="15:18" x14ac:dyDescent="0.45">
      <c r="O632" s="8" t="s">
        <v>2393</v>
      </c>
      <c r="P632">
        <v>-5.3156300532246993E-2</v>
      </c>
      <c r="Q632">
        <f>IF(ISBLANK(Clearance!H88),"",Clearance!H88)</f>
        <v>-5.3156300532246993E-2</v>
      </c>
      <c r="R632">
        <f>IF(ISNUMBER(Clearance!H88),IF(ABS(Clearance!H88-P632)&lt;=0.000000000001*MAX(1,ABS(P632)),0,1),1)</f>
        <v>0</v>
      </c>
    </row>
    <row r="633" spans="15:18" x14ac:dyDescent="0.45">
      <c r="O633" s="8" t="s">
        <v>2394</v>
      </c>
      <c r="P633">
        <v>0</v>
      </c>
      <c r="Q633">
        <f>IF(ISBLANK(Clearance!I88),"",Clearance!I88)</f>
        <v>0</v>
      </c>
      <c r="R633">
        <f>IF(ISNUMBER(Clearance!I88),IF(ABS(Clearance!I88-P633)&lt;=0.000000000001*MAX(1,ABS(P633)),0,1),1)</f>
        <v>0</v>
      </c>
    </row>
    <row r="634" spans="15:18" x14ac:dyDescent="0.45">
      <c r="O634" s="8" t="s">
        <v>2395</v>
      </c>
      <c r="P634">
        <v>155.64725799999999</v>
      </c>
      <c r="Q634">
        <f>IF(ISBLANK(Clearance!C89),"",Clearance!C89)</f>
        <v>155.64725799999999</v>
      </c>
      <c r="R634">
        <f>IF(ISNUMBER(Clearance!C89),IF(ABS(Clearance!C89-P634)&lt;=0.000000000001*MAX(1,ABS(P634)),0,1),1)</f>
        <v>0</v>
      </c>
    </row>
    <row r="635" spans="15:18" x14ac:dyDescent="0.45">
      <c r="O635" s="8" t="s">
        <v>2396</v>
      </c>
      <c r="P635">
        <v>159.89344000000011</v>
      </c>
      <c r="Q635">
        <f>IF(ISBLANK(Clearance!D89),"",Clearance!D89)</f>
        <v>159.89344000000011</v>
      </c>
      <c r="R635">
        <f>IF(ISNUMBER(Clearance!D89),IF(ABS(Clearance!D89-P635)&lt;=0.000000000001*MAX(1,ABS(P635)),0,1),1)</f>
        <v>0</v>
      </c>
    </row>
    <row r="636" spans="15:18" x14ac:dyDescent="0.45">
      <c r="O636" s="8" t="s">
        <v>2397</v>
      </c>
      <c r="P636">
        <v>25.104384404000001</v>
      </c>
      <c r="Q636">
        <f>IF(ISBLANK(Clearance!G89),"",Clearance!G89)</f>
        <v>25.104384404000001</v>
      </c>
      <c r="R636">
        <f>IF(ISNUMBER(Clearance!G89),IF(ABS(Clearance!G89-P636)&lt;=0.000000000001*MAX(1,ABS(P636)),0,1),1)</f>
        <v>0</v>
      </c>
    </row>
    <row r="637" spans="15:18" x14ac:dyDescent="0.45">
      <c r="O637" s="8" t="s">
        <v>2398</v>
      </c>
      <c r="P637">
        <v>-6.2848839734141529E-2</v>
      </c>
      <c r="Q637">
        <f>IF(ISBLANK(Clearance!H89),"",Clearance!H89)</f>
        <v>-6.2848839734141529E-2</v>
      </c>
      <c r="R637">
        <f>IF(ISNUMBER(Clearance!H89),IF(ABS(Clearance!H89-P637)&lt;=0.000000000001*MAX(1,ABS(P637)),0,1),1)</f>
        <v>0</v>
      </c>
    </row>
    <row r="638" spans="15:18" x14ac:dyDescent="0.45">
      <c r="O638" s="8" t="s">
        <v>2399</v>
      </c>
      <c r="P638">
        <v>0</v>
      </c>
      <c r="Q638">
        <f>IF(ISBLANK(Clearance!I89),"",Clearance!I89)</f>
        <v>0</v>
      </c>
      <c r="R638">
        <f>IF(ISNUMBER(Clearance!I89),IF(ABS(Clearance!I89-P638)&lt;=0.000000000001*MAX(1,ABS(P638)),0,1),1)</f>
        <v>0</v>
      </c>
    </row>
    <row r="639" spans="15:18" x14ac:dyDescent="0.45">
      <c r="O639" s="8" t="s">
        <v>2400</v>
      </c>
      <c r="P639">
        <v>159.89344000000011</v>
      </c>
      <c r="Q639">
        <f>IF(ISBLANK(Clearance!C90),"",Clearance!C90)</f>
        <v>159.89344000000011</v>
      </c>
      <c r="R639">
        <f>IF(ISNUMBER(Clearance!C90),IF(ABS(Clearance!C90-P639)&lt;=0.000000000001*MAX(1,ABS(P639)),0,1),1)</f>
        <v>0</v>
      </c>
    </row>
    <row r="640" spans="15:18" x14ac:dyDescent="0.45">
      <c r="O640" s="8" t="s">
        <v>2401</v>
      </c>
      <c r="P640">
        <v>160.762956</v>
      </c>
      <c r="Q640">
        <f>IF(ISBLANK(Clearance!D90),"",Clearance!D90)</f>
        <v>160.762956</v>
      </c>
      <c r="R640">
        <f>IF(ISNUMBER(Clearance!D90),IF(ABS(Clearance!D90-P640)&lt;=0.000000000001*MAX(1,ABS(P640)),0,1),1)</f>
        <v>0</v>
      </c>
    </row>
    <row r="641" spans="15:18" x14ac:dyDescent="0.45">
      <c r="O641" s="8" t="s">
        <v>2402</v>
      </c>
      <c r="P641">
        <v>24.837516791999999</v>
      </c>
      <c r="Q641">
        <f>IF(ISBLANK(Clearance!G90),"",Clearance!G90)</f>
        <v>24.837516791999999</v>
      </c>
      <c r="R641">
        <f>IF(ISNUMBER(Clearance!G90),IF(ABS(Clearance!G90-P641)&lt;=0.000000000001*MAX(1,ABS(P641)),0,1),1)</f>
        <v>0</v>
      </c>
    </row>
    <row r="642" spans="15:18" x14ac:dyDescent="0.45">
      <c r="O642" s="8" t="s">
        <v>2403</v>
      </c>
      <c r="P642">
        <v>-5.8978307472203298E-2</v>
      </c>
      <c r="Q642">
        <f>IF(ISBLANK(Clearance!H90),"",Clearance!H90)</f>
        <v>-5.8978307472203298E-2</v>
      </c>
      <c r="R642">
        <f>IF(ISNUMBER(Clearance!H90),IF(ABS(Clearance!H90-P642)&lt;=0.000000000001*MAX(1,ABS(P642)),0,1),1)</f>
        <v>0</v>
      </c>
    </row>
    <row r="643" spans="15:18" x14ac:dyDescent="0.45">
      <c r="O643" s="8" t="s">
        <v>2404</v>
      </c>
      <c r="P643">
        <v>0</v>
      </c>
      <c r="Q643">
        <f>IF(ISBLANK(Clearance!I90),"",Clearance!I90)</f>
        <v>0</v>
      </c>
      <c r="R643">
        <f>IF(ISNUMBER(Clearance!I90),IF(ABS(Clearance!I90-P643)&lt;=0.000000000001*MAX(1,ABS(P643)),0,1),1)</f>
        <v>0</v>
      </c>
    </row>
    <row r="644" spans="15:18" x14ac:dyDescent="0.45">
      <c r="O644" s="8" t="s">
        <v>2405</v>
      </c>
      <c r="P644">
        <v>160.762956</v>
      </c>
      <c r="Q644">
        <f>IF(ISBLANK(Clearance!C91),"",Clearance!C91)</f>
        <v>160.762956</v>
      </c>
      <c r="R644">
        <f>IF(ISNUMBER(Clearance!C91),IF(ABS(Clearance!C91-P644)&lt;=0.000000000001*MAX(1,ABS(P644)),0,1),1)</f>
        <v>0</v>
      </c>
    </row>
    <row r="645" spans="15:18" x14ac:dyDescent="0.45">
      <c r="O645" s="8" t="s">
        <v>2406</v>
      </c>
      <c r="P645">
        <v>161.603801</v>
      </c>
      <c r="Q645">
        <f>IF(ISBLANK(Clearance!D91),"",Clearance!D91)</f>
        <v>161.603801</v>
      </c>
      <c r="R645">
        <f>IF(ISNUMBER(Clearance!D91),IF(ABS(Clearance!D91-P645)&lt;=0.000000000001*MAX(1,ABS(P645)),0,1),1)</f>
        <v>0</v>
      </c>
    </row>
    <row r="646" spans="15:18" x14ac:dyDescent="0.45">
      <c r="O646" s="8" t="s">
        <v>2407</v>
      </c>
      <c r="P646">
        <v>24.78623421</v>
      </c>
      <c r="Q646">
        <f>IF(ISBLANK(Clearance!G91),"",Clearance!G91)</f>
        <v>24.78623421</v>
      </c>
      <c r="R646">
        <f>IF(ISNUMBER(Clearance!G91),IF(ABS(Clearance!G91-P646)&lt;=0.000000000001*MAX(1,ABS(P646)),0,1),1)</f>
        <v>0</v>
      </c>
    </row>
    <row r="647" spans="15:18" x14ac:dyDescent="0.45">
      <c r="O647" s="8" t="s">
        <v>2408</v>
      </c>
      <c r="P647">
        <v>-4.8469518163281163E-2</v>
      </c>
      <c r="Q647">
        <f>IF(ISBLANK(Clearance!H91),"",Clearance!H91)</f>
        <v>-4.8469518163281163E-2</v>
      </c>
      <c r="R647">
        <f>IF(ISNUMBER(Clearance!H91),IF(ABS(Clearance!H91-P647)&lt;=0.000000000001*MAX(1,ABS(P647)),0,1),1)</f>
        <v>0</v>
      </c>
    </row>
    <row r="648" spans="15:18" x14ac:dyDescent="0.45">
      <c r="O648" s="8" t="s">
        <v>2409</v>
      </c>
      <c r="P648">
        <v>0</v>
      </c>
      <c r="Q648">
        <f>IF(ISBLANK(Clearance!I91),"",Clearance!I91)</f>
        <v>0</v>
      </c>
      <c r="R648">
        <f>IF(ISNUMBER(Clearance!I91),IF(ABS(Clearance!I91-P648)&lt;=0.000000000001*MAX(1,ABS(P648)),0,1),1)</f>
        <v>0</v>
      </c>
    </row>
    <row r="649" spans="15:18" x14ac:dyDescent="0.45">
      <c r="O649" s="8" t="s">
        <v>2410</v>
      </c>
      <c r="P649">
        <v>161.603801</v>
      </c>
      <c r="Q649">
        <f>IF(ISBLANK(Clearance!C92),"",Clearance!C92)</f>
        <v>161.603801</v>
      </c>
      <c r="R649">
        <f>IF(ISNUMBER(Clearance!C92),IF(ABS(Clearance!C92-P649)&lt;=0.000000000001*MAX(1,ABS(P649)),0,1),1)</f>
        <v>0</v>
      </c>
    </row>
    <row r="650" spans="15:18" x14ac:dyDescent="0.45">
      <c r="O650" s="8" t="s">
        <v>2411</v>
      </c>
      <c r="P650">
        <v>164.0454950000001</v>
      </c>
      <c r="Q650">
        <f>IF(ISBLANK(Clearance!D92),"",Clearance!D92)</f>
        <v>164.0454950000001</v>
      </c>
      <c r="R650">
        <f>IF(ISNUMBER(Clearance!D92),IF(ABS(Clearance!D92-P650)&lt;=0.000000000001*MAX(1,ABS(P650)),0,1),1)</f>
        <v>0</v>
      </c>
    </row>
    <row r="651" spans="15:18" x14ac:dyDescent="0.45">
      <c r="O651" s="8" t="s">
        <v>2412</v>
      </c>
      <c r="P651">
        <v>24.745478857999998</v>
      </c>
      <c r="Q651">
        <f>IF(ISBLANK(Clearance!G92),"",Clearance!G92)</f>
        <v>24.745478857999998</v>
      </c>
      <c r="R651">
        <f>IF(ISNUMBER(Clearance!G92),IF(ABS(Clearance!G92-P651)&lt;=0.000000000001*MAX(1,ABS(P651)),0,1),1)</f>
        <v>0</v>
      </c>
    </row>
    <row r="652" spans="15:18" x14ac:dyDescent="0.45">
      <c r="O652" s="8" t="s">
        <v>2413</v>
      </c>
      <c r="P652">
        <v>5.2201886477174407E-2</v>
      </c>
      <c r="Q652">
        <f>IF(ISBLANK(Clearance!H92),"",Clearance!H92)</f>
        <v>5.2201886477174407E-2</v>
      </c>
      <c r="R652">
        <f>IF(ISNUMBER(Clearance!H92),IF(ABS(Clearance!H92-P652)&lt;=0.000000000001*MAX(1,ABS(P652)),0,1),1)</f>
        <v>0</v>
      </c>
    </row>
    <row r="653" spans="15:18" x14ac:dyDescent="0.45">
      <c r="O653" s="8" t="s">
        <v>2414</v>
      </c>
      <c r="P653">
        <v>0</v>
      </c>
      <c r="Q653">
        <f>IF(ISBLANK(Clearance!I92),"",Clearance!I92)</f>
        <v>0</v>
      </c>
      <c r="R653">
        <f>IF(ISNUMBER(Clearance!I92),IF(ABS(Clearance!I92-P653)&lt;=0.000000000001*MAX(1,ABS(P653)),0,1),1)</f>
        <v>0</v>
      </c>
    </row>
    <row r="654" spans="15:18" x14ac:dyDescent="0.45">
      <c r="O654" s="8" t="s">
        <v>2415</v>
      </c>
      <c r="P654">
        <v>164.0454950000001</v>
      </c>
      <c r="Q654">
        <f>IF(ISBLANK(Clearance!C93),"",Clearance!C93)</f>
        <v>164.0454950000001</v>
      </c>
      <c r="R654">
        <f>IF(ISNUMBER(Clearance!C93),IF(ABS(Clearance!C93-P654)&lt;=0.000000000001*MAX(1,ABS(P654)),0,1),1)</f>
        <v>0</v>
      </c>
    </row>
    <row r="655" spans="15:18" x14ac:dyDescent="0.45">
      <c r="O655" s="8" t="s">
        <v>2416</v>
      </c>
      <c r="P655">
        <v>164.52501699999991</v>
      </c>
      <c r="Q655">
        <f>IF(ISBLANK(Clearance!D93),"",Clearance!D93)</f>
        <v>164.52501699999991</v>
      </c>
      <c r="R655">
        <f>IF(ISNUMBER(Clearance!D93),IF(ABS(Clearance!D93-P655)&lt;=0.000000000001*MAX(1,ABS(P655)),0,1),1)</f>
        <v>0</v>
      </c>
    </row>
    <row r="656" spans="15:18" x14ac:dyDescent="0.45">
      <c r="O656" s="8" t="s">
        <v>2417</v>
      </c>
      <c r="P656">
        <v>24.872939891000001</v>
      </c>
      <c r="Q656">
        <f>IF(ISBLANK(Clearance!G93),"",Clearance!G93)</f>
        <v>24.872939891000001</v>
      </c>
      <c r="R656">
        <f>IF(ISNUMBER(Clearance!G93),IF(ABS(Clearance!G93-P656)&lt;=0.000000000001*MAX(1,ABS(P656)),0,1),1)</f>
        <v>0</v>
      </c>
    </row>
    <row r="657" spans="15:18" x14ac:dyDescent="0.45">
      <c r="O657" s="8" t="s">
        <v>2418</v>
      </c>
      <c r="P657">
        <v>3.077684444092536E-2</v>
      </c>
      <c r="Q657">
        <f>IF(ISBLANK(Clearance!H93),"",Clearance!H93)</f>
        <v>3.077684444092536E-2</v>
      </c>
      <c r="R657">
        <f>IF(ISNUMBER(Clearance!H93),IF(ABS(Clearance!H93-P657)&lt;=0.000000000001*MAX(1,ABS(P657)),0,1),1)</f>
        <v>0</v>
      </c>
    </row>
    <row r="658" spans="15:18" x14ac:dyDescent="0.45">
      <c r="O658" s="8" t="s">
        <v>2419</v>
      </c>
      <c r="P658">
        <v>0</v>
      </c>
      <c r="Q658">
        <f>IF(ISBLANK(Clearance!I93),"",Clearance!I93)</f>
        <v>0</v>
      </c>
      <c r="R658">
        <f>IF(ISNUMBER(Clearance!I93),IF(ABS(Clearance!I93-P658)&lt;=0.000000000001*MAX(1,ABS(P658)),0,1),1)</f>
        <v>0</v>
      </c>
    </row>
    <row r="659" spans="15:18" x14ac:dyDescent="0.45">
      <c r="O659" s="8" t="s">
        <v>2420</v>
      </c>
      <c r="P659">
        <v>164.52501699999991</v>
      </c>
      <c r="Q659">
        <f>IF(ISBLANK(Clearance!C94),"",Clearance!C94)</f>
        <v>164.52501699999991</v>
      </c>
      <c r="R659">
        <f>IF(ISNUMBER(Clearance!C94),IF(ABS(Clearance!C94-P659)&lt;=0.000000000001*MAX(1,ABS(P659)),0,1),1)</f>
        <v>0</v>
      </c>
    </row>
    <row r="660" spans="15:18" x14ac:dyDescent="0.45">
      <c r="O660" s="8" t="s">
        <v>2421</v>
      </c>
      <c r="P660">
        <v>165.112482</v>
      </c>
      <c r="Q660">
        <f>IF(ISBLANK(Clearance!D94),"",Clearance!D94)</f>
        <v>165.112482</v>
      </c>
      <c r="R660">
        <f>IF(ISNUMBER(Clearance!D94),IF(ABS(Clearance!D94-P660)&lt;=0.000000000001*MAX(1,ABS(P660)),0,1),1)</f>
        <v>0</v>
      </c>
    </row>
    <row r="661" spans="15:18" x14ac:dyDescent="0.45">
      <c r="O661" s="8" t="s">
        <v>2422</v>
      </c>
      <c r="P661">
        <v>24.887698064999999</v>
      </c>
      <c r="Q661">
        <f>IF(ISBLANK(Clearance!G94),"",Clearance!G94)</f>
        <v>24.887698064999999</v>
      </c>
      <c r="R661">
        <f>IF(ISNUMBER(Clearance!G94),IF(ABS(Clearance!G94-P661)&lt;=0.000000000001*MAX(1,ABS(P661)),0,1),1)</f>
        <v>0</v>
      </c>
    </row>
    <row r="662" spans="15:18" x14ac:dyDescent="0.45">
      <c r="O662" s="8" t="s">
        <v>2423</v>
      </c>
      <c r="P662">
        <v>-0.19285522201320099</v>
      </c>
      <c r="Q662">
        <f>IF(ISBLANK(Clearance!H94),"",Clearance!H94)</f>
        <v>-0.19285522201320099</v>
      </c>
      <c r="R662">
        <f>IF(ISNUMBER(Clearance!H94),IF(ABS(Clearance!H94-P662)&lt;=0.000000000001*MAX(1,ABS(P662)),0,1),1)</f>
        <v>0</v>
      </c>
    </row>
    <row r="663" spans="15:18" x14ac:dyDescent="0.45">
      <c r="O663" s="8" t="s">
        <v>2424</v>
      </c>
      <c r="P663">
        <v>0</v>
      </c>
      <c r="Q663">
        <f>IF(ISBLANK(Clearance!I94),"",Clearance!I94)</f>
        <v>0</v>
      </c>
      <c r="R663">
        <f>IF(ISNUMBER(Clearance!I94),IF(ABS(Clearance!I94-P663)&lt;=0.000000000001*MAX(1,ABS(P663)),0,1),1)</f>
        <v>0</v>
      </c>
    </row>
    <row r="664" spans="15:18" x14ac:dyDescent="0.45">
      <c r="O664" s="8" t="s">
        <v>2425</v>
      </c>
      <c r="P664">
        <v>165.112482</v>
      </c>
      <c r="Q664">
        <f>IF(ISBLANK(Clearance!C95),"",Clearance!C95)</f>
        <v>165.112482</v>
      </c>
      <c r="R664">
        <f>IF(ISNUMBER(Clearance!C95),IF(ABS(Clearance!C95-P664)&lt;=0.000000000001*MAX(1,ABS(P664)),0,1),1)</f>
        <v>0</v>
      </c>
    </row>
    <row r="665" spans="15:18" x14ac:dyDescent="0.45">
      <c r="O665" s="8" t="s">
        <v>2426</v>
      </c>
      <c r="P665">
        <v>165.919995</v>
      </c>
      <c r="Q665">
        <f>IF(ISBLANK(Clearance!D95),"",Clearance!D95)</f>
        <v>165.919995</v>
      </c>
      <c r="R665">
        <f>IF(ISNUMBER(Clearance!D95),IF(ABS(Clearance!D95-P665)&lt;=0.000000000001*MAX(1,ABS(P665)),0,1),1)</f>
        <v>0</v>
      </c>
    </row>
    <row r="666" spans="15:18" x14ac:dyDescent="0.45">
      <c r="O666" s="8" t="s">
        <v>2427</v>
      </c>
      <c r="P666">
        <v>24.774402372000001</v>
      </c>
      <c r="Q666">
        <f>IF(ISBLANK(Clearance!G95),"",Clearance!G95)</f>
        <v>24.774402372000001</v>
      </c>
      <c r="R666">
        <f>IF(ISNUMBER(Clearance!G95),IF(ABS(Clearance!G95-P666)&lt;=0.000000000001*MAX(1,ABS(P666)),0,1),1)</f>
        <v>0</v>
      </c>
    </row>
    <row r="667" spans="15:18" x14ac:dyDescent="0.45">
      <c r="O667" s="8" t="s">
        <v>2428</v>
      </c>
      <c r="P667">
        <v>-0.21481233119467541</v>
      </c>
      <c r="Q667">
        <f>IF(ISBLANK(Clearance!H95),"",Clearance!H95)</f>
        <v>-0.21481233119467541</v>
      </c>
      <c r="R667">
        <f>IF(ISNUMBER(Clearance!H95),IF(ABS(Clearance!H95-P667)&lt;=0.000000000001*MAX(1,ABS(P667)),0,1),1)</f>
        <v>0</v>
      </c>
    </row>
    <row r="668" spans="15:18" x14ac:dyDescent="0.45">
      <c r="O668" s="8" t="s">
        <v>2429</v>
      </c>
      <c r="P668">
        <v>0</v>
      </c>
      <c r="Q668">
        <f>IF(ISBLANK(Clearance!I95),"",Clearance!I95)</f>
        <v>0</v>
      </c>
      <c r="R668">
        <f>IF(ISNUMBER(Clearance!I95),IF(ABS(Clearance!I95-P668)&lt;=0.000000000001*MAX(1,ABS(P668)),0,1),1)</f>
        <v>0</v>
      </c>
    </row>
    <row r="669" spans="15:18" x14ac:dyDescent="0.45">
      <c r="O669" s="8" t="s">
        <v>2430</v>
      </c>
      <c r="P669">
        <v>165.919995</v>
      </c>
      <c r="Q669">
        <f>IF(ISBLANK(Clearance!C96),"",Clearance!C96)</f>
        <v>165.919995</v>
      </c>
      <c r="R669">
        <f>IF(ISNUMBER(Clearance!C96),IF(ABS(Clearance!C96-P669)&lt;=0.000000000001*MAX(1,ABS(P669)),0,1),1)</f>
        <v>0</v>
      </c>
    </row>
    <row r="670" spans="15:18" x14ac:dyDescent="0.45">
      <c r="O670" s="8" t="s">
        <v>2431</v>
      </c>
      <c r="P670">
        <v>168.27760199999989</v>
      </c>
      <c r="Q670">
        <f>IF(ISBLANK(Clearance!D96),"",Clearance!D96)</f>
        <v>168.27760199999989</v>
      </c>
      <c r="R670">
        <f>IF(ISNUMBER(Clearance!D96),IF(ABS(Clearance!D96-P670)&lt;=0.000000000001*MAX(1,ABS(P670)),0,1),1)</f>
        <v>0</v>
      </c>
    </row>
    <row r="671" spans="15:18" x14ac:dyDescent="0.45">
      <c r="O671" s="8" t="s">
        <v>2432</v>
      </c>
      <c r="P671">
        <v>24.600938622000001</v>
      </c>
      <c r="Q671">
        <f>IF(ISBLANK(Clearance!G96),"",Clearance!G96)</f>
        <v>24.600938622000001</v>
      </c>
      <c r="R671">
        <f>IF(ISNUMBER(Clearance!G96),IF(ABS(Clearance!G96-P671)&lt;=0.000000000001*MAX(1,ABS(P671)),0,1),1)</f>
        <v>0</v>
      </c>
    </row>
    <row r="672" spans="15:18" x14ac:dyDescent="0.45">
      <c r="O672" s="8" t="s">
        <v>2433</v>
      </c>
      <c r="P672">
        <v>-0.18186335042270191</v>
      </c>
      <c r="Q672">
        <f>IF(ISBLANK(Clearance!H96),"",Clearance!H96)</f>
        <v>-0.18186335042270191</v>
      </c>
      <c r="R672">
        <f>IF(ISNUMBER(Clearance!H96),IF(ABS(Clearance!H96-P672)&lt;=0.000000000001*MAX(1,ABS(P672)),0,1),1)</f>
        <v>0</v>
      </c>
    </row>
    <row r="673" spans="15:18" x14ac:dyDescent="0.45">
      <c r="O673" s="8" t="s">
        <v>2434</v>
      </c>
      <c r="P673">
        <v>0</v>
      </c>
      <c r="Q673">
        <f>IF(ISBLANK(Clearance!I96),"",Clearance!I96)</f>
        <v>0</v>
      </c>
      <c r="R673">
        <f>IF(ISNUMBER(Clearance!I96),IF(ABS(Clearance!I96-P673)&lt;=0.000000000001*MAX(1,ABS(P673)),0,1),1)</f>
        <v>0</v>
      </c>
    </row>
    <row r="674" spans="15:18" x14ac:dyDescent="0.45">
      <c r="O674" s="8" t="s">
        <v>2435</v>
      </c>
      <c r="P674">
        <v>168.27760199999989</v>
      </c>
      <c r="Q674">
        <f>IF(ISBLANK(Clearance!C97),"",Clearance!C97)</f>
        <v>168.27760199999989</v>
      </c>
      <c r="R674">
        <f>IF(ISNUMBER(Clearance!C97),IF(ABS(Clearance!C97-P674)&lt;=0.000000000001*MAX(1,ABS(P674)),0,1),1)</f>
        <v>0</v>
      </c>
    </row>
    <row r="675" spans="15:18" x14ac:dyDescent="0.45">
      <c r="O675" s="8" t="s">
        <v>2436</v>
      </c>
      <c r="P675">
        <v>168.4258649999999</v>
      </c>
      <c r="Q675">
        <f>IF(ISBLANK(Clearance!D97),"",Clearance!D97)</f>
        <v>168.4258649999999</v>
      </c>
      <c r="R675">
        <f>IF(ISNUMBER(Clearance!D97),IF(ABS(Clearance!D97-P675)&lt;=0.000000000001*MAX(1,ABS(P675)),0,1),1)</f>
        <v>0</v>
      </c>
    </row>
    <row r="676" spans="15:18" x14ac:dyDescent="0.45">
      <c r="O676" s="8" t="s">
        <v>2437</v>
      </c>
      <c r="P676">
        <v>24.172176314000001</v>
      </c>
      <c r="Q676">
        <f>IF(ISBLANK(Clearance!G97),"",Clearance!G97)</f>
        <v>24.172176314000001</v>
      </c>
      <c r="R676">
        <f>IF(ISNUMBER(Clearance!G97),IF(ABS(Clearance!G97-P676)&lt;=0.000000000001*MAX(1,ABS(P676)),0,1),1)</f>
        <v>0</v>
      </c>
    </row>
    <row r="677" spans="15:18" x14ac:dyDescent="0.45">
      <c r="O677" s="8" t="s">
        <v>2438</v>
      </c>
      <c r="P677">
        <v>-0.19055251816023991</v>
      </c>
      <c r="Q677">
        <f>IF(ISBLANK(Clearance!H97),"",Clearance!H97)</f>
        <v>-0.19055251816023991</v>
      </c>
      <c r="R677">
        <f>IF(ISNUMBER(Clearance!H97),IF(ABS(Clearance!H97-P677)&lt;=0.000000000001*MAX(1,ABS(P677)),0,1),1)</f>
        <v>0</v>
      </c>
    </row>
    <row r="678" spans="15:18" x14ac:dyDescent="0.45">
      <c r="O678" s="8" t="s">
        <v>2439</v>
      </c>
      <c r="P678">
        <v>0</v>
      </c>
      <c r="Q678">
        <f>IF(ISBLANK(Clearance!I97),"",Clearance!I97)</f>
        <v>0</v>
      </c>
      <c r="R678">
        <f>IF(ISNUMBER(Clearance!I97),IF(ABS(Clearance!I97-P678)&lt;=0.000000000001*MAX(1,ABS(P678)),0,1),1)</f>
        <v>0</v>
      </c>
    </row>
    <row r="679" spans="15:18" x14ac:dyDescent="0.45">
      <c r="O679" s="8" t="s">
        <v>2440</v>
      </c>
      <c r="P679">
        <v>168.4258649999999</v>
      </c>
      <c r="Q679">
        <f>IF(ISBLANK(Clearance!C98),"",Clearance!C98)</f>
        <v>168.4258649999999</v>
      </c>
      <c r="R679">
        <f>IF(ISNUMBER(Clearance!C98),IF(ABS(Clearance!C98-P679)&lt;=0.000000000001*MAX(1,ABS(P679)),0,1),1)</f>
        <v>0</v>
      </c>
    </row>
    <row r="680" spans="15:18" x14ac:dyDescent="0.45">
      <c r="O680" s="8" t="s">
        <v>2441</v>
      </c>
      <c r="P680">
        <v>168.653043</v>
      </c>
      <c r="Q680">
        <f>IF(ISBLANK(Clearance!D98),"",Clearance!D98)</f>
        <v>168.653043</v>
      </c>
      <c r="R680">
        <f>IF(ISNUMBER(Clearance!D98),IF(ABS(Clearance!D98-P680)&lt;=0.000000000001*MAX(1,ABS(P680)),0,1),1)</f>
        <v>0</v>
      </c>
    </row>
    <row r="681" spans="15:18" x14ac:dyDescent="0.45">
      <c r="O681" s="8" t="s">
        <v>2442</v>
      </c>
      <c r="P681">
        <v>24.143924426000002</v>
      </c>
      <c r="Q681">
        <f>IF(ISBLANK(Clearance!G98),"",Clearance!G98)</f>
        <v>24.143924426000002</v>
      </c>
      <c r="R681">
        <f>IF(ISNUMBER(Clearance!G98),IF(ABS(Clearance!G98-P681)&lt;=0.000000000001*MAX(1,ABS(P681)),0,1),1)</f>
        <v>0</v>
      </c>
    </row>
    <row r="682" spans="15:18" x14ac:dyDescent="0.45">
      <c r="O682" s="8" t="s">
        <v>2443</v>
      </c>
      <c r="P682">
        <v>-0.1560731100722251</v>
      </c>
      <c r="Q682">
        <f>IF(ISBLANK(Clearance!H98),"",Clearance!H98)</f>
        <v>-0.1560731100722251</v>
      </c>
      <c r="R682">
        <f>IF(ISNUMBER(Clearance!H98),IF(ABS(Clearance!H98-P682)&lt;=0.000000000001*MAX(1,ABS(P682)),0,1),1)</f>
        <v>0</v>
      </c>
    </row>
    <row r="683" spans="15:18" x14ac:dyDescent="0.45">
      <c r="O683" s="8" t="s">
        <v>2444</v>
      </c>
      <c r="P683">
        <v>0</v>
      </c>
      <c r="Q683">
        <f>IF(ISBLANK(Clearance!I98),"",Clearance!I98)</f>
        <v>0</v>
      </c>
      <c r="R683">
        <f>IF(ISNUMBER(Clearance!I98),IF(ABS(Clearance!I98-P683)&lt;=0.000000000001*MAX(1,ABS(P683)),0,1),1)</f>
        <v>0</v>
      </c>
    </row>
    <row r="684" spans="15:18" x14ac:dyDescent="0.45">
      <c r="O684" s="8" t="s">
        <v>2445</v>
      </c>
      <c r="P684">
        <v>168.653043</v>
      </c>
      <c r="Q684">
        <f>IF(ISBLANK(Clearance!C99),"",Clearance!C99)</f>
        <v>168.653043</v>
      </c>
      <c r="R684">
        <f>IF(ISNUMBER(Clearance!C99),IF(ABS(Clearance!C99-P684)&lt;=0.000000000001*MAX(1,ABS(P684)),0,1),1)</f>
        <v>0</v>
      </c>
    </row>
    <row r="685" spans="15:18" x14ac:dyDescent="0.45">
      <c r="O685" s="8" t="s">
        <v>2446</v>
      </c>
      <c r="P685">
        <v>172.48799200000011</v>
      </c>
      <c r="Q685">
        <f>IF(ISBLANK(Clearance!D99),"",Clearance!D99)</f>
        <v>172.48799200000011</v>
      </c>
      <c r="R685">
        <f>IF(ISNUMBER(Clearance!D99),IF(ABS(Clearance!D99-P685)&lt;=0.000000000001*MAX(1,ABS(P685)),0,1),1)</f>
        <v>0</v>
      </c>
    </row>
    <row r="686" spans="15:18" x14ac:dyDescent="0.45">
      <c r="O686" s="8" t="s">
        <v>2447</v>
      </c>
      <c r="P686">
        <v>24.108468048999999</v>
      </c>
      <c r="Q686">
        <f>IF(ISBLANK(Clearance!G99),"",Clearance!G99)</f>
        <v>24.108468048999999</v>
      </c>
      <c r="R686">
        <f>IF(ISNUMBER(Clearance!G99),IF(ABS(Clearance!G99-P686)&lt;=0.000000000001*MAX(1,ABS(P686)),0,1),1)</f>
        <v>0</v>
      </c>
    </row>
    <row r="687" spans="15:18" x14ac:dyDescent="0.45">
      <c r="O687" s="8" t="s">
        <v>2448</v>
      </c>
      <c r="P687">
        <v>-0.15970384012929231</v>
      </c>
      <c r="Q687">
        <f>IF(ISBLANK(Clearance!H99),"",Clearance!H99)</f>
        <v>-0.15970384012929231</v>
      </c>
      <c r="R687">
        <f>IF(ISNUMBER(Clearance!H99),IF(ABS(Clearance!H99-P687)&lt;=0.000000000001*MAX(1,ABS(P687)),0,1),1)</f>
        <v>0</v>
      </c>
    </row>
    <row r="688" spans="15:18" x14ac:dyDescent="0.45">
      <c r="O688" s="8" t="s">
        <v>2449</v>
      </c>
      <c r="P688">
        <v>0</v>
      </c>
      <c r="Q688">
        <f>IF(ISBLANK(Clearance!I99),"",Clearance!I99)</f>
        <v>0</v>
      </c>
      <c r="R688">
        <f>IF(ISNUMBER(Clearance!I99),IF(ABS(Clearance!I99-P688)&lt;=0.000000000001*MAX(1,ABS(P688)),0,1),1)</f>
        <v>0</v>
      </c>
    </row>
    <row r="689" spans="15:18" x14ac:dyDescent="0.45">
      <c r="O689" s="8" t="s">
        <v>2450</v>
      </c>
      <c r="P689">
        <v>172.48799200000011</v>
      </c>
      <c r="Q689">
        <f>IF(ISBLANK(Clearance!C100),"",Clearance!C100)</f>
        <v>172.48799200000011</v>
      </c>
      <c r="R689">
        <f>IF(ISNUMBER(Clearance!C100),IF(ABS(Clearance!C100-P689)&lt;=0.000000000001*MAX(1,ABS(P689)),0,1),1)</f>
        <v>0</v>
      </c>
    </row>
    <row r="690" spans="15:18" x14ac:dyDescent="0.45">
      <c r="O690" s="8" t="s">
        <v>2451</v>
      </c>
      <c r="P690">
        <v>174.85185299999989</v>
      </c>
      <c r="Q690">
        <f>IF(ISBLANK(Clearance!D100),"",Clearance!D100)</f>
        <v>174.85185299999989</v>
      </c>
      <c r="R690">
        <f>IF(ISNUMBER(Clearance!D100),IF(ABS(Clearance!D100-P690)&lt;=0.000000000001*MAX(1,ABS(P690)),0,1),1)</f>
        <v>0</v>
      </c>
    </row>
    <row r="691" spans="15:18" x14ac:dyDescent="0.45">
      <c r="O691" s="8" t="s">
        <v>2452</v>
      </c>
      <c r="P691">
        <v>23.496011967000001</v>
      </c>
      <c r="Q691">
        <f>IF(ISBLANK(Clearance!G100),"",Clearance!G100)</f>
        <v>23.496011967000001</v>
      </c>
      <c r="R691">
        <f>IF(ISNUMBER(Clearance!G100),IF(ABS(Clearance!G100-P691)&lt;=0.000000000001*MAX(1,ABS(P691)),0,1),1)</f>
        <v>0</v>
      </c>
    </row>
    <row r="692" spans="15:18" x14ac:dyDescent="0.45">
      <c r="O692" s="8" t="s">
        <v>2453</v>
      </c>
      <c r="P692">
        <v>-0.1899615375015857</v>
      </c>
      <c r="Q692">
        <f>IF(ISBLANK(Clearance!H100),"",Clearance!H100)</f>
        <v>-0.1899615375015857</v>
      </c>
      <c r="R692">
        <f>IF(ISNUMBER(Clearance!H100),IF(ABS(Clearance!H100-P692)&lt;=0.000000000001*MAX(1,ABS(P692)),0,1),1)</f>
        <v>0</v>
      </c>
    </row>
    <row r="693" spans="15:18" x14ac:dyDescent="0.45">
      <c r="O693" s="8" t="s">
        <v>2454</v>
      </c>
      <c r="P693">
        <v>0</v>
      </c>
      <c r="Q693">
        <f>IF(ISBLANK(Clearance!I100),"",Clearance!I100)</f>
        <v>0</v>
      </c>
      <c r="R693">
        <f>IF(ISNUMBER(Clearance!I100),IF(ABS(Clearance!I100-P693)&lt;=0.000000000001*MAX(1,ABS(P693)),0,1),1)</f>
        <v>0</v>
      </c>
    </row>
    <row r="694" spans="15:18" x14ac:dyDescent="0.45">
      <c r="O694" s="8" t="s">
        <v>2455</v>
      </c>
      <c r="P694">
        <v>174.85185299999989</v>
      </c>
      <c r="Q694">
        <f>IF(ISBLANK(Clearance!C101),"",Clearance!C101)</f>
        <v>174.85185299999989</v>
      </c>
      <c r="R694">
        <f>IF(ISNUMBER(Clearance!C101),IF(ABS(Clearance!C101-P694)&lt;=0.000000000001*MAX(1,ABS(P694)),0,1),1)</f>
        <v>0</v>
      </c>
    </row>
    <row r="695" spans="15:18" x14ac:dyDescent="0.45">
      <c r="O695" s="8" t="s">
        <v>2456</v>
      </c>
      <c r="P695">
        <v>177.853014</v>
      </c>
      <c r="Q695">
        <f>IF(ISBLANK(Clearance!D101),"",Clearance!D101)</f>
        <v>177.853014</v>
      </c>
      <c r="R695">
        <f>IF(ISNUMBER(Clearance!D101),IF(ABS(Clearance!D101-P695)&lt;=0.000000000001*MAX(1,ABS(P695)),0,1),1)</f>
        <v>0</v>
      </c>
    </row>
    <row r="696" spans="15:18" x14ac:dyDescent="0.45">
      <c r="O696" s="8" t="s">
        <v>2457</v>
      </c>
      <c r="P696">
        <v>23.046969297</v>
      </c>
      <c r="Q696">
        <f>IF(ISBLANK(Clearance!G101),"",Clearance!G101)</f>
        <v>23.046969297</v>
      </c>
      <c r="R696">
        <f>IF(ISNUMBER(Clearance!G101),IF(ABS(Clearance!G101-P696)&lt;=0.000000000001*MAX(1,ABS(P696)),0,1),1)</f>
        <v>0</v>
      </c>
    </row>
    <row r="697" spans="15:18" x14ac:dyDescent="0.45">
      <c r="O697" s="8" t="s">
        <v>2458</v>
      </c>
      <c r="P697">
        <v>-0.20372907518122901</v>
      </c>
      <c r="Q697">
        <f>IF(ISBLANK(Clearance!H101),"",Clearance!H101)</f>
        <v>-0.20372907518122901</v>
      </c>
      <c r="R697">
        <f>IF(ISNUMBER(Clearance!H101),IF(ABS(Clearance!H101-P697)&lt;=0.000000000001*MAX(1,ABS(P697)),0,1),1)</f>
        <v>0</v>
      </c>
    </row>
    <row r="698" spans="15:18" x14ac:dyDescent="0.45">
      <c r="O698" s="8" t="s">
        <v>2459</v>
      </c>
      <c r="P698">
        <v>0</v>
      </c>
      <c r="Q698">
        <f>IF(ISBLANK(Clearance!I101),"",Clearance!I101)</f>
        <v>0</v>
      </c>
      <c r="R698">
        <f>IF(ISNUMBER(Clearance!I101),IF(ABS(Clearance!I101-P698)&lt;=0.000000000001*MAX(1,ABS(P698)),0,1),1)</f>
        <v>0</v>
      </c>
    </row>
    <row r="699" spans="15:18" x14ac:dyDescent="0.45">
      <c r="O699" s="8" t="s">
        <v>2460</v>
      </c>
      <c r="P699">
        <v>177.853014</v>
      </c>
      <c r="Q699">
        <f>IF(ISBLANK(Clearance!C102),"",Clearance!C102)</f>
        <v>177.853014</v>
      </c>
      <c r="R699">
        <f>IF(ISNUMBER(Clearance!C102),IF(ABS(Clearance!C102-P699)&lt;=0.000000000001*MAX(1,ABS(P699)),0,1),1)</f>
        <v>0</v>
      </c>
    </row>
    <row r="700" spans="15:18" x14ac:dyDescent="0.45">
      <c r="O700" s="8" t="s">
        <v>2461</v>
      </c>
      <c r="P700">
        <v>182.40547199999989</v>
      </c>
      <c r="Q700">
        <f>IF(ISBLANK(Clearance!D102),"",Clearance!D102)</f>
        <v>182.40547199999989</v>
      </c>
      <c r="R700">
        <f>IF(ISNUMBER(Clearance!D102),IF(ABS(Clearance!D102-P700)&lt;=0.000000000001*MAX(1,ABS(P700)),0,1),1)</f>
        <v>0</v>
      </c>
    </row>
    <row r="701" spans="15:18" x14ac:dyDescent="0.45">
      <c r="O701" s="8" t="s">
        <v>2462</v>
      </c>
      <c r="P701">
        <v>22.435545542</v>
      </c>
      <c r="Q701">
        <f>IF(ISBLANK(Clearance!G102),"",Clearance!G102)</f>
        <v>22.435545542</v>
      </c>
      <c r="R701">
        <f>IF(ISNUMBER(Clearance!G102),IF(ABS(Clearance!G102-P701)&lt;=0.000000000001*MAX(1,ABS(P701)),0,1),1)</f>
        <v>0</v>
      </c>
    </row>
    <row r="702" spans="15:18" x14ac:dyDescent="0.45">
      <c r="O702" s="8" t="s">
        <v>2463</v>
      </c>
      <c r="P702">
        <v>-0.18057410590059689</v>
      </c>
      <c r="Q702">
        <f>IF(ISBLANK(Clearance!H102),"",Clearance!H102)</f>
        <v>-0.18057410590059689</v>
      </c>
      <c r="R702">
        <f>IF(ISNUMBER(Clearance!H102),IF(ABS(Clearance!H102-P702)&lt;=0.000000000001*MAX(1,ABS(P702)),0,1),1)</f>
        <v>0</v>
      </c>
    </row>
    <row r="703" spans="15:18" x14ac:dyDescent="0.45">
      <c r="O703" s="8" t="s">
        <v>2464</v>
      </c>
      <c r="P703">
        <v>0</v>
      </c>
      <c r="Q703">
        <f>IF(ISBLANK(Clearance!I102),"",Clearance!I102)</f>
        <v>0</v>
      </c>
      <c r="R703">
        <f>IF(ISNUMBER(Clearance!I102),IF(ABS(Clearance!I102-P703)&lt;=0.000000000001*MAX(1,ABS(P703)),0,1),1)</f>
        <v>0</v>
      </c>
    </row>
    <row r="704" spans="15:18" x14ac:dyDescent="0.45">
      <c r="O704" s="8" t="s">
        <v>2465</v>
      </c>
      <c r="P704">
        <v>182.40547199999989</v>
      </c>
      <c r="Q704">
        <f>IF(ISBLANK(Clearance!C103),"",Clearance!C103)</f>
        <v>182.40547199999989</v>
      </c>
      <c r="R704">
        <f>IF(ISNUMBER(Clearance!C103),IF(ABS(Clearance!C103-P704)&lt;=0.000000000001*MAX(1,ABS(P704)),0,1),1)</f>
        <v>0</v>
      </c>
    </row>
    <row r="705" spans="15:18" x14ac:dyDescent="0.45">
      <c r="O705" s="8" t="s">
        <v>2466</v>
      </c>
      <c r="P705">
        <v>183.0659720000001</v>
      </c>
      <c r="Q705">
        <f>IF(ISBLANK(Clearance!D103),"",Clearance!D103)</f>
        <v>183.0659720000001</v>
      </c>
      <c r="R705">
        <f>IF(ISNUMBER(Clearance!D103),IF(ABS(Clearance!D103-P705)&lt;=0.000000000001*MAX(1,ABS(P705)),0,1),1)</f>
        <v>0</v>
      </c>
    </row>
    <row r="706" spans="15:18" x14ac:dyDescent="0.45">
      <c r="O706" s="8" t="s">
        <v>2467</v>
      </c>
      <c r="P706">
        <v>21.613489509000001</v>
      </c>
      <c r="Q706">
        <f>IF(ISBLANK(Clearance!G103),"",Clearance!G103)</f>
        <v>21.613489509000001</v>
      </c>
      <c r="R706">
        <f>IF(ISNUMBER(Clearance!G103),IF(ABS(Clearance!G103-P706)&lt;=0.000000000001*MAX(1,ABS(P706)),0,1),1)</f>
        <v>0</v>
      </c>
    </row>
    <row r="707" spans="15:18" x14ac:dyDescent="0.45">
      <c r="O707" s="8" t="s">
        <v>2468</v>
      </c>
      <c r="P707">
        <v>-0.1580929023466616</v>
      </c>
      <c r="Q707">
        <f>IF(ISBLANK(Clearance!H103),"",Clearance!H103)</f>
        <v>-0.1580929023466616</v>
      </c>
      <c r="R707">
        <f>IF(ISNUMBER(Clearance!H103),IF(ABS(Clearance!H103-P707)&lt;=0.000000000001*MAX(1,ABS(P707)),0,1),1)</f>
        <v>0</v>
      </c>
    </row>
    <row r="708" spans="15:18" x14ac:dyDescent="0.45">
      <c r="O708" s="8" t="s">
        <v>2469</v>
      </c>
      <c r="P708">
        <v>0</v>
      </c>
      <c r="Q708">
        <f>IF(ISBLANK(Clearance!I103),"",Clearance!I103)</f>
        <v>0</v>
      </c>
      <c r="R708">
        <f>IF(ISNUMBER(Clearance!I103),IF(ABS(Clearance!I103-P708)&lt;=0.000000000001*MAX(1,ABS(P708)),0,1),1)</f>
        <v>0</v>
      </c>
    </row>
    <row r="709" spans="15:18" x14ac:dyDescent="0.45">
      <c r="O709" s="8" t="s">
        <v>2470</v>
      </c>
      <c r="P709">
        <v>183.0659720000001</v>
      </c>
      <c r="Q709">
        <f>IF(ISBLANK(Clearance!C104),"",Clearance!C104)</f>
        <v>183.0659720000001</v>
      </c>
      <c r="R709">
        <f>IF(ISNUMBER(Clearance!C104),IF(ABS(Clearance!C104-P709)&lt;=0.000000000001*MAX(1,ABS(P709)),0,1),1)</f>
        <v>0</v>
      </c>
    </row>
    <row r="710" spans="15:18" x14ac:dyDescent="0.45">
      <c r="O710" s="8" t="s">
        <v>2471</v>
      </c>
      <c r="P710">
        <v>183.86930200000009</v>
      </c>
      <c r="Q710">
        <f>IF(ISBLANK(Clearance!D104),"",Clearance!D104)</f>
        <v>183.86930200000009</v>
      </c>
      <c r="R710">
        <f>IF(ISNUMBER(Clearance!D104),IF(ABS(Clearance!D104-P710)&lt;=0.000000000001*MAX(1,ABS(P710)),0,1),1)</f>
        <v>0</v>
      </c>
    </row>
    <row r="711" spans="15:18" x14ac:dyDescent="0.45">
      <c r="O711" s="8" t="s">
        <v>2472</v>
      </c>
      <c r="P711">
        <v>21.509069147000002</v>
      </c>
      <c r="Q711">
        <f>IF(ISBLANK(Clearance!G104),"",Clearance!G104)</f>
        <v>21.509069147000002</v>
      </c>
      <c r="R711">
        <f>IF(ISNUMBER(Clearance!G104),IF(ABS(Clearance!G104-P711)&lt;=0.000000000001*MAX(1,ABS(P711)),0,1),1)</f>
        <v>0</v>
      </c>
    </row>
    <row r="712" spans="15:18" x14ac:dyDescent="0.45">
      <c r="O712" s="8" t="s">
        <v>2473</v>
      </c>
      <c r="P712">
        <v>-4.2491420711292312E-2</v>
      </c>
      <c r="Q712">
        <f>IF(ISBLANK(Clearance!H104),"",Clearance!H104)</f>
        <v>-4.2491420711292312E-2</v>
      </c>
      <c r="R712">
        <f>IF(ISNUMBER(Clearance!H104),IF(ABS(Clearance!H104-P712)&lt;=0.000000000001*MAX(1,ABS(P712)),0,1),1)</f>
        <v>0</v>
      </c>
    </row>
    <row r="713" spans="15:18" x14ac:dyDescent="0.45">
      <c r="O713" s="8" t="s">
        <v>2474</v>
      </c>
      <c r="P713">
        <v>0</v>
      </c>
      <c r="Q713">
        <f>IF(ISBLANK(Clearance!I104),"",Clearance!I104)</f>
        <v>0</v>
      </c>
      <c r="R713">
        <f>IF(ISNUMBER(Clearance!I104),IF(ABS(Clearance!I104-P713)&lt;=0.000000000001*MAX(1,ABS(P713)),0,1),1)</f>
        <v>0</v>
      </c>
    </row>
    <row r="714" spans="15:18" x14ac:dyDescent="0.45">
      <c r="O714" s="8" t="s">
        <v>2475</v>
      </c>
      <c r="P714">
        <v>183.86930200000009</v>
      </c>
      <c r="Q714">
        <f>IF(ISBLANK(Clearance!C105),"",Clearance!C105)</f>
        <v>183.86930200000009</v>
      </c>
      <c r="R714">
        <f>IF(ISNUMBER(Clearance!C105),IF(ABS(Clearance!C105-P714)&lt;=0.000000000001*MAX(1,ABS(P714)),0,1),1)</f>
        <v>0</v>
      </c>
    </row>
    <row r="715" spans="15:18" x14ac:dyDescent="0.45">
      <c r="O715" s="8" t="s">
        <v>2476</v>
      </c>
      <c r="P715">
        <v>186.51730599999999</v>
      </c>
      <c r="Q715">
        <f>IF(ISBLANK(Clearance!D105),"",Clearance!D105)</f>
        <v>186.51730599999999</v>
      </c>
      <c r="R715">
        <f>IF(ISNUMBER(Clearance!D105),IF(ABS(Clearance!D105-P715)&lt;=0.000000000001*MAX(1,ABS(P715)),0,1),1)</f>
        <v>0</v>
      </c>
    </row>
    <row r="716" spans="15:18" x14ac:dyDescent="0.45">
      <c r="O716" s="8" t="s">
        <v>2477</v>
      </c>
      <c r="P716">
        <v>21.474934514000001</v>
      </c>
      <c r="Q716">
        <f>IF(ISBLANK(Clearance!G105),"",Clearance!G105)</f>
        <v>21.474934514000001</v>
      </c>
      <c r="R716">
        <f>IF(ISNUMBER(Clearance!G105),IF(ABS(Clearance!G105-P716)&lt;=0.000000000001*MAX(1,ABS(P716)),0,1),1)</f>
        <v>0</v>
      </c>
    </row>
    <row r="717" spans="15:18" x14ac:dyDescent="0.45">
      <c r="O717" s="8" t="s">
        <v>2478</v>
      </c>
      <c r="P717">
        <v>-1.7688409836239739E-2</v>
      </c>
      <c r="Q717">
        <f>IF(ISBLANK(Clearance!H105),"",Clearance!H105)</f>
        <v>-1.7688409836239739E-2</v>
      </c>
      <c r="R717">
        <f>IF(ISNUMBER(Clearance!H105),IF(ABS(Clearance!H105-P717)&lt;=0.000000000001*MAX(1,ABS(P717)),0,1),1)</f>
        <v>0</v>
      </c>
    </row>
    <row r="718" spans="15:18" x14ac:dyDescent="0.45">
      <c r="O718" s="8" t="s">
        <v>2479</v>
      </c>
      <c r="P718">
        <v>0</v>
      </c>
      <c r="Q718">
        <f>IF(ISBLANK(Clearance!I105),"",Clearance!I105)</f>
        <v>0</v>
      </c>
      <c r="R718">
        <f>IF(ISNUMBER(Clearance!I105),IF(ABS(Clearance!I105-P718)&lt;=0.000000000001*MAX(1,ABS(P718)),0,1),1)</f>
        <v>0</v>
      </c>
    </row>
    <row r="719" spans="15:18" x14ac:dyDescent="0.45">
      <c r="O719" s="8" t="s">
        <v>2480</v>
      </c>
      <c r="P719">
        <v>186.51730599999999</v>
      </c>
      <c r="Q719">
        <f>IF(ISBLANK(Clearance!C106),"",Clearance!C106)</f>
        <v>186.51730599999999</v>
      </c>
      <c r="R719">
        <f>IF(ISNUMBER(Clearance!C106),IF(ABS(Clearance!C106-P719)&lt;=0.000000000001*MAX(1,ABS(P719)),0,1),1)</f>
        <v>0</v>
      </c>
    </row>
    <row r="720" spans="15:18" x14ac:dyDescent="0.45">
      <c r="O720" s="8" t="s">
        <v>2481</v>
      </c>
      <c r="P720">
        <v>187.58021800000009</v>
      </c>
      <c r="Q720">
        <f>IF(ISBLANK(Clearance!D106),"",Clearance!D106)</f>
        <v>187.58021800000009</v>
      </c>
      <c r="R720">
        <f>IF(ISNUMBER(Clearance!D106),IF(ABS(Clearance!D106-P720)&lt;=0.000000000001*MAX(1,ABS(P720)),0,1),1)</f>
        <v>0</v>
      </c>
    </row>
    <row r="721" spans="15:18" x14ac:dyDescent="0.45">
      <c r="O721" s="8" t="s">
        <v>2482</v>
      </c>
      <c r="P721">
        <v>21.428095534000001</v>
      </c>
      <c r="Q721">
        <f>IF(ISBLANK(Clearance!G106),"",Clearance!G106)</f>
        <v>21.428095534000001</v>
      </c>
      <c r="R721">
        <f>IF(ISNUMBER(Clearance!G106),IF(ABS(Clearance!G106-P721)&lt;=0.000000000001*MAX(1,ABS(P721)),0,1),1)</f>
        <v>0</v>
      </c>
    </row>
    <row r="722" spans="15:18" x14ac:dyDescent="0.45">
      <c r="O722" s="8" t="s">
        <v>2483</v>
      </c>
      <c r="P722">
        <v>-0.10949006220645779</v>
      </c>
      <c r="Q722">
        <f>IF(ISBLANK(Clearance!H106),"",Clearance!H106)</f>
        <v>-0.10949006220645779</v>
      </c>
      <c r="R722">
        <f>IF(ISNUMBER(Clearance!H106),IF(ABS(Clearance!H106-P722)&lt;=0.000000000001*MAX(1,ABS(P722)),0,1),1)</f>
        <v>0</v>
      </c>
    </row>
    <row r="723" spans="15:18" x14ac:dyDescent="0.45">
      <c r="O723" s="8" t="s">
        <v>2484</v>
      </c>
      <c r="P723">
        <v>0</v>
      </c>
      <c r="Q723">
        <f>IF(ISBLANK(Clearance!I106),"",Clearance!I106)</f>
        <v>0</v>
      </c>
      <c r="R723">
        <f>IF(ISNUMBER(Clearance!I106),IF(ABS(Clearance!I106-P723)&lt;=0.000000000001*MAX(1,ABS(P723)),0,1),1)</f>
        <v>0</v>
      </c>
    </row>
    <row r="724" spans="15:18" x14ac:dyDescent="0.45">
      <c r="O724" s="8" t="s">
        <v>2485</v>
      </c>
      <c r="P724">
        <v>187.58021800000009</v>
      </c>
      <c r="Q724">
        <f>IF(ISBLANK(Clearance!C107),"",Clearance!C107)</f>
        <v>187.58021800000009</v>
      </c>
      <c r="R724">
        <f>IF(ISNUMBER(Clearance!C107),IF(ABS(Clearance!C107-P724)&lt;=0.000000000001*MAX(1,ABS(P724)),0,1),1)</f>
        <v>0</v>
      </c>
    </row>
    <row r="725" spans="15:18" x14ac:dyDescent="0.45">
      <c r="O725" s="8" t="s">
        <v>2486</v>
      </c>
      <c r="P725">
        <v>188.83510700000011</v>
      </c>
      <c r="Q725">
        <f>IF(ISBLANK(Clearance!D107),"",Clearance!D107)</f>
        <v>188.83510700000011</v>
      </c>
      <c r="R725">
        <f>IF(ISNUMBER(Clearance!D107),IF(ABS(Clearance!D107-P725)&lt;=0.000000000001*MAX(1,ABS(P725)),0,1),1)</f>
        <v>0</v>
      </c>
    </row>
    <row r="726" spans="15:18" x14ac:dyDescent="0.45">
      <c r="O726" s="8" t="s">
        <v>2487</v>
      </c>
      <c r="P726">
        <v>21.311717233</v>
      </c>
      <c r="Q726">
        <f>IF(ISBLANK(Clearance!G107),"",Clearance!G107)</f>
        <v>21.311717233</v>
      </c>
      <c r="R726">
        <f>IF(ISNUMBER(Clearance!G107),IF(ABS(Clearance!G107-P726)&lt;=0.000000000001*MAX(1,ABS(P726)),0,1),1)</f>
        <v>0</v>
      </c>
    </row>
    <row r="727" spans="15:18" x14ac:dyDescent="0.45">
      <c r="O727" s="8" t="s">
        <v>2488</v>
      </c>
      <c r="P727">
        <v>-0.12907738931490539</v>
      </c>
      <c r="Q727">
        <f>IF(ISBLANK(Clearance!H107),"",Clearance!H107)</f>
        <v>-0.12907738931490539</v>
      </c>
      <c r="R727">
        <f>IF(ISNUMBER(Clearance!H107),IF(ABS(Clearance!H107-P727)&lt;=0.000000000001*MAX(1,ABS(P727)),0,1),1)</f>
        <v>0</v>
      </c>
    </row>
    <row r="728" spans="15:18" x14ac:dyDescent="0.45">
      <c r="O728" s="8" t="s">
        <v>2489</v>
      </c>
      <c r="P728">
        <v>0</v>
      </c>
      <c r="Q728">
        <f>IF(ISBLANK(Clearance!I107),"",Clearance!I107)</f>
        <v>0</v>
      </c>
      <c r="R728">
        <f>IF(ISNUMBER(Clearance!I107),IF(ABS(Clearance!I107-P728)&lt;=0.000000000001*MAX(1,ABS(P728)),0,1),1)</f>
        <v>0</v>
      </c>
    </row>
    <row r="729" spans="15:18" x14ac:dyDescent="0.45">
      <c r="O729" s="8" t="s">
        <v>2490</v>
      </c>
      <c r="P729">
        <v>188.83510700000011</v>
      </c>
      <c r="Q729">
        <f>IF(ISBLANK(Clearance!C108),"",Clearance!C108)</f>
        <v>188.83510700000011</v>
      </c>
      <c r="R729">
        <f>IF(ISNUMBER(Clearance!C108),IF(ABS(Clearance!C108-P729)&lt;=0.000000000001*MAX(1,ABS(P729)),0,1),1)</f>
        <v>0</v>
      </c>
    </row>
    <row r="730" spans="15:18" x14ac:dyDescent="0.45">
      <c r="O730" s="8" t="s">
        <v>2491</v>
      </c>
      <c r="P730">
        <v>191.33210800000009</v>
      </c>
      <c r="Q730">
        <f>IF(ISBLANK(Clearance!D108),"",Clearance!D108)</f>
        <v>191.33210800000009</v>
      </c>
      <c r="R730">
        <f>IF(ISNUMBER(Clearance!D108),IF(ABS(Clearance!D108-P730)&lt;=0.000000000001*MAX(1,ABS(P730)),0,1),1)</f>
        <v>0</v>
      </c>
    </row>
    <row r="731" spans="15:18" x14ac:dyDescent="0.45">
      <c r="O731" s="8" t="s">
        <v>2492</v>
      </c>
      <c r="P731">
        <v>21.149739437000001</v>
      </c>
      <c r="Q731">
        <f>IF(ISBLANK(Clearance!G108),"",Clearance!G108)</f>
        <v>21.149739437000001</v>
      </c>
      <c r="R731">
        <f>IF(ISNUMBER(Clearance!G108),IF(ABS(Clearance!G108-P731)&lt;=0.000000000001*MAX(1,ABS(P731)),0,1),1)</f>
        <v>0</v>
      </c>
    </row>
    <row r="732" spans="15:18" x14ac:dyDescent="0.45">
      <c r="O732" s="8" t="s">
        <v>2493</v>
      </c>
      <c r="P732">
        <v>8.9760495089910519E-2</v>
      </c>
      <c r="Q732">
        <f>IF(ISBLANK(Clearance!H108),"",Clearance!H108)</f>
        <v>8.9760495089910519E-2</v>
      </c>
      <c r="R732">
        <f>IF(ISNUMBER(Clearance!H108),IF(ABS(Clearance!H108-P732)&lt;=0.000000000001*MAX(1,ABS(P732)),0,1),1)</f>
        <v>0</v>
      </c>
    </row>
    <row r="733" spans="15:18" x14ac:dyDescent="0.45">
      <c r="O733" s="8" t="s">
        <v>2494</v>
      </c>
      <c r="P733">
        <v>0</v>
      </c>
      <c r="Q733">
        <f>IF(ISBLANK(Clearance!I108),"",Clearance!I108)</f>
        <v>0</v>
      </c>
      <c r="R733">
        <f>IF(ISNUMBER(Clearance!I108),IF(ABS(Clearance!I108-P733)&lt;=0.000000000001*MAX(1,ABS(P733)),0,1),1)</f>
        <v>0</v>
      </c>
    </row>
    <row r="734" spans="15:18" x14ac:dyDescent="0.45">
      <c r="O734" s="8" t="s">
        <v>2495</v>
      </c>
      <c r="P734">
        <v>191.33210800000009</v>
      </c>
      <c r="Q734">
        <f>IF(ISBLANK(Clearance!C109),"",Clearance!C109)</f>
        <v>191.33210800000009</v>
      </c>
      <c r="R734">
        <f>IF(ISNUMBER(Clearance!C109),IF(ABS(Clearance!C109-P734)&lt;=0.000000000001*MAX(1,ABS(P734)),0,1),1)</f>
        <v>0</v>
      </c>
    </row>
    <row r="735" spans="15:18" x14ac:dyDescent="0.45">
      <c r="O735" s="8" t="s">
        <v>2496</v>
      </c>
      <c r="P735">
        <v>191.897739</v>
      </c>
      <c r="Q735">
        <f>IF(ISBLANK(Clearance!D109),"",Clearance!D109)</f>
        <v>191.897739</v>
      </c>
      <c r="R735">
        <f>IF(ISNUMBER(Clearance!D109),IF(ABS(Clearance!D109-P735)&lt;=0.000000000001*MAX(1,ABS(P735)),0,1),1)</f>
        <v>0</v>
      </c>
    </row>
    <row r="736" spans="15:18" x14ac:dyDescent="0.45">
      <c r="O736" s="8" t="s">
        <v>2497</v>
      </c>
      <c r="P736">
        <v>21.373871482999999</v>
      </c>
      <c r="Q736">
        <f>IF(ISBLANK(Clearance!G109),"",Clearance!G109)</f>
        <v>21.373871482999999</v>
      </c>
      <c r="R736">
        <f>IF(ISNUMBER(Clearance!G109),IF(ABS(Clearance!G109-P736)&lt;=0.000000000001*MAX(1,ABS(P736)),0,1),1)</f>
        <v>0</v>
      </c>
    </row>
    <row r="737" spans="15:18" x14ac:dyDescent="0.45">
      <c r="O737" s="8" t="s">
        <v>2498</v>
      </c>
      <c r="P737">
        <v>6.5720885170732393E-2</v>
      </c>
      <c r="Q737">
        <f>IF(ISBLANK(Clearance!H109),"",Clearance!H109)</f>
        <v>6.5720885170732393E-2</v>
      </c>
      <c r="R737">
        <f>IF(ISNUMBER(Clearance!H109),IF(ABS(Clearance!H109-P737)&lt;=0.000000000001*MAX(1,ABS(P737)),0,1),1)</f>
        <v>0</v>
      </c>
    </row>
    <row r="738" spans="15:18" x14ac:dyDescent="0.45">
      <c r="O738" s="8" t="s">
        <v>2499</v>
      </c>
      <c r="P738">
        <v>0</v>
      </c>
      <c r="Q738">
        <f>IF(ISBLANK(Clearance!I109),"",Clearance!I109)</f>
        <v>0</v>
      </c>
      <c r="R738">
        <f>IF(ISNUMBER(Clearance!I109),IF(ABS(Clearance!I109-P738)&lt;=0.000000000001*MAX(1,ABS(P738)),0,1),1)</f>
        <v>0</v>
      </c>
    </row>
    <row r="739" spans="15:18" x14ac:dyDescent="0.45">
      <c r="O739" s="8" t="s">
        <v>2500</v>
      </c>
      <c r="P739">
        <v>191.897739</v>
      </c>
      <c r="Q739">
        <f>IF(ISBLANK(Clearance!C110),"",Clearance!C110)</f>
        <v>191.897739</v>
      </c>
      <c r="R739">
        <f>IF(ISNUMBER(Clearance!C110),IF(ABS(Clearance!C110-P739)&lt;=0.000000000001*MAX(1,ABS(P739)),0,1),1)</f>
        <v>0</v>
      </c>
    </row>
    <row r="740" spans="15:18" x14ac:dyDescent="0.45">
      <c r="O740" s="8" t="s">
        <v>2501</v>
      </c>
      <c r="P740">
        <v>192.84823899999989</v>
      </c>
      <c r="Q740">
        <f>IF(ISBLANK(Clearance!D110),"",Clearance!D110)</f>
        <v>192.84823899999989</v>
      </c>
      <c r="R740">
        <f>IF(ISNUMBER(Clearance!D110),IF(ABS(Clearance!D110-P740)&lt;=0.000000000001*MAX(1,ABS(P740)),0,1),1)</f>
        <v>0</v>
      </c>
    </row>
    <row r="741" spans="15:18" x14ac:dyDescent="0.45">
      <c r="O741" s="8" t="s">
        <v>2502</v>
      </c>
      <c r="P741">
        <v>21.411045253000001</v>
      </c>
      <c r="Q741">
        <f>IF(ISBLANK(Clearance!G110),"",Clearance!G110)</f>
        <v>21.411045253000001</v>
      </c>
      <c r="R741">
        <f>IF(ISNUMBER(Clearance!G110),IF(ABS(Clearance!G110-P741)&lt;=0.000000000001*MAX(1,ABS(P741)),0,1),1)</f>
        <v>0</v>
      </c>
    </row>
    <row r="742" spans="15:18" x14ac:dyDescent="0.45">
      <c r="O742" s="8" t="s">
        <v>2503</v>
      </c>
      <c r="P742">
        <v>0.22209399579170541</v>
      </c>
      <c r="Q742">
        <f>IF(ISBLANK(Clearance!H110),"",Clearance!H110)</f>
        <v>0.22209399579170541</v>
      </c>
      <c r="R742">
        <f>IF(ISNUMBER(Clearance!H110),IF(ABS(Clearance!H110-P742)&lt;=0.000000000001*MAX(1,ABS(P742)),0,1),1)</f>
        <v>0</v>
      </c>
    </row>
    <row r="743" spans="15:18" x14ac:dyDescent="0.45">
      <c r="O743" s="8" t="s">
        <v>2504</v>
      </c>
      <c r="P743">
        <v>0</v>
      </c>
      <c r="Q743">
        <f>IF(ISBLANK(Clearance!I110),"",Clearance!I110)</f>
        <v>0</v>
      </c>
      <c r="R743">
        <f>IF(ISNUMBER(Clearance!I110),IF(ABS(Clearance!I110-P743)&lt;=0.000000000001*MAX(1,ABS(P743)),0,1),1)</f>
        <v>0</v>
      </c>
    </row>
    <row r="744" spans="15:18" x14ac:dyDescent="0.45">
      <c r="O744" s="8" t="s">
        <v>2505</v>
      </c>
      <c r="P744">
        <v>192.84823899999989</v>
      </c>
      <c r="Q744">
        <f>IF(ISBLANK(Clearance!C111),"",Clearance!C111)</f>
        <v>192.84823899999989</v>
      </c>
      <c r="R744">
        <f>IF(ISNUMBER(Clearance!C111),IF(ABS(Clearance!C111-P744)&lt;=0.000000000001*MAX(1,ABS(P744)),0,1),1)</f>
        <v>0</v>
      </c>
    </row>
    <row r="745" spans="15:18" x14ac:dyDescent="0.45">
      <c r="O745" s="8" t="s">
        <v>2506</v>
      </c>
      <c r="P745">
        <v>198.0481179999999</v>
      </c>
      <c r="Q745">
        <f>IF(ISBLANK(Clearance!D111),"",Clearance!D111)</f>
        <v>198.0481179999999</v>
      </c>
      <c r="R745">
        <f>IF(ISNUMBER(Clearance!D111),IF(ABS(Clearance!D111-P745)&lt;=0.000000000001*MAX(1,ABS(P745)),0,1),1)</f>
        <v>0</v>
      </c>
    </row>
    <row r="746" spans="15:18" x14ac:dyDescent="0.45">
      <c r="O746" s="8" t="s">
        <v>2507</v>
      </c>
      <c r="P746">
        <v>21.622145595999999</v>
      </c>
      <c r="Q746">
        <f>IF(ISBLANK(Clearance!G111),"",Clearance!G111)</f>
        <v>21.622145595999999</v>
      </c>
      <c r="R746">
        <f>IF(ISNUMBER(Clearance!G111),IF(ABS(Clearance!G111-P746)&lt;=0.000000000001*MAX(1,ABS(P746)),0,1),1)</f>
        <v>0</v>
      </c>
    </row>
    <row r="747" spans="15:18" x14ac:dyDescent="0.45">
      <c r="O747" s="8" t="s">
        <v>2508</v>
      </c>
      <c r="P747">
        <v>0.18895188138031671</v>
      </c>
      <c r="Q747">
        <f>IF(ISBLANK(Clearance!H111),"",Clearance!H111)</f>
        <v>0.18895188138031671</v>
      </c>
      <c r="R747">
        <f>IF(ISNUMBER(Clearance!H111),IF(ABS(Clearance!H111-P747)&lt;=0.000000000001*MAX(1,ABS(P747)),0,1),1)</f>
        <v>0</v>
      </c>
    </row>
    <row r="748" spans="15:18" x14ac:dyDescent="0.45">
      <c r="O748" s="8" t="s">
        <v>2509</v>
      </c>
      <c r="P748">
        <v>0</v>
      </c>
      <c r="Q748">
        <f>IF(ISBLANK(Clearance!I111),"",Clearance!I111)</f>
        <v>0</v>
      </c>
      <c r="R748">
        <f>IF(ISNUMBER(Clearance!I111),IF(ABS(Clearance!I111-P748)&lt;=0.000000000001*MAX(1,ABS(P748)),0,1),1)</f>
        <v>0</v>
      </c>
    </row>
    <row r="749" spans="15:18" x14ac:dyDescent="0.45">
      <c r="O749" s="8" t="s">
        <v>2510</v>
      </c>
      <c r="P749">
        <v>198.0481179999999</v>
      </c>
      <c r="Q749">
        <f>IF(ISBLANK(Clearance!C112),"",Clearance!C112)</f>
        <v>198.0481179999999</v>
      </c>
      <c r="R749">
        <f>IF(ISNUMBER(Clearance!C112),IF(ABS(Clearance!C112-P749)&lt;=0.000000000001*MAX(1,ABS(P749)),0,1),1)</f>
        <v>0</v>
      </c>
    </row>
    <row r="750" spans="15:18" x14ac:dyDescent="0.45">
      <c r="O750" s="8" t="s">
        <v>2511</v>
      </c>
      <c r="P750">
        <v>204.05500200000009</v>
      </c>
      <c r="Q750">
        <f>IF(ISBLANK(Clearance!D112),"",Clearance!D112)</f>
        <v>204.05500200000009</v>
      </c>
      <c r="R750">
        <f>IF(ISNUMBER(Clearance!D112),IF(ABS(Clearance!D112-P750)&lt;=0.000000000001*MAX(1,ABS(P750)),0,1),1)</f>
        <v>0</v>
      </c>
    </row>
    <row r="751" spans="15:18" x14ac:dyDescent="0.45">
      <c r="O751" s="8" t="s">
        <v>2512</v>
      </c>
      <c r="P751">
        <v>22.604672516000001</v>
      </c>
      <c r="Q751">
        <f>IF(ISBLANK(Clearance!G112),"",Clearance!G112)</f>
        <v>22.604672516000001</v>
      </c>
      <c r="R751">
        <f>IF(ISNUMBER(Clearance!G112),IF(ABS(Clearance!G112-P751)&lt;=0.000000000001*MAX(1,ABS(P751)),0,1),1)</f>
        <v>0</v>
      </c>
    </row>
    <row r="752" spans="15:18" x14ac:dyDescent="0.45">
      <c r="O752" s="8" t="s">
        <v>2513</v>
      </c>
      <c r="P752">
        <v>0.1019966310319939</v>
      </c>
      <c r="Q752">
        <f>IF(ISBLANK(Clearance!H112),"",Clearance!H112)</f>
        <v>0.1019966310319939</v>
      </c>
      <c r="R752">
        <f>IF(ISNUMBER(Clearance!H112),IF(ABS(Clearance!H112-P752)&lt;=0.000000000001*MAX(1,ABS(P752)),0,1),1)</f>
        <v>0</v>
      </c>
    </row>
    <row r="753" spans="15:18" x14ac:dyDescent="0.45">
      <c r="O753" s="8" t="s">
        <v>2514</v>
      </c>
      <c r="P753">
        <v>0</v>
      </c>
      <c r="Q753">
        <f>IF(ISBLANK(Clearance!I112),"",Clearance!I112)</f>
        <v>0</v>
      </c>
      <c r="R753">
        <f>IF(ISNUMBER(Clearance!I112),IF(ABS(Clearance!I112-P753)&lt;=0.000000000001*MAX(1,ABS(P753)),0,1),1)</f>
        <v>0</v>
      </c>
    </row>
    <row r="754" spans="15:18" x14ac:dyDescent="0.45">
      <c r="O754" s="8" t="s">
        <v>2515</v>
      </c>
      <c r="P754">
        <v>204.05500200000009</v>
      </c>
      <c r="Q754">
        <f>IF(ISBLANK(Clearance!C113),"",Clearance!C113)</f>
        <v>204.05500200000009</v>
      </c>
      <c r="R754">
        <f>IF(ISNUMBER(Clearance!C113),IF(ABS(Clearance!C113-P754)&lt;=0.000000000001*MAX(1,ABS(P754)),0,1),1)</f>
        <v>0</v>
      </c>
    </row>
    <row r="755" spans="15:18" x14ac:dyDescent="0.45">
      <c r="O755" s="8" t="s">
        <v>2516</v>
      </c>
      <c r="P755">
        <v>206.93518499999999</v>
      </c>
      <c r="Q755">
        <f>IF(ISBLANK(Clearance!D113),"",Clearance!D113)</f>
        <v>206.93518499999999</v>
      </c>
      <c r="R755">
        <f>IF(ISNUMBER(Clearance!D113),IF(ABS(Clearance!D113-P755)&lt;=0.000000000001*MAX(1,ABS(P755)),0,1),1)</f>
        <v>0</v>
      </c>
    </row>
    <row r="756" spans="15:18" x14ac:dyDescent="0.45">
      <c r="O756" s="8" t="s">
        <v>2517</v>
      </c>
      <c r="P756">
        <v>23.217354447000002</v>
      </c>
      <c r="Q756">
        <f>IF(ISBLANK(Clearance!G113),"",Clearance!G113)</f>
        <v>23.217354447000002</v>
      </c>
      <c r="R756">
        <f>IF(ISNUMBER(Clearance!G113),IF(ABS(Clearance!G113-P756)&lt;=0.000000000001*MAX(1,ABS(P756)),0,1),1)</f>
        <v>0</v>
      </c>
    </row>
    <row r="757" spans="15:18" x14ac:dyDescent="0.45">
      <c r="O757" s="8" t="s">
        <v>2518</v>
      </c>
      <c r="P757">
        <v>7.8432485019181042E-2</v>
      </c>
      <c r="Q757">
        <f>IF(ISBLANK(Clearance!H113),"",Clearance!H113)</f>
        <v>7.8432485019181042E-2</v>
      </c>
      <c r="R757">
        <f>IF(ISNUMBER(Clearance!H113),IF(ABS(Clearance!H113-P757)&lt;=0.000000000001*MAX(1,ABS(P757)),0,1),1)</f>
        <v>0</v>
      </c>
    </row>
    <row r="758" spans="15:18" x14ac:dyDescent="0.45">
      <c r="O758" s="8" t="s">
        <v>2519</v>
      </c>
      <c r="P758">
        <v>0</v>
      </c>
      <c r="Q758">
        <f>IF(ISBLANK(Clearance!I113),"",Clearance!I113)</f>
        <v>0</v>
      </c>
      <c r="R758">
        <f>IF(ISNUMBER(Clearance!I113),IF(ABS(Clearance!I113-P758)&lt;=0.000000000001*MAX(1,ABS(P758)),0,1),1)</f>
        <v>0</v>
      </c>
    </row>
    <row r="759" spans="15:18" x14ac:dyDescent="0.45">
      <c r="O759" s="8" t="s">
        <v>2520</v>
      </c>
      <c r="P759">
        <v>206.93518499999999</v>
      </c>
      <c r="Q759">
        <f>IF(ISBLANK(Clearance!C114),"",Clearance!C114)</f>
        <v>206.93518499999999</v>
      </c>
      <c r="R759">
        <f>IF(ISNUMBER(Clearance!C114),IF(ABS(Clearance!C114-P759)&lt;=0.000000000001*MAX(1,ABS(P759)),0,1),1)</f>
        <v>0</v>
      </c>
    </row>
    <row r="760" spans="15:18" x14ac:dyDescent="0.45">
      <c r="O760" s="8" t="s">
        <v>2521</v>
      </c>
      <c r="P760">
        <v>207.231886</v>
      </c>
      <c r="Q760">
        <f>IF(ISBLANK(Clearance!D114),"",Clearance!D114)</f>
        <v>207.231886</v>
      </c>
      <c r="R760">
        <f>IF(ISNUMBER(Clearance!D114),IF(ABS(Clearance!D114-P760)&lt;=0.000000000001*MAX(1,ABS(P760)),0,1),1)</f>
        <v>0</v>
      </c>
    </row>
    <row r="761" spans="15:18" x14ac:dyDescent="0.45">
      <c r="O761" s="8" t="s">
        <v>2522</v>
      </c>
      <c r="P761">
        <v>23.443254357000001</v>
      </c>
      <c r="Q761">
        <f>IF(ISBLANK(Clearance!G114),"",Clearance!G114)</f>
        <v>23.443254357000001</v>
      </c>
      <c r="R761">
        <f>IF(ISNUMBER(Clearance!G114),IF(ABS(Clearance!G114-P761)&lt;=0.000000000001*MAX(1,ABS(P761)),0,1),1)</f>
        <v>0</v>
      </c>
    </row>
    <row r="762" spans="15:18" x14ac:dyDescent="0.45">
      <c r="O762" s="8" t="s">
        <v>2523</v>
      </c>
      <c r="P762">
        <v>7.4108378468560651E-2</v>
      </c>
      <c r="Q762">
        <f>IF(ISBLANK(Clearance!H114),"",Clearance!H114)</f>
        <v>7.4108378468560651E-2</v>
      </c>
      <c r="R762">
        <f>IF(ISNUMBER(Clearance!H114),IF(ABS(Clearance!H114-P762)&lt;=0.000000000001*MAX(1,ABS(P762)),0,1),1)</f>
        <v>0</v>
      </c>
    </row>
    <row r="763" spans="15:18" x14ac:dyDescent="0.45">
      <c r="O763" s="8" t="s">
        <v>2524</v>
      </c>
      <c r="P763">
        <v>0</v>
      </c>
      <c r="Q763">
        <f>IF(ISBLANK(Clearance!I114),"",Clearance!I114)</f>
        <v>0</v>
      </c>
      <c r="R763">
        <f>IF(ISNUMBER(Clearance!I114),IF(ABS(Clearance!I114-P763)&lt;=0.000000000001*MAX(1,ABS(P763)),0,1),1)</f>
        <v>0</v>
      </c>
    </row>
    <row r="764" spans="15:18" x14ac:dyDescent="0.45">
      <c r="O764" s="8" t="s">
        <v>2525</v>
      </c>
      <c r="P764">
        <v>3.7147642885879169</v>
      </c>
      <c r="Q764">
        <f>IF(ISBLANK(QC!D8),"",QC!D8)</f>
        <v>3.7147642885879169</v>
      </c>
      <c r="R764">
        <f>IF(ISNUMBER(QC!D8),IF(ABS(QC!D8-P764)&lt;=0.000000000001*MAX(1,ABS(P764)),0,1),1)</f>
        <v>0</v>
      </c>
    </row>
    <row r="765" spans="15:18" x14ac:dyDescent="0.45">
      <c r="O765" s="8" t="s">
        <v>2526</v>
      </c>
      <c r="P765">
        <v>4.9988355845365746E-3</v>
      </c>
      <c r="Q765">
        <f>IF(ISBLANK(QC!D9),"",QC!D9)</f>
        <v>4.9988355845365746E-3</v>
      </c>
      <c r="R765">
        <f>IF(ISNUMBER(QC!D9),IF(ABS(QC!D9-P765)&lt;=0.000000000001*MAX(1,ABS(P765)),0,1),1)</f>
        <v>0</v>
      </c>
    </row>
    <row r="766" spans="15:18" x14ac:dyDescent="0.45">
      <c r="O766" s="8" t="s">
        <v>2527</v>
      </c>
      <c r="P766">
        <v>-5.0011916110581497E-3</v>
      </c>
      <c r="Q766">
        <f>IF(ISBLANK(QC!D10),"",QC!D10)</f>
        <v>-5.0011916110581497E-3</v>
      </c>
      <c r="R766">
        <f>IF(ISNUMBER(QC!D10),IF(ABS(QC!D10-P766)&lt;=0.000000000001*MAX(1,ABS(P766)),0,1),1)</f>
        <v>0</v>
      </c>
    </row>
    <row r="767" spans="15:18" x14ac:dyDescent="0.45">
      <c r="O767" s="8" t="s">
        <v>2528</v>
      </c>
      <c r="P767">
        <v>48.197625000000002</v>
      </c>
      <c r="Q767">
        <f>IF(ISBLANK(QC!D11),"",QC!D11)</f>
        <v>48.197625000000002</v>
      </c>
      <c r="R767">
        <f>IF(ISNUMBER(QC!D11),IF(ABS(QC!D11-P767)&lt;=0.000000000001*MAX(1,ABS(P767)),0,1),1)</f>
        <v>0</v>
      </c>
    </row>
    <row r="768" spans="15:18" x14ac:dyDescent="0.45">
      <c r="O768" s="8" t="s">
        <v>2529</v>
      </c>
      <c r="P768">
        <v>1594.22</v>
      </c>
      <c r="Q768">
        <f>IF(ISBLANK(QC!D12),"",QC!D12)</f>
        <v>1594.22</v>
      </c>
      <c r="R768">
        <f>IF(ISNUMBER(QC!D12),IF(ABS(QC!D12-P768)&lt;=0.000000000001*MAX(1,ABS(P768)),0,1),1)</f>
        <v>0</v>
      </c>
    </row>
    <row r="769" spans="15:18" x14ac:dyDescent="0.45">
      <c r="O769" s="8" t="s">
        <v>2530</v>
      </c>
      <c r="P769">
        <v>1699.6949999999999</v>
      </c>
      <c r="Q769">
        <f>IF(ISBLANK(QC!D13),"",QC!D13)</f>
        <v>1699.6949999999999</v>
      </c>
      <c r="R769">
        <f>IF(ISNUMBER(QC!D13),IF(ABS(QC!D13-P769)&lt;=0.000000000001*MAX(1,ABS(P769)),0,1),1)</f>
        <v>0</v>
      </c>
    </row>
    <row r="770" spans="15:18" x14ac:dyDescent="0.45">
      <c r="O770" s="8" t="s">
        <v>2531</v>
      </c>
      <c r="P770">
        <v>1593.47</v>
      </c>
      <c r="Q770">
        <f>IF(ISBLANK(QC!D14),"",QC!D14)</f>
        <v>1593.47</v>
      </c>
      <c r="R770">
        <f>IF(ISNUMBER(QC!D14),IF(ABS(QC!D14-P770)&lt;=0.000000000001*MAX(1,ABS(P770)),0,1),1)</f>
        <v>0</v>
      </c>
    </row>
    <row r="771" spans="15:18" x14ac:dyDescent="0.45">
      <c r="O771" s="8" t="s">
        <v>2532</v>
      </c>
      <c r="P771">
        <v>1700.4449999999999</v>
      </c>
      <c r="Q771">
        <f>IF(ISBLANK(QC!D15),"",QC!D15)</f>
        <v>1700.4449999999999</v>
      </c>
      <c r="R771">
        <f>IF(ISNUMBER(QC!D15),IF(ABS(QC!D15-P771)&lt;=0.000000000001*MAX(1,ABS(P771)),0,1),1)</f>
        <v>0</v>
      </c>
    </row>
    <row r="772" spans="15:18" x14ac:dyDescent="0.45">
      <c r="O772" s="8" t="s">
        <v>2533</v>
      </c>
      <c r="P772">
        <v>47.665998835584539</v>
      </c>
      <c r="Q772">
        <f>IF(ISBLANK(QC!D16),"",QC!D16)</f>
        <v>47.665998835584539</v>
      </c>
      <c r="R772">
        <f>IF(ISNUMBER(QC!D16),IF(ABS(QC!D16-P772)&lt;=0.000000000001*MAX(1,ABS(P772)),0,1),1)</f>
        <v>0</v>
      </c>
    </row>
    <row r="773" spans="15:18" x14ac:dyDescent="0.45">
      <c r="O773" s="8" t="s">
        <v>2534</v>
      </c>
      <c r="P773">
        <v>48.193251018863528</v>
      </c>
      <c r="Q773">
        <f>IF(ISBLANK(QC!D17),"",QC!D17)</f>
        <v>48.193251018863528</v>
      </c>
      <c r="R773">
        <f>IF(ISNUMBER(QC!D17),IF(ABS(QC!D17-P773)&lt;=0.000000000001*MAX(1,ABS(P773)),0,1),1)</f>
        <v>0</v>
      </c>
    </row>
    <row r="774" spans="15:18" x14ac:dyDescent="0.45">
      <c r="O774" s="8" t="s">
        <v>2535</v>
      </c>
      <c r="P774">
        <v>1701.4449999999999</v>
      </c>
      <c r="Q774">
        <f>IF(ISBLANK(QC!D18),"",QC!D18)</f>
        <v>1701.4449999999999</v>
      </c>
      <c r="R774">
        <f>IF(ISNUMBER(QC!D18),IF(ABS(QC!D18-P774)&lt;=0.000000000001*MAX(1,ABS(P774)),0,1),1)</f>
        <v>0</v>
      </c>
    </row>
    <row r="775" spans="15:18" x14ac:dyDescent="0.45">
      <c r="O775" s="8" t="s">
        <v>2536</v>
      </c>
      <c r="P775">
        <v>1804.47</v>
      </c>
      <c r="Q775">
        <f>IF(ISBLANK(QC!D19),"",QC!D19)</f>
        <v>1804.47</v>
      </c>
      <c r="R775">
        <f>IF(ISNUMBER(QC!D19),IF(ABS(QC!D19-P775)&lt;=0.000000000001*MAX(1,ABS(P775)),0,1),1)</f>
        <v>0</v>
      </c>
    </row>
    <row r="776" spans="15:18" x14ac:dyDescent="0.45">
      <c r="O776" s="8" t="s">
        <v>2537</v>
      </c>
      <c r="P776">
        <v>1700.6949999999999</v>
      </c>
      <c r="Q776">
        <f>IF(ISBLANK(QC!D20),"",QC!D20)</f>
        <v>1700.6949999999999</v>
      </c>
      <c r="R776">
        <f>IF(ISNUMBER(QC!D20),IF(ABS(QC!D20-P776)&lt;=0.000000000001*MAX(1,ABS(P776)),0,1),1)</f>
        <v>0</v>
      </c>
    </row>
    <row r="777" spans="15:18" x14ac:dyDescent="0.45">
      <c r="O777" s="8" t="s">
        <v>2538</v>
      </c>
      <c r="P777">
        <v>1805.22</v>
      </c>
      <c r="Q777">
        <f>IF(ISBLANK(QC!D21),"",QC!D21)</f>
        <v>1805.22</v>
      </c>
      <c r="R777">
        <f>IF(ISNUMBER(QC!D21),IF(ABS(QC!D21-P777)&lt;=0.000000000001*MAX(1,ABS(P777)),0,1),1)</f>
        <v>0</v>
      </c>
    </row>
    <row r="778" spans="15:18" x14ac:dyDescent="0.45">
      <c r="O778" s="8" t="s">
        <v>2539</v>
      </c>
      <c r="P778">
        <v>48.193248957340323</v>
      </c>
      <c r="Q778">
        <f>IF(ISBLANK(QC!D22),"",QC!D22)</f>
        <v>48.193248957340323</v>
      </c>
      <c r="R778">
        <f>IF(ISNUMBER(QC!D22),IF(ABS(QC!D22-P778)&lt;=0.000000000001*MAX(1,ABS(P778)),0,1),1)</f>
        <v>0</v>
      </c>
    </row>
    <row r="779" spans="15:18" x14ac:dyDescent="0.45">
      <c r="O779" s="8" t="s">
        <v>2540</v>
      </c>
      <c r="P779">
        <v>47.67800119161106</v>
      </c>
      <c r="Q779">
        <f>IF(ISBLANK(QC!D23),"",QC!D23)</f>
        <v>47.67800119161106</v>
      </c>
      <c r="R779">
        <f>IF(ISNUMBER(QC!D23),IF(ABS(QC!D23-P779)&lt;=0.000000000001*MAX(1,ABS(P779)),0,1),1)</f>
        <v>0</v>
      </c>
    </row>
    <row r="780" spans="15:18" x14ac:dyDescent="0.45">
      <c r="O780" s="8" t="s">
        <v>2541</v>
      </c>
      <c r="P780">
        <v>0.49999999999999822</v>
      </c>
      <c r="Q780">
        <f>IF(ISBLANK(QC!D24),"",QC!D24)</f>
        <v>0.49999999999999822</v>
      </c>
      <c r="R780">
        <f>IF(ISNUMBER(QC!D24),IF(ABS(QC!D24-P780)&lt;=0.000000000001*MAX(1,ABS(P780)),0,1),1)</f>
        <v>0</v>
      </c>
    </row>
    <row r="781" spans="15:18" x14ac:dyDescent="0.45">
      <c r="O781" s="8" t="s">
        <v>2542</v>
      </c>
      <c r="P781">
        <v>1.54717146305498</v>
      </c>
      <c r="Q781">
        <f>IF(ISBLANK(QC!D25),"",QC!D25)</f>
        <v>1.54717146305498</v>
      </c>
      <c r="R781">
        <f>IF(ISNUMBER(QC!D25),IF(ABS(QC!D25-P781)&lt;=0.000000000001*MAX(1,ABS(P781)),0,1),1)</f>
        <v>0</v>
      </c>
    </row>
    <row r="782" spans="15:18" x14ac:dyDescent="0.45">
      <c r="O782" s="8" t="s">
        <v>2543</v>
      </c>
      <c r="P782">
        <v>1.06717146305499</v>
      </c>
      <c r="Q782">
        <f>IF(ISBLANK(QC!D26),"",QC!D26)</f>
        <v>1.06717146305499</v>
      </c>
      <c r="R782">
        <f>IF(ISNUMBER(QC!D26),IF(ABS(QC!D26-P782)&lt;=0.000000000001*MAX(1,ABS(P782)),0,1),1)</f>
        <v>0</v>
      </c>
    </row>
    <row r="783" spans="15:18" x14ac:dyDescent="0.45">
      <c r="O783" s="8" t="s">
        <v>2544</v>
      </c>
      <c r="P783">
        <v>1.422578719048289</v>
      </c>
      <c r="Q783">
        <f>IF(ISBLANK(QC!D27),"",QC!D27)</f>
        <v>1.422578719048289</v>
      </c>
      <c r="R783">
        <f>IF(ISNUMBER(QC!D27),IF(ABS(QC!D27-P783)&lt;=0.000000000001*MAX(1,ABS(P783)),0,1),1)</f>
        <v>0</v>
      </c>
    </row>
    <row r="784" spans="15:18" x14ac:dyDescent="0.45">
      <c r="O784" s="8" t="s">
        <v>2545</v>
      </c>
      <c r="P784">
        <v>0.94257871904829926</v>
      </c>
      <c r="Q784">
        <f>IF(ISBLANK(QC!D28),"",QC!D28)</f>
        <v>0.94257871904829926</v>
      </c>
      <c r="R784">
        <f>IF(ISNUMBER(QC!D28),IF(ABS(QC!D28-P784)&lt;=0.000000000001*MAX(1,ABS(P784)),0,1),1)</f>
        <v>0</v>
      </c>
    </row>
    <row r="785" spans="15:18" x14ac:dyDescent="0.45">
      <c r="O785" s="8" t="s">
        <v>2546</v>
      </c>
      <c r="P785">
        <v>1.54717146305498</v>
      </c>
      <c r="Q785">
        <f>IF(ISBLANK(QC!D29),"",QC!D29)</f>
        <v>1.54717146305498</v>
      </c>
      <c r="R785">
        <f>IF(ISNUMBER(QC!D29),IF(ABS(QC!D29-P785)&lt;=0.000000000001*MAX(1,ABS(P785)),0,1),1)</f>
        <v>0</v>
      </c>
    </row>
    <row r="786" spans="15:18" x14ac:dyDescent="0.45">
      <c r="O786" s="8" t="s">
        <v>2547</v>
      </c>
      <c r="P786">
        <v>1.06717146305499</v>
      </c>
      <c r="Q786">
        <f>IF(ISBLANK(QC!D30),"",QC!D30)</f>
        <v>1.06717146305499</v>
      </c>
      <c r="R786">
        <f>IF(ISNUMBER(QC!D30),IF(ABS(QC!D30-P786)&lt;=0.000000000001*MAX(1,ABS(P786)),0,1),1)</f>
        <v>0</v>
      </c>
    </row>
    <row r="787" spans="15:18" x14ac:dyDescent="0.45">
      <c r="O787" s="8" t="s">
        <v>2548</v>
      </c>
      <c r="P787">
        <v>1.54717146305498</v>
      </c>
      <c r="Q787">
        <f>IF(ISBLANK(QC!D31),"",QC!D31)</f>
        <v>1.54717146305498</v>
      </c>
      <c r="R787">
        <f>IF(ISNUMBER(QC!D31),IF(ABS(QC!D31-P787)&lt;=0.000000000001*MAX(1,ABS(P787)),0,1),1)</f>
        <v>0</v>
      </c>
    </row>
    <row r="788" spans="15:18" x14ac:dyDescent="0.45">
      <c r="O788" s="8" t="s">
        <v>2549</v>
      </c>
      <c r="P788">
        <v>1.06717146305499</v>
      </c>
      <c r="Q788">
        <f>IF(ISBLANK(QC!D32),"",QC!D32)</f>
        <v>1.06717146305499</v>
      </c>
      <c r="R788">
        <f>IF(ISNUMBER(QC!D32),IF(ABS(QC!D32-P788)&lt;=0.000000000001*MAX(1,ABS(P788)),0,1),1)</f>
        <v>0</v>
      </c>
    </row>
    <row r="789" spans="15:18" x14ac:dyDescent="0.45">
      <c r="O789" s="8" t="s">
        <v>2550</v>
      </c>
      <c r="P789">
        <v>1.422578719048289</v>
      </c>
      <c r="Q789">
        <f>IF(ISBLANK(QC!D33),"",QC!D33)</f>
        <v>1.422578719048289</v>
      </c>
      <c r="R789">
        <f>IF(ISNUMBER(QC!D33),IF(ABS(QC!D33-P789)&lt;=0.000000000001*MAX(1,ABS(P789)),0,1),1)</f>
        <v>0</v>
      </c>
    </row>
    <row r="790" spans="15:18" x14ac:dyDescent="0.45">
      <c r="O790" s="8" t="s">
        <v>2551</v>
      </c>
      <c r="P790">
        <v>0.94257871904829926</v>
      </c>
      <c r="Q790">
        <f>IF(ISBLANK(QC!D34),"",QC!D34)</f>
        <v>0.94257871904829926</v>
      </c>
      <c r="R790">
        <f>IF(ISNUMBER(QC!D34),IF(ABS(QC!D34-P790)&lt;=0.000000000001*MAX(1,ABS(P790)),0,1),1)</f>
        <v>0</v>
      </c>
    </row>
    <row r="791" spans="15:18" x14ac:dyDescent="0.45">
      <c r="O791" s="8" t="s">
        <v>2552</v>
      </c>
      <c r="P791">
        <v>1.54717146305498</v>
      </c>
      <c r="Q791">
        <f>IF(ISBLANK(QC!D35),"",QC!D35)</f>
        <v>1.54717146305498</v>
      </c>
      <c r="R791">
        <f>IF(ISNUMBER(QC!D35),IF(ABS(QC!D35-P791)&lt;=0.000000000001*MAX(1,ABS(P791)),0,1),1)</f>
        <v>0</v>
      </c>
    </row>
    <row r="792" spans="15:18" x14ac:dyDescent="0.45">
      <c r="O792" s="8" t="s">
        <v>2553</v>
      </c>
      <c r="P792">
        <v>1.06717146305499</v>
      </c>
      <c r="Q792">
        <f>IF(ISBLANK(QC!D36),"",QC!D36)</f>
        <v>1.06717146305499</v>
      </c>
      <c r="R792">
        <f>IF(ISNUMBER(QC!D36),IF(ABS(QC!D36-P792)&lt;=0.000000000001*MAX(1,ABS(P792)),0,1),1)</f>
        <v>0</v>
      </c>
    </row>
    <row r="793" spans="15:18" x14ac:dyDescent="0.45">
      <c r="O793" s="8" t="s">
        <v>2554</v>
      </c>
      <c r="P793">
        <v>1.54717146305498</v>
      </c>
      <c r="Q793">
        <f>IF(ISBLANK(QC!D37),"",QC!D37)</f>
        <v>1.54717146305498</v>
      </c>
      <c r="R793">
        <f>IF(ISNUMBER(QC!D37),IF(ABS(QC!D37-P793)&lt;=0.000000000001*MAX(1,ABS(P793)),0,1),1)</f>
        <v>0</v>
      </c>
    </row>
    <row r="794" spans="15:18" x14ac:dyDescent="0.45">
      <c r="O794" s="8" t="s">
        <v>2555</v>
      </c>
      <c r="P794">
        <v>1.06717146305499</v>
      </c>
      <c r="Q794">
        <f>IF(ISBLANK(QC!D38),"",QC!D38)</f>
        <v>1.06717146305499</v>
      </c>
      <c r="R794">
        <f>IF(ISNUMBER(QC!D38),IF(ABS(QC!D38-P794)&lt;=0.000000000001*MAX(1,ABS(P794)),0,1),1)</f>
        <v>0</v>
      </c>
    </row>
    <row r="795" spans="15:18" x14ac:dyDescent="0.45">
      <c r="O795" s="8" t="s">
        <v>2556</v>
      </c>
      <c r="P795">
        <v>0.97999999999996135</v>
      </c>
      <c r="Q795">
        <f>IF(ISBLANK(QC!D39),"",QC!D39)</f>
        <v>0.97999999999996135</v>
      </c>
      <c r="R795">
        <f>IF(ISNUMBER(QC!D39),IF(ABS(QC!D39-P795)&lt;=0.000000000001*MAX(1,ABS(P795)),0,1),1)</f>
        <v>0</v>
      </c>
    </row>
    <row r="796" spans="15:18" x14ac:dyDescent="0.45">
      <c r="O796" s="8" t="s">
        <v>2557</v>
      </c>
      <c r="P796">
        <v>0.49999999999997158</v>
      </c>
      <c r="Q796">
        <f>IF(ISBLANK(QC!D40),"",QC!D40)</f>
        <v>0.49999999999997158</v>
      </c>
      <c r="R796">
        <f>IF(ISNUMBER(QC!D40),IF(ABS(QC!D40-P796)&lt;=0.000000000001*MAX(1,ABS(P796)),0,1),1)</f>
        <v>0</v>
      </c>
    </row>
    <row r="797" spans="15:18" x14ac:dyDescent="0.45">
      <c r="O797" s="8" t="s">
        <v>2558</v>
      </c>
      <c r="P797">
        <v>1.54717146305498</v>
      </c>
      <c r="Q797">
        <f>IF(ISBLANK(QC!D41),"",QC!D41)</f>
        <v>1.54717146305498</v>
      </c>
      <c r="R797">
        <f>IF(ISNUMBER(QC!D41),IF(ABS(QC!D41-P797)&lt;=0.000000000001*MAX(1,ABS(P797)),0,1),1)</f>
        <v>0</v>
      </c>
    </row>
    <row r="798" spans="15:18" x14ac:dyDescent="0.45">
      <c r="O798" s="8" t="s">
        <v>2559</v>
      </c>
      <c r="P798">
        <v>1.06717146305499</v>
      </c>
      <c r="Q798">
        <f>IF(ISBLANK(QC!D42),"",QC!D42)</f>
        <v>1.06717146305499</v>
      </c>
      <c r="R798">
        <f>IF(ISNUMBER(QC!D42),IF(ABS(QC!D42-P798)&lt;=0.000000000001*MAX(1,ABS(P798)),0,1),1)</f>
        <v>0</v>
      </c>
    </row>
    <row r="799" spans="15:18" x14ac:dyDescent="0.45">
      <c r="O799" s="8" t="s">
        <v>2560</v>
      </c>
      <c r="P799">
        <v>1.54717146305498</v>
      </c>
      <c r="Q799">
        <f>IF(ISBLANK(QC!D43),"",QC!D43)</f>
        <v>1.54717146305498</v>
      </c>
      <c r="R799">
        <f>IF(ISNUMBER(QC!D43),IF(ABS(QC!D43-P799)&lt;=0.000000000001*MAX(1,ABS(P799)),0,1),1)</f>
        <v>0</v>
      </c>
    </row>
    <row r="800" spans="15:18" x14ac:dyDescent="0.45">
      <c r="O800" s="8" t="s">
        <v>2561</v>
      </c>
      <c r="P800">
        <v>1.06717146305499</v>
      </c>
      <c r="Q800">
        <f>IF(ISBLANK(QC!D44),"",QC!D44)</f>
        <v>1.06717146305499</v>
      </c>
      <c r="R800">
        <f>IF(ISNUMBER(QC!D44),IF(ABS(QC!D44-P800)&lt;=0.000000000001*MAX(1,ABS(P800)),0,1),1)</f>
        <v>0</v>
      </c>
    </row>
    <row r="801" spans="15:18" x14ac:dyDescent="0.45">
      <c r="O801" s="8" t="s">
        <v>2562</v>
      </c>
      <c r="P801">
        <v>0.97999999999996135</v>
      </c>
      <c r="Q801">
        <f>IF(ISBLANK(QC!D45),"",QC!D45)</f>
        <v>0.97999999999996135</v>
      </c>
      <c r="R801">
        <f>IF(ISNUMBER(QC!D45),IF(ABS(QC!D45-P801)&lt;=0.000000000001*MAX(1,ABS(P801)),0,1),1)</f>
        <v>0</v>
      </c>
    </row>
    <row r="802" spans="15:18" x14ac:dyDescent="0.45">
      <c r="O802" s="8" t="s">
        <v>2563</v>
      </c>
      <c r="P802">
        <v>0.49999999999997158</v>
      </c>
      <c r="Q802">
        <f>IF(ISBLANK(QC!D46),"",QC!D46)</f>
        <v>0.49999999999997158</v>
      </c>
      <c r="R802">
        <f>IF(ISNUMBER(QC!D46),IF(ABS(QC!D46-P802)&lt;=0.000000000001*MAX(1,ABS(P802)),0,1),1)</f>
        <v>0</v>
      </c>
    </row>
    <row r="803" spans="15:18" x14ac:dyDescent="0.45">
      <c r="O803" s="8" t="s">
        <v>2564</v>
      </c>
      <c r="P803">
        <v>1.54717146305498</v>
      </c>
      <c r="Q803">
        <f>IF(ISBLANK(QC!D47),"",QC!D47)</f>
        <v>1.54717146305498</v>
      </c>
      <c r="R803">
        <f>IF(ISNUMBER(QC!D47),IF(ABS(QC!D47-P803)&lt;=0.000000000001*MAX(1,ABS(P803)),0,1),1)</f>
        <v>0</v>
      </c>
    </row>
    <row r="804" spans="15:18" x14ac:dyDescent="0.45">
      <c r="O804" s="8" t="s">
        <v>2565</v>
      </c>
      <c r="P804">
        <v>1.06717146305499</v>
      </c>
      <c r="Q804">
        <f>IF(ISBLANK(QC!D48),"",QC!D48)</f>
        <v>1.06717146305499</v>
      </c>
      <c r="R804">
        <f>IF(ISNUMBER(QC!D48),IF(ABS(QC!D48-P804)&lt;=0.000000000001*MAX(1,ABS(P804)),0,1),1)</f>
        <v>0</v>
      </c>
    </row>
    <row r="805" spans="15:18" x14ac:dyDescent="0.45">
      <c r="O805" s="8" t="s">
        <v>2566</v>
      </c>
      <c r="P805">
        <v>43.76493990975893</v>
      </c>
      <c r="Q805">
        <f>IF(ISBLANK(QC!D49),"",QC!D49)</f>
        <v>43.76493990975893</v>
      </c>
      <c r="R805">
        <f>IF(ISNUMBER(QC!D49),IF(ABS(QC!D49-P805)&lt;=0.000000000001*MAX(1,ABS(P805)),0,1),1)</f>
        <v>0</v>
      </c>
    </row>
    <row r="806" spans="15:18" x14ac:dyDescent="0.45">
      <c r="O806" s="8" t="s">
        <v>2567</v>
      </c>
      <c r="P806">
        <v>1700.57</v>
      </c>
      <c r="Q806">
        <f>IF(ISBLANK(QC!D50),"",QC!D50)</f>
        <v>1700.57</v>
      </c>
      <c r="R806">
        <f>IF(ISNUMBER(QC!D50),IF(ABS(QC!D50-P806)&lt;=0.000000000001*MAX(1,ABS(P806)),0,1),1)</f>
        <v>0</v>
      </c>
    </row>
    <row r="807" spans="15:18" x14ac:dyDescent="0.45">
      <c r="O807" s="8" t="s">
        <v>2568</v>
      </c>
      <c r="P807">
        <v>19.166666666666671</v>
      </c>
      <c r="Q807">
        <f>IF(ISBLANK(QC!D51),"",QC!D51)</f>
        <v>19.166666666666671</v>
      </c>
      <c r="R807">
        <f>IF(ISNUMBER(QC!D51),IF(ABS(QC!D51-P807)&lt;=0.000000000001*MAX(1,ABS(P807)),0,1),1)</f>
        <v>0</v>
      </c>
    </row>
    <row r="808" spans="15:18" x14ac:dyDescent="0.45">
      <c r="O808" s="8" t="s">
        <v>2569</v>
      </c>
      <c r="P808">
        <v>44.264944415497133</v>
      </c>
      <c r="Q808">
        <f>IF(ISBLANK(QC!D52),"",QC!D52)</f>
        <v>44.264944415497133</v>
      </c>
      <c r="R808">
        <f>IF(ISNUMBER(QC!D52),IF(ABS(QC!D52-P808)&lt;=0.000000000001*MAX(1,ABS(P808)),0,1),1)</f>
        <v>0</v>
      </c>
    </row>
    <row r="809" spans="15:18" x14ac:dyDescent="0.45">
      <c r="O809" s="8" t="s">
        <v>2570</v>
      </c>
      <c r="P809">
        <v>4.6050843195928337E-3</v>
      </c>
      <c r="Q809">
        <f>IF(ISBLANK(QC!D53),"",QC!D53)</f>
        <v>4.6050843195928337E-3</v>
      </c>
      <c r="R809">
        <f>IF(ISNUMBER(QC!D53),IF(ABS(QC!D53-P809)&lt;=0.000000000001*MAX(1,ABS(P809)),0,1),1)</f>
        <v>0</v>
      </c>
    </row>
    <row r="810" spans="15:18" x14ac:dyDescent="0.45">
      <c r="O810" s="8" t="s">
        <v>2571</v>
      </c>
      <c r="P810">
        <v>44.478486082163798</v>
      </c>
      <c r="Q810">
        <f>IF(ISBLANK(QC!D54),"",QC!D54)</f>
        <v>44.478486082163798</v>
      </c>
      <c r="R810">
        <f>IF(ISNUMBER(QC!D54),IF(ABS(QC!D54-P810)&lt;=0.000000000001*MAX(1,ABS(P810)),0,1),1)</f>
        <v>0</v>
      </c>
    </row>
    <row r="811" spans="15:18" x14ac:dyDescent="0.45">
      <c r="O811" s="8" t="s">
        <v>2572</v>
      </c>
      <c r="P811">
        <v>6.0000540688584456</v>
      </c>
      <c r="Q811">
        <f>IF(ISBLANK(QC!D55),"",QC!D55)</f>
        <v>6.0000540688584456</v>
      </c>
      <c r="R811">
        <f>IF(ISNUMBER(QC!D55),IF(ABS(QC!D55-P811)&lt;=0.000000000001*MAX(1,ABS(P811)),0,1),1)</f>
        <v>0</v>
      </c>
    </row>
    <row r="812" spans="15:18" x14ac:dyDescent="0.45">
      <c r="O812" s="8" t="s">
        <v>2573</v>
      </c>
      <c r="P812">
        <v>44.264944415497133</v>
      </c>
      <c r="Q812">
        <f>IF(ISBLANK(QC!D56),"",QC!D56)</f>
        <v>44.264944415497133</v>
      </c>
      <c r="R812">
        <f>IF(ISNUMBER(QC!D56),IF(ABS(QC!D56-P812)&lt;=0.000000000001*MAX(1,ABS(P812)),0,1),1)</f>
        <v>0</v>
      </c>
    </row>
    <row r="813" spans="15:18" x14ac:dyDescent="0.45">
      <c r="O813" s="8" t="s">
        <v>2574</v>
      </c>
      <c r="P813">
        <v>4.6050843195928337E-3</v>
      </c>
      <c r="Q813">
        <f>IF(ISBLANK(QC!D57),"",QC!D57)</f>
        <v>4.6050843195928337E-3</v>
      </c>
      <c r="R813">
        <f>IF(ISNUMBER(QC!D57),IF(ABS(QC!D57-P813)&lt;=0.000000000001*MAX(1,ABS(P813)),0,1),1)</f>
        <v>0</v>
      </c>
    </row>
    <row r="814" spans="15:18" x14ac:dyDescent="0.45">
      <c r="O814" s="8" t="s">
        <v>2575</v>
      </c>
      <c r="P814">
        <v>44.478486082163798</v>
      </c>
      <c r="Q814">
        <f>IF(ISBLANK(QC!D58),"",QC!D58)</f>
        <v>44.478486082163798</v>
      </c>
      <c r="R814">
        <f>IF(ISNUMBER(QC!D58),IF(ABS(QC!D58-P814)&lt;=0.000000000001*MAX(1,ABS(P814)),0,1),1)</f>
        <v>0</v>
      </c>
    </row>
    <row r="815" spans="15:18" x14ac:dyDescent="0.45">
      <c r="O815" s="8" t="s">
        <v>2576</v>
      </c>
      <c r="P815">
        <v>6.0000540688584456</v>
      </c>
      <c r="Q815">
        <f>IF(ISBLANK(QC!D59),"",QC!D59)</f>
        <v>6.0000540688584456</v>
      </c>
      <c r="R815">
        <f>IF(ISNUMBER(QC!D59),IF(ABS(QC!D59-P815)&lt;=0.000000000001*MAX(1,ABS(P815)),0,1),1)</f>
        <v>0</v>
      </c>
    </row>
    <row r="816" spans="15:18" x14ac:dyDescent="0.45">
      <c r="O816" s="8" t="s">
        <v>2577</v>
      </c>
      <c r="P816">
        <v>44.26493990975893</v>
      </c>
      <c r="Q816">
        <f>IF(ISBLANK(QC!D60),"",QC!D60)</f>
        <v>44.26493990975893</v>
      </c>
      <c r="R816">
        <f>IF(ISNUMBER(QC!D60),IF(ABS(QC!D60-P816)&lt;=0.000000000001*MAX(1,ABS(P816)),0,1),1)</f>
        <v>0</v>
      </c>
    </row>
    <row r="817" spans="15:18" x14ac:dyDescent="0.45">
      <c r="O817" s="8" t="s">
        <v>2578</v>
      </c>
      <c r="P817">
        <v>-3.1661306612846829E-3</v>
      </c>
      <c r="Q817">
        <f>IF(ISBLANK(QC!D61),"",QC!D61)</f>
        <v>-3.1661306612846829E-3</v>
      </c>
      <c r="R817">
        <f>IF(ISNUMBER(QC!D61),IF(ABS(QC!D61-P817)&lt;=0.000000000001*MAX(1,ABS(P817)),0,1),1)</f>
        <v>0</v>
      </c>
    </row>
    <row r="818" spans="15:18" x14ac:dyDescent="0.45">
      <c r="O818" s="8" t="s">
        <v>2579</v>
      </c>
      <c r="P818">
        <v>44.478481576425587</v>
      </c>
      <c r="Q818">
        <f>IF(ISBLANK(QC!D62),"",QC!D62)</f>
        <v>44.478481576425587</v>
      </c>
      <c r="R818">
        <f>IF(ISNUMBER(QC!D62),IF(ABS(QC!D62-P818)&lt;=0.000000000001*MAX(1,ABS(P818)),0,1),1)</f>
        <v>0</v>
      </c>
    </row>
    <row r="819" spans="15:18" x14ac:dyDescent="0.45">
      <c r="O819" s="8" t="s">
        <v>2580</v>
      </c>
      <c r="P819">
        <v>6</v>
      </c>
      <c r="Q819">
        <f>IF(ISBLANK(QC!D63),"",QC!D63)</f>
        <v>6</v>
      </c>
      <c r="R819">
        <f>IF(ISNUMBER(QC!D63),IF(ABS(QC!D63-P819)&lt;=0.000000000001*MAX(1,ABS(P819)),0,1),1)</f>
        <v>0</v>
      </c>
    </row>
    <row r="820" spans="15:18" x14ac:dyDescent="0.45">
      <c r="O820" s="8" t="s">
        <v>2581</v>
      </c>
      <c r="P820">
        <v>44.26493990975893</v>
      </c>
      <c r="Q820">
        <f>IF(ISBLANK(QC!D64),"",QC!D64)</f>
        <v>44.26493990975893</v>
      </c>
      <c r="R820">
        <f>IF(ISNUMBER(QC!D64),IF(ABS(QC!D64-P820)&lt;=0.000000000001*MAX(1,ABS(P820)),0,1),1)</f>
        <v>0</v>
      </c>
    </row>
    <row r="821" spans="15:18" x14ac:dyDescent="0.45">
      <c r="O821" s="8" t="s">
        <v>2582</v>
      </c>
      <c r="P821">
        <v>-3.1661306612846829E-3</v>
      </c>
      <c r="Q821">
        <f>IF(ISBLANK(QC!D65),"",QC!D65)</f>
        <v>-3.1661306612846829E-3</v>
      </c>
      <c r="R821">
        <f>IF(ISNUMBER(QC!D65),IF(ABS(QC!D65-P821)&lt;=0.000000000001*MAX(1,ABS(P821)),0,1),1)</f>
        <v>0</v>
      </c>
    </row>
    <row r="822" spans="15:18" x14ac:dyDescent="0.45">
      <c r="O822" s="8" t="s">
        <v>2583</v>
      </c>
      <c r="P822">
        <v>44.478481576425587</v>
      </c>
      <c r="Q822">
        <f>IF(ISBLANK(QC!D66),"",QC!D66)</f>
        <v>44.478481576425587</v>
      </c>
      <c r="R822">
        <f>IF(ISNUMBER(QC!D66),IF(ABS(QC!D66-P822)&lt;=0.000000000001*MAX(1,ABS(P822)),0,1),1)</f>
        <v>0</v>
      </c>
    </row>
    <row r="823" spans="15:18" x14ac:dyDescent="0.45">
      <c r="O823" s="8" t="s">
        <v>2584</v>
      </c>
      <c r="P823">
        <v>6</v>
      </c>
      <c r="Q823">
        <f>IF(ISBLANK(QC!D67),"",QC!D67)</f>
        <v>6</v>
      </c>
      <c r="R823">
        <f>IF(ISNUMBER(QC!D67),IF(ABS(QC!D67-P823)&lt;=0.000000000001*MAX(1,ABS(P823)),0,1),1)</f>
        <v>0</v>
      </c>
    </row>
    <row r="824" spans="15:18" x14ac:dyDescent="0.45">
      <c r="O824" s="8" t="s">
        <v>2585</v>
      </c>
      <c r="P824">
        <v>-7.5</v>
      </c>
      <c r="Q824">
        <f>IF(ISBLANK(QC!D68),"",QC!D68)</f>
        <v>-7.5</v>
      </c>
      <c r="R824">
        <f>IF(ISNUMBER(QC!D68),IF(ABS(QC!D68-P824)&lt;=0.000000000001*MAX(1,ABS(P824)),0,1),1)</f>
        <v>0</v>
      </c>
    </row>
    <row r="825" spans="15:18" x14ac:dyDescent="0.45">
      <c r="O825" s="8" t="s">
        <v>2586</v>
      </c>
      <c r="P825">
        <v>41.76493990975893</v>
      </c>
      <c r="Q825">
        <f>IF(ISBLANK(QC!D69),"",QC!D69)</f>
        <v>41.76493990975893</v>
      </c>
      <c r="R825">
        <f>IF(ISNUMBER(QC!D69),IF(ABS(QC!D69-P825)&lt;=0.000000000001*MAX(1,ABS(P825)),0,1),1)</f>
        <v>0</v>
      </c>
    </row>
    <row r="826" spans="15:18" x14ac:dyDescent="0.45">
      <c r="O826" s="8" t="s">
        <v>2587</v>
      </c>
      <c r="P826">
        <v>-2.5</v>
      </c>
      <c r="Q826">
        <f>IF(ISBLANK(QC!D70),"",QC!D70)</f>
        <v>-2.5</v>
      </c>
      <c r="R826">
        <f>IF(ISNUMBER(QC!D70),IF(ABS(QC!D70-P826)&lt;=0.000000000001*MAX(1,ABS(P826)),0,1),1)</f>
        <v>0</v>
      </c>
    </row>
    <row r="827" spans="15:18" x14ac:dyDescent="0.45">
      <c r="O827" s="8" t="s">
        <v>2588</v>
      </c>
      <c r="P827">
        <v>41.76493990975893</v>
      </c>
      <c r="Q827">
        <f>IF(ISBLANK(QC!D71),"",QC!D71)</f>
        <v>41.76493990975893</v>
      </c>
      <c r="R827">
        <f>IF(ISNUMBER(QC!D71),IF(ABS(QC!D71-P827)&lt;=0.000000000001*MAX(1,ABS(P827)),0,1),1)</f>
        <v>0</v>
      </c>
    </row>
    <row r="828" spans="15:18" x14ac:dyDescent="0.45">
      <c r="O828" s="8" t="s">
        <v>2589</v>
      </c>
      <c r="P828">
        <v>2.5</v>
      </c>
      <c r="Q828">
        <f>IF(ISBLANK(QC!D72),"",QC!D72)</f>
        <v>2.5</v>
      </c>
      <c r="R828">
        <f>IF(ISNUMBER(QC!D72),IF(ABS(QC!D72-P828)&lt;=0.000000000001*MAX(1,ABS(P828)),0,1),1)</f>
        <v>0</v>
      </c>
    </row>
    <row r="829" spans="15:18" x14ac:dyDescent="0.45">
      <c r="O829" s="8" t="s">
        <v>2590</v>
      </c>
      <c r="P829">
        <v>41.76493990975893</v>
      </c>
      <c r="Q829">
        <f>IF(ISBLANK(QC!D73),"",QC!D73)</f>
        <v>41.76493990975893</v>
      </c>
      <c r="R829">
        <f>IF(ISNUMBER(QC!D73),IF(ABS(QC!D73-P829)&lt;=0.000000000001*MAX(1,ABS(P829)),0,1),1)</f>
        <v>0</v>
      </c>
    </row>
    <row r="830" spans="15:18" x14ac:dyDescent="0.45">
      <c r="O830" s="8" t="s">
        <v>2591</v>
      </c>
      <c r="P830">
        <v>7.5</v>
      </c>
      <c r="Q830">
        <f>IF(ISBLANK(QC!D74),"",QC!D74)</f>
        <v>7.5</v>
      </c>
      <c r="R830">
        <f>IF(ISNUMBER(QC!D74),IF(ABS(QC!D74-P830)&lt;=0.000000000001*MAX(1,ABS(P830)),0,1),1)</f>
        <v>0</v>
      </c>
    </row>
    <row r="831" spans="15:18" x14ac:dyDescent="0.45">
      <c r="O831" s="8" t="s">
        <v>2592</v>
      </c>
      <c r="P831">
        <v>41.76493990975893</v>
      </c>
      <c r="Q831">
        <f>IF(ISBLANK(QC!D75),"",QC!D75)</f>
        <v>41.76493990975893</v>
      </c>
      <c r="R831">
        <f>IF(ISNUMBER(QC!D75),IF(ABS(QC!D75-P831)&lt;=0.000000000001*MAX(1,ABS(P831)),0,1),1)</f>
        <v>0</v>
      </c>
    </row>
    <row r="832" spans="15:18" x14ac:dyDescent="0.45">
      <c r="O832" s="8" t="s">
        <v>2593</v>
      </c>
      <c r="P832">
        <v>44.259763695637588</v>
      </c>
      <c r="Q832">
        <f>IF(ISBLANK(QC!D76),"",QC!D76)</f>
        <v>44.259763695637588</v>
      </c>
      <c r="R832">
        <f>IF(ISNUMBER(QC!D76),IF(ABS(QC!D76-P832)&lt;=0.000000000001*MAX(1,ABS(P832)),0,1),1)</f>
        <v>0</v>
      </c>
    </row>
    <row r="833" spans="15:18" x14ac:dyDescent="0.45">
      <c r="O833" s="8" t="s">
        <v>2594</v>
      </c>
      <c r="P833">
        <v>44.266863200630297</v>
      </c>
      <c r="Q833">
        <f>IF(ISBLANK(QC!D77),"",QC!D77)</f>
        <v>44.266863200630297</v>
      </c>
      <c r="R833">
        <f>IF(ISNUMBER(QC!D77),IF(ABS(QC!D77-P833)&lt;=0.000000000001*MAX(1,ABS(P833)),0,1),1)</f>
        <v>0</v>
      </c>
    </row>
    <row r="834" spans="15:18" x14ac:dyDescent="0.45">
      <c r="O834" s="8" t="s">
        <v>2595</v>
      </c>
      <c r="P834">
        <v>44.266259130867802</v>
      </c>
      <c r="Q834">
        <f>IF(ISBLANK(QC!D78),"",QC!D78)</f>
        <v>44.266259130867802</v>
      </c>
      <c r="R834">
        <f>IF(ISNUMBER(QC!D78),IF(ABS(QC!D78-P834)&lt;=0.000000000001*MAX(1,ABS(P834)),0,1),1)</f>
        <v>0</v>
      </c>
    </row>
    <row r="835" spans="15:18" x14ac:dyDescent="0.45">
      <c r="O835" s="8" t="s">
        <v>2596</v>
      </c>
      <c r="P835">
        <v>44.261378012764993</v>
      </c>
      <c r="Q835">
        <f>IF(ISBLANK(QC!D79),"",QC!D79)</f>
        <v>44.261378012764993</v>
      </c>
      <c r="R835">
        <f>IF(ISNUMBER(QC!D79),IF(ABS(QC!D79-P835)&lt;=0.000000000001*MAX(1,ABS(P835)),0,1),1)</f>
        <v>0</v>
      </c>
    </row>
    <row r="836" spans="15:18" x14ac:dyDescent="0.45">
      <c r="O836" s="8" t="s">
        <v>2597</v>
      </c>
      <c r="P836">
        <v>44.259763695637588</v>
      </c>
      <c r="Q836">
        <f>IF(ISBLANK(QC!D80),"",QC!D80)</f>
        <v>44.259763695637588</v>
      </c>
      <c r="R836">
        <f>IF(ISNUMBER(QC!D80),IF(ABS(QC!D80-P836)&lt;=0.000000000001*MAX(1,ABS(P836)),0,1),1)</f>
        <v>0</v>
      </c>
    </row>
    <row r="837" spans="15:18" x14ac:dyDescent="0.45">
      <c r="O837" s="8" t="s">
        <v>2598</v>
      </c>
      <c r="P837">
        <v>44.266863200630297</v>
      </c>
      <c r="Q837">
        <f>IF(ISBLANK(QC!D81),"",QC!D81)</f>
        <v>44.266863200630297</v>
      </c>
      <c r="R837">
        <f>IF(ISNUMBER(QC!D81),IF(ABS(QC!D81-P837)&lt;=0.000000000001*MAX(1,ABS(P837)),0,1),1)</f>
        <v>0</v>
      </c>
    </row>
    <row r="838" spans="15:18" x14ac:dyDescent="0.45">
      <c r="O838" s="8" t="s">
        <v>2599</v>
      </c>
      <c r="P838">
        <v>44.266259130867802</v>
      </c>
      <c r="Q838">
        <f>IF(ISBLANK(QC!D82),"",QC!D82)</f>
        <v>44.266259130867802</v>
      </c>
      <c r="R838">
        <f>IF(ISNUMBER(QC!D82),IF(ABS(QC!D82-P838)&lt;=0.000000000001*MAX(1,ABS(P838)),0,1),1)</f>
        <v>0</v>
      </c>
    </row>
    <row r="839" spans="15:18" x14ac:dyDescent="0.45">
      <c r="O839" s="8" t="s">
        <v>2600</v>
      </c>
      <c r="P839">
        <v>44.261378012764993</v>
      </c>
      <c r="Q839">
        <f>IF(ISBLANK(QC!D83),"",QC!D83)</f>
        <v>44.261378012764993</v>
      </c>
      <c r="R839">
        <f>IF(ISNUMBER(QC!D83),IF(ABS(QC!D83-P839)&lt;=0.000000000001*MAX(1,ABS(P839)),0,1),1)</f>
        <v>0</v>
      </c>
    </row>
    <row r="840" spans="15:18" x14ac:dyDescent="0.45">
      <c r="O840" s="8" t="s">
        <v>2601</v>
      </c>
      <c r="P840">
        <v>43.237692232218137</v>
      </c>
      <c r="Q840">
        <f>IF(ISBLANK(QC!D84),"",QC!D84)</f>
        <v>43.237692232218137</v>
      </c>
      <c r="R840">
        <f>IF(ISNUMBER(QC!D84),IF(ABS(QC!D84-P840)&lt;=0.000000000001*MAX(1,ABS(P840)),0,1),1)</f>
        <v>0</v>
      </c>
    </row>
    <row r="841" spans="15:18" x14ac:dyDescent="0.45">
      <c r="O841" s="8" t="s">
        <v>2602</v>
      </c>
      <c r="P841">
        <v>1593.97</v>
      </c>
      <c r="Q841">
        <f>IF(ISBLANK(QC!D85),"",QC!D85)</f>
        <v>1593.97</v>
      </c>
      <c r="R841">
        <f>IF(ISNUMBER(QC!D85),IF(ABS(QC!D85-P841)&lt;=0.000000000001*MAX(1,ABS(P841)),0,1),1)</f>
        <v>0</v>
      </c>
    </row>
    <row r="842" spans="15:18" x14ac:dyDescent="0.45">
      <c r="O842" s="8" t="s">
        <v>2603</v>
      </c>
      <c r="P842">
        <v>19.583333333333329</v>
      </c>
      <c r="Q842">
        <f>IF(ISBLANK(QC!D86),"",QC!D86)</f>
        <v>19.583333333333329</v>
      </c>
      <c r="R842">
        <f>IF(ISNUMBER(QC!D86),IF(ABS(QC!D86-P842)&lt;=0.000000000001*MAX(1,ABS(P842)),0,1),1)</f>
        <v>0</v>
      </c>
    </row>
    <row r="843" spans="15:18" x14ac:dyDescent="0.45">
      <c r="O843" s="8" t="s">
        <v>2604</v>
      </c>
      <c r="P843">
        <v>43.737692232218137</v>
      </c>
      <c r="Q843">
        <f>IF(ISBLANK(QC!D87),"",QC!D87)</f>
        <v>43.737692232218137</v>
      </c>
      <c r="R843">
        <f>IF(ISNUMBER(QC!D87),IF(ABS(QC!D87-P843)&lt;=0.000000000001*MAX(1,ABS(P843)),0,1),1)</f>
        <v>0</v>
      </c>
    </row>
    <row r="844" spans="15:18" x14ac:dyDescent="0.45">
      <c r="O844" s="8" t="s">
        <v>2605</v>
      </c>
      <c r="P844">
        <v>5.3925868494673068E-3</v>
      </c>
      <c r="Q844">
        <f>IF(ISBLANK(QC!D88),"",QC!D88)</f>
        <v>5.3925868494673068E-3</v>
      </c>
      <c r="R844">
        <f>IF(ISNUMBER(QC!D88),IF(ABS(QC!D88-P844)&lt;=0.000000000001*MAX(1,ABS(P844)),0,1),1)</f>
        <v>0</v>
      </c>
    </row>
    <row r="845" spans="15:18" x14ac:dyDescent="0.45">
      <c r="O845" s="8" t="s">
        <v>2606</v>
      </c>
      <c r="P845">
        <v>43.951233898884801</v>
      </c>
      <c r="Q845">
        <f>IF(ISBLANK(QC!D89),"",QC!D89)</f>
        <v>43.951233898884801</v>
      </c>
      <c r="R845">
        <f>IF(ISNUMBER(QC!D89),IF(ABS(QC!D89-P845)&lt;=0.000000000001*MAX(1,ABS(P845)),0,1),1)</f>
        <v>0</v>
      </c>
    </row>
    <row r="846" spans="15:18" x14ac:dyDescent="0.45">
      <c r="O846" s="8" t="s">
        <v>2607</v>
      </c>
      <c r="P846">
        <v>6</v>
      </c>
      <c r="Q846">
        <f>IF(ISBLANK(QC!D90),"",QC!D90)</f>
        <v>6</v>
      </c>
      <c r="R846">
        <f>IF(ISNUMBER(QC!D90),IF(ABS(QC!D90-P846)&lt;=0.000000000001*MAX(1,ABS(P846)),0,1),1)</f>
        <v>0</v>
      </c>
    </row>
    <row r="847" spans="15:18" x14ac:dyDescent="0.45">
      <c r="O847" s="8" t="s">
        <v>2608</v>
      </c>
      <c r="P847">
        <v>43.737692232218137</v>
      </c>
      <c r="Q847">
        <f>IF(ISBLANK(QC!D91),"",QC!D91)</f>
        <v>43.737692232218137</v>
      </c>
      <c r="R847">
        <f>IF(ISNUMBER(QC!D91),IF(ABS(QC!D91-P847)&lt;=0.000000000001*MAX(1,ABS(P847)),0,1),1)</f>
        <v>0</v>
      </c>
    </row>
    <row r="848" spans="15:18" x14ac:dyDescent="0.45">
      <c r="O848" s="8" t="s">
        <v>2609</v>
      </c>
      <c r="P848">
        <v>5.3925868494673068E-3</v>
      </c>
      <c r="Q848">
        <f>IF(ISBLANK(QC!D92),"",QC!D92)</f>
        <v>5.3925868494673068E-3</v>
      </c>
      <c r="R848">
        <f>IF(ISNUMBER(QC!D92),IF(ABS(QC!D92-P848)&lt;=0.000000000001*MAX(1,ABS(P848)),0,1),1)</f>
        <v>0</v>
      </c>
    </row>
    <row r="849" spans="15:18" x14ac:dyDescent="0.45">
      <c r="O849" s="8" t="s">
        <v>2610</v>
      </c>
      <c r="P849">
        <v>43.951233898884801</v>
      </c>
      <c r="Q849">
        <f>IF(ISBLANK(QC!D93),"",QC!D93)</f>
        <v>43.951233898884801</v>
      </c>
      <c r="R849">
        <f>IF(ISNUMBER(QC!D93),IF(ABS(QC!D93-P849)&lt;=0.000000000001*MAX(1,ABS(P849)),0,1),1)</f>
        <v>0</v>
      </c>
    </row>
    <row r="850" spans="15:18" x14ac:dyDescent="0.45">
      <c r="O850" s="8" t="s">
        <v>2611</v>
      </c>
      <c r="P850">
        <v>6</v>
      </c>
      <c r="Q850">
        <f>IF(ISBLANK(QC!D94),"",QC!D94)</f>
        <v>6</v>
      </c>
      <c r="R850">
        <f>IF(ISNUMBER(QC!D94),IF(ABS(QC!D94-P850)&lt;=0.000000000001*MAX(1,ABS(P850)),0,1),1)</f>
        <v>0</v>
      </c>
    </row>
    <row r="851" spans="15:18" x14ac:dyDescent="0.45">
      <c r="O851" s="8" t="s">
        <v>2612</v>
      </c>
      <c r="P851">
        <v>-6.75</v>
      </c>
      <c r="Q851">
        <f>IF(ISBLANK(QC!D95),"",QC!D95)</f>
        <v>-6.75</v>
      </c>
      <c r="R851">
        <f>IF(ISNUMBER(QC!D95),IF(ABS(QC!D95-P851)&lt;=0.000000000001*MAX(1,ABS(P851)),0,1),1)</f>
        <v>0</v>
      </c>
    </row>
    <row r="852" spans="15:18" x14ac:dyDescent="0.45">
      <c r="O852" s="8" t="s">
        <v>2613</v>
      </c>
      <c r="P852">
        <v>41.237692232218137</v>
      </c>
      <c r="Q852">
        <f>IF(ISBLANK(QC!D96),"",QC!D96)</f>
        <v>41.237692232218137</v>
      </c>
      <c r="R852">
        <f>IF(ISNUMBER(QC!D96),IF(ABS(QC!D96-P852)&lt;=0.000000000001*MAX(1,ABS(P852)),0,1),1)</f>
        <v>0</v>
      </c>
    </row>
    <row r="853" spans="15:18" x14ac:dyDescent="0.45">
      <c r="O853" s="8" t="s">
        <v>2614</v>
      </c>
      <c r="P853">
        <v>-2.25</v>
      </c>
      <c r="Q853">
        <f>IF(ISBLANK(QC!D97),"",QC!D97)</f>
        <v>-2.25</v>
      </c>
      <c r="R853">
        <f>IF(ISNUMBER(QC!D97),IF(ABS(QC!D97-P853)&lt;=0.000000000001*MAX(1,ABS(P853)),0,1),1)</f>
        <v>0</v>
      </c>
    </row>
    <row r="854" spans="15:18" x14ac:dyDescent="0.45">
      <c r="O854" s="8" t="s">
        <v>2615</v>
      </c>
      <c r="P854">
        <v>41.237692232218137</v>
      </c>
      <c r="Q854">
        <f>IF(ISBLANK(QC!D98),"",QC!D98)</f>
        <v>41.237692232218137</v>
      </c>
      <c r="R854">
        <f>IF(ISNUMBER(QC!D98),IF(ABS(QC!D98-P854)&lt;=0.000000000001*MAX(1,ABS(P854)),0,1),1)</f>
        <v>0</v>
      </c>
    </row>
    <row r="855" spans="15:18" x14ac:dyDescent="0.45">
      <c r="O855" s="8" t="s">
        <v>2616</v>
      </c>
      <c r="P855">
        <v>2.25</v>
      </c>
      <c r="Q855">
        <f>IF(ISBLANK(QC!D99),"",QC!D99)</f>
        <v>2.25</v>
      </c>
      <c r="R855">
        <f>IF(ISNUMBER(QC!D99),IF(ABS(QC!D99-P855)&lt;=0.000000000001*MAX(1,ABS(P855)),0,1),1)</f>
        <v>0</v>
      </c>
    </row>
    <row r="856" spans="15:18" x14ac:dyDescent="0.45">
      <c r="O856" s="8" t="s">
        <v>2617</v>
      </c>
      <c r="P856">
        <v>41.237692232218137</v>
      </c>
      <c r="Q856">
        <f>IF(ISBLANK(QC!D100),"",QC!D100)</f>
        <v>41.237692232218137</v>
      </c>
      <c r="R856">
        <f>IF(ISNUMBER(QC!D100),IF(ABS(QC!D100-P856)&lt;=0.000000000001*MAX(1,ABS(P856)),0,1),1)</f>
        <v>0</v>
      </c>
    </row>
    <row r="857" spans="15:18" x14ac:dyDescent="0.45">
      <c r="O857" s="8" t="s">
        <v>2618</v>
      </c>
      <c r="P857">
        <v>6.75</v>
      </c>
      <c r="Q857">
        <f>IF(ISBLANK(QC!D101),"",QC!D101)</f>
        <v>6.75</v>
      </c>
      <c r="R857">
        <f>IF(ISNUMBER(QC!D101),IF(ABS(QC!D101-P857)&lt;=0.000000000001*MAX(1,ABS(P857)),0,1),1)</f>
        <v>0</v>
      </c>
    </row>
    <row r="858" spans="15:18" x14ac:dyDescent="0.45">
      <c r="O858" s="8" t="s">
        <v>2619</v>
      </c>
      <c r="P858">
        <v>41.237692232218137</v>
      </c>
      <c r="Q858">
        <f>IF(ISBLANK(QC!D102),"",QC!D102)</f>
        <v>41.237692232218137</v>
      </c>
      <c r="R858">
        <f>IF(ISNUMBER(QC!D102),IF(ABS(QC!D102-P858)&lt;=0.000000000001*MAX(1,ABS(P858)),0,1),1)</f>
        <v>0</v>
      </c>
    </row>
    <row r="859" spans="15:18" x14ac:dyDescent="0.45">
      <c r="O859" s="8" t="s">
        <v>2620</v>
      </c>
      <c r="P859">
        <v>43.73229964536867</v>
      </c>
      <c r="Q859">
        <f>IF(ISBLANK(QC!D103),"",QC!D103)</f>
        <v>43.73229964536867</v>
      </c>
      <c r="R859">
        <f>IF(ISNUMBER(QC!D103),IF(ABS(QC!D103-P859)&lt;=0.000000000001*MAX(1,ABS(P859)),0,1),1)</f>
        <v>0</v>
      </c>
    </row>
    <row r="860" spans="15:18" x14ac:dyDescent="0.45">
      <c r="O860" s="8" t="s">
        <v>2621</v>
      </c>
      <c r="P860">
        <v>43.745781112492338</v>
      </c>
      <c r="Q860">
        <f>IF(ISBLANK(QC!D104),"",QC!D104)</f>
        <v>43.745781112492338</v>
      </c>
      <c r="R860">
        <f>IF(ISNUMBER(QC!D104),IF(ABS(QC!D104-P860)&lt;=0.000000000001*MAX(1,ABS(P860)),0,1),1)</f>
        <v>0</v>
      </c>
    </row>
    <row r="861" spans="15:18" x14ac:dyDescent="0.45">
      <c r="O861" s="8" t="s">
        <v>2622</v>
      </c>
      <c r="P861">
        <v>43.73229964536867</v>
      </c>
      <c r="Q861">
        <f>IF(ISBLANK(QC!D105),"",QC!D105)</f>
        <v>43.73229964536867</v>
      </c>
      <c r="R861">
        <f>IF(ISNUMBER(QC!D105),IF(ABS(QC!D105-P861)&lt;=0.000000000001*MAX(1,ABS(P861)),0,1),1)</f>
        <v>0</v>
      </c>
    </row>
    <row r="862" spans="15:18" x14ac:dyDescent="0.45">
      <c r="O862" s="8" t="s">
        <v>2623</v>
      </c>
      <c r="P862">
        <v>43.745781112492338</v>
      </c>
      <c r="Q862">
        <f>IF(ISBLANK(QC!D106),"",QC!D106)</f>
        <v>43.745781112492338</v>
      </c>
      <c r="R862">
        <f>IF(ISNUMBER(QC!D106),IF(ABS(QC!D106-P862)&lt;=0.000000000001*MAX(1,ABS(P862)),0,1),1)</f>
        <v>0</v>
      </c>
    </row>
    <row r="863" spans="15:18" x14ac:dyDescent="0.45">
      <c r="O863" s="8" t="s">
        <v>2624</v>
      </c>
      <c r="P863">
        <v>43.249692144029659</v>
      </c>
      <c r="Q863">
        <f>IF(ISBLANK(QC!D107),"",QC!D107)</f>
        <v>43.249692144029659</v>
      </c>
      <c r="R863">
        <f>IF(ISNUMBER(QC!D107),IF(ABS(QC!D107-P863)&lt;=0.000000000001*MAX(1,ABS(P863)),0,1),1)</f>
        <v>0</v>
      </c>
    </row>
    <row r="864" spans="15:18" x14ac:dyDescent="0.45">
      <c r="O864" s="8" t="s">
        <v>2625</v>
      </c>
      <c r="P864">
        <v>1804.72</v>
      </c>
      <c r="Q864">
        <f>IF(ISBLANK(QC!D108),"",QC!D108)</f>
        <v>1804.72</v>
      </c>
      <c r="R864">
        <f>IF(ISNUMBER(QC!D108),IF(ABS(QC!D108-P864)&lt;=0.000000000001*MAX(1,ABS(P864)),0,1),1)</f>
        <v>0</v>
      </c>
    </row>
    <row r="865" spans="15:18" x14ac:dyDescent="0.45">
      <c r="O865" s="8" t="s">
        <v>2626</v>
      </c>
      <c r="P865">
        <v>19.583333333333329</v>
      </c>
      <c r="Q865">
        <f>IF(ISBLANK(QC!D109),"",QC!D109)</f>
        <v>19.583333333333329</v>
      </c>
      <c r="R865">
        <f>IF(ISNUMBER(QC!D109),IF(ABS(QC!D109-P865)&lt;=0.000000000001*MAX(1,ABS(P865)),0,1),1)</f>
        <v>0</v>
      </c>
    </row>
    <row r="866" spans="15:18" x14ac:dyDescent="0.45">
      <c r="O866" s="8" t="s">
        <v>2627</v>
      </c>
      <c r="P866">
        <v>43.749692144029659</v>
      </c>
      <c r="Q866">
        <f>IF(ISBLANK(QC!D110),"",QC!D110)</f>
        <v>43.749692144029659</v>
      </c>
      <c r="R866">
        <f>IF(ISNUMBER(QC!D110),IF(ABS(QC!D110-P866)&lt;=0.000000000001*MAX(1,ABS(P866)),0,1),1)</f>
        <v>0</v>
      </c>
    </row>
    <row r="867" spans="15:18" x14ac:dyDescent="0.45">
      <c r="O867" s="8" t="s">
        <v>2628</v>
      </c>
      <c r="P867">
        <v>-6.8362525608421263E-3</v>
      </c>
      <c r="Q867">
        <f>IF(ISBLANK(QC!D111),"",QC!D111)</f>
        <v>-6.8362525608421263E-3</v>
      </c>
      <c r="R867">
        <f>IF(ISNUMBER(QC!D111),IF(ABS(QC!D111-P867)&lt;=0.000000000001*MAX(1,ABS(P867)),0,1),1)</f>
        <v>0</v>
      </c>
    </row>
    <row r="868" spans="15:18" x14ac:dyDescent="0.45">
      <c r="O868" s="8" t="s">
        <v>2629</v>
      </c>
      <c r="P868">
        <v>43.963233810696323</v>
      </c>
      <c r="Q868">
        <f>IF(ISBLANK(QC!D112),"",QC!D112)</f>
        <v>43.963233810696323</v>
      </c>
      <c r="R868">
        <f>IF(ISNUMBER(QC!D112),IF(ABS(QC!D112-P868)&lt;=0.000000000001*MAX(1,ABS(P868)),0,1),1)</f>
        <v>0</v>
      </c>
    </row>
    <row r="869" spans="15:18" x14ac:dyDescent="0.45">
      <c r="O869" s="8" t="s">
        <v>2630</v>
      </c>
      <c r="P869">
        <v>6</v>
      </c>
      <c r="Q869">
        <f>IF(ISBLANK(QC!D113),"",QC!D113)</f>
        <v>6</v>
      </c>
      <c r="R869">
        <f>IF(ISNUMBER(QC!D113),IF(ABS(QC!D113-P869)&lt;=0.000000000001*MAX(1,ABS(P869)),0,1),1)</f>
        <v>0</v>
      </c>
    </row>
    <row r="870" spans="15:18" x14ac:dyDescent="0.45">
      <c r="O870" s="8" t="s">
        <v>2631</v>
      </c>
      <c r="P870">
        <v>43.749692144029659</v>
      </c>
      <c r="Q870">
        <f>IF(ISBLANK(QC!D114),"",QC!D114)</f>
        <v>43.749692144029659</v>
      </c>
      <c r="R870">
        <f>IF(ISNUMBER(QC!D114),IF(ABS(QC!D114-P870)&lt;=0.000000000001*MAX(1,ABS(P870)),0,1),1)</f>
        <v>0</v>
      </c>
    </row>
    <row r="871" spans="15:18" x14ac:dyDescent="0.45">
      <c r="O871" s="8" t="s">
        <v>2632</v>
      </c>
      <c r="P871">
        <v>-6.8362525608421263E-3</v>
      </c>
      <c r="Q871">
        <f>IF(ISBLANK(QC!D115),"",QC!D115)</f>
        <v>-6.8362525608421263E-3</v>
      </c>
      <c r="R871">
        <f>IF(ISNUMBER(QC!D115),IF(ABS(QC!D115-P871)&lt;=0.000000000001*MAX(1,ABS(P871)),0,1),1)</f>
        <v>0</v>
      </c>
    </row>
    <row r="872" spans="15:18" x14ac:dyDescent="0.45">
      <c r="O872" s="8" t="s">
        <v>2633</v>
      </c>
      <c r="P872">
        <v>43.963233810696323</v>
      </c>
      <c r="Q872">
        <f>IF(ISBLANK(QC!D116),"",QC!D116)</f>
        <v>43.963233810696323</v>
      </c>
      <c r="R872">
        <f>IF(ISNUMBER(QC!D116),IF(ABS(QC!D116-P872)&lt;=0.000000000001*MAX(1,ABS(P872)),0,1),1)</f>
        <v>0</v>
      </c>
    </row>
    <row r="873" spans="15:18" x14ac:dyDescent="0.45">
      <c r="O873" s="8" t="s">
        <v>2634</v>
      </c>
      <c r="P873">
        <v>6</v>
      </c>
      <c r="Q873">
        <f>IF(ISBLANK(QC!D117),"",QC!D117)</f>
        <v>6</v>
      </c>
      <c r="R873">
        <f>IF(ISNUMBER(QC!D117),IF(ABS(QC!D117-P873)&lt;=0.000000000001*MAX(1,ABS(P873)),0,1),1)</f>
        <v>0</v>
      </c>
    </row>
    <row r="874" spans="15:18" x14ac:dyDescent="0.45">
      <c r="O874" s="8" t="s">
        <v>2635</v>
      </c>
      <c r="P874">
        <v>-6.75</v>
      </c>
      <c r="Q874">
        <f>IF(ISBLANK(QC!D118),"",QC!D118)</f>
        <v>-6.75</v>
      </c>
      <c r="R874">
        <f>IF(ISNUMBER(QC!D118),IF(ABS(QC!D118-P874)&lt;=0.000000000001*MAX(1,ABS(P874)),0,1),1)</f>
        <v>0</v>
      </c>
    </row>
    <row r="875" spans="15:18" x14ac:dyDescent="0.45">
      <c r="O875" s="8" t="s">
        <v>2636</v>
      </c>
      <c r="P875">
        <v>41.249692144029659</v>
      </c>
      <c r="Q875">
        <f>IF(ISBLANK(QC!D119),"",QC!D119)</f>
        <v>41.249692144029659</v>
      </c>
      <c r="R875">
        <f>IF(ISNUMBER(QC!D119),IF(ABS(QC!D119-P875)&lt;=0.000000000001*MAX(1,ABS(P875)),0,1),1)</f>
        <v>0</v>
      </c>
    </row>
    <row r="876" spans="15:18" x14ac:dyDescent="0.45">
      <c r="O876" s="8" t="s">
        <v>2637</v>
      </c>
      <c r="P876">
        <v>-2.25</v>
      </c>
      <c r="Q876">
        <f>IF(ISBLANK(QC!D120),"",QC!D120)</f>
        <v>-2.25</v>
      </c>
      <c r="R876">
        <f>IF(ISNUMBER(QC!D120),IF(ABS(QC!D120-P876)&lt;=0.000000000001*MAX(1,ABS(P876)),0,1),1)</f>
        <v>0</v>
      </c>
    </row>
    <row r="877" spans="15:18" x14ac:dyDescent="0.45">
      <c r="O877" s="8" t="s">
        <v>2638</v>
      </c>
      <c r="P877">
        <v>41.249692144029659</v>
      </c>
      <c r="Q877">
        <f>IF(ISBLANK(QC!D121),"",QC!D121)</f>
        <v>41.249692144029659</v>
      </c>
      <c r="R877">
        <f>IF(ISNUMBER(QC!D121),IF(ABS(QC!D121-P877)&lt;=0.000000000001*MAX(1,ABS(P877)),0,1),1)</f>
        <v>0</v>
      </c>
    </row>
    <row r="878" spans="15:18" x14ac:dyDescent="0.45">
      <c r="O878" s="8" t="s">
        <v>2639</v>
      </c>
      <c r="P878">
        <v>2.25</v>
      </c>
      <c r="Q878">
        <f>IF(ISBLANK(QC!D122),"",QC!D122)</f>
        <v>2.25</v>
      </c>
      <c r="R878">
        <f>IF(ISNUMBER(QC!D122),IF(ABS(QC!D122-P878)&lt;=0.000000000001*MAX(1,ABS(P878)),0,1),1)</f>
        <v>0</v>
      </c>
    </row>
    <row r="879" spans="15:18" x14ac:dyDescent="0.45">
      <c r="O879" s="8" t="s">
        <v>2640</v>
      </c>
      <c r="P879">
        <v>41.249692144029659</v>
      </c>
      <c r="Q879">
        <f>IF(ISBLANK(QC!D123),"",QC!D123)</f>
        <v>41.249692144029659</v>
      </c>
      <c r="R879">
        <f>IF(ISNUMBER(QC!D123),IF(ABS(QC!D123-P879)&lt;=0.000000000001*MAX(1,ABS(P879)),0,1),1)</f>
        <v>0</v>
      </c>
    </row>
    <row r="880" spans="15:18" x14ac:dyDescent="0.45">
      <c r="O880" s="8" t="s">
        <v>2641</v>
      </c>
      <c r="P880">
        <v>6.75</v>
      </c>
      <c r="Q880">
        <f>IF(ISBLANK(QC!D124),"",QC!D124)</f>
        <v>6.75</v>
      </c>
      <c r="R880">
        <f>IF(ISNUMBER(QC!D124),IF(ABS(QC!D124-P880)&lt;=0.000000000001*MAX(1,ABS(P880)),0,1),1)</f>
        <v>0</v>
      </c>
    </row>
    <row r="881" spans="15:18" x14ac:dyDescent="0.45">
      <c r="O881" s="8" t="s">
        <v>2642</v>
      </c>
      <c r="P881">
        <v>41.249692144029659</v>
      </c>
      <c r="Q881">
        <f>IF(ISBLANK(QC!D125),"",QC!D125)</f>
        <v>41.249692144029659</v>
      </c>
      <c r="R881">
        <f>IF(ISNUMBER(QC!D125),IF(ABS(QC!D125-P881)&lt;=0.000000000001*MAX(1,ABS(P881)),0,1),1)</f>
        <v>0</v>
      </c>
    </row>
    <row r="882" spans="15:18" x14ac:dyDescent="0.45">
      <c r="O882" s="8" t="s">
        <v>2643</v>
      </c>
      <c r="P882">
        <v>43.742855891468807</v>
      </c>
      <c r="Q882">
        <f>IF(ISBLANK(QC!D126),"",QC!D126)</f>
        <v>43.742855891468807</v>
      </c>
      <c r="R882">
        <f>IF(ISNUMBER(QC!D126),IF(ABS(QC!D126-P882)&lt;=0.000000000001*MAX(1,ABS(P882)),0,1),1)</f>
        <v>0</v>
      </c>
    </row>
    <row r="883" spans="15:18" x14ac:dyDescent="0.45">
      <c r="O883" s="8" t="s">
        <v>2644</v>
      </c>
      <c r="P883">
        <v>43.759946522870919</v>
      </c>
      <c r="Q883">
        <f>IF(ISBLANK(QC!D127),"",QC!D127)</f>
        <v>43.759946522870919</v>
      </c>
      <c r="R883">
        <f>IF(ISNUMBER(QC!D127),IF(ABS(QC!D127-P883)&lt;=0.000000000001*MAX(1,ABS(P883)),0,1),1)</f>
        <v>0</v>
      </c>
    </row>
    <row r="884" spans="15:18" x14ac:dyDescent="0.45">
      <c r="O884" s="8" t="s">
        <v>2645</v>
      </c>
      <c r="P884">
        <v>43.742855891468807</v>
      </c>
      <c r="Q884">
        <f>IF(ISBLANK(QC!D128),"",QC!D128)</f>
        <v>43.742855891468807</v>
      </c>
      <c r="R884">
        <f>IF(ISNUMBER(QC!D128),IF(ABS(QC!D128-P884)&lt;=0.000000000001*MAX(1,ABS(P884)),0,1),1)</f>
        <v>0</v>
      </c>
    </row>
    <row r="885" spans="15:18" x14ac:dyDescent="0.45">
      <c r="O885" s="8" t="s">
        <v>2646</v>
      </c>
      <c r="P885">
        <v>43.759946522870919</v>
      </c>
      <c r="Q885">
        <f>IF(ISBLANK(QC!D129),"",QC!D129)</f>
        <v>43.759946522870919</v>
      </c>
      <c r="R885">
        <f>IF(ISNUMBER(QC!D129),IF(ABS(QC!D129-P885)&lt;=0.000000000001*MAX(1,ABS(P885)),0,1),1)</f>
        <v>0</v>
      </c>
    </row>
    <row r="886" spans="15:18" x14ac:dyDescent="0.45">
      <c r="O886" s="8" t="s">
        <v>2647</v>
      </c>
      <c r="P886">
        <v>251</v>
      </c>
      <c r="Q886">
        <f>IF(ISBLANK(QC!D130),"",QC!D130)</f>
        <v>251</v>
      </c>
      <c r="R886">
        <f>IF(ISNUMBER(QC!D130),IF(ABS(QC!D130-P886)&lt;=0.000000000001*MAX(1,ABS(P886)),0,1),1)</f>
        <v>0</v>
      </c>
    </row>
    <row r="887" spans="15:18" x14ac:dyDescent="0.45">
      <c r="O887" s="8" t="s">
        <v>2648</v>
      </c>
      <c r="P887">
        <v>1591.72</v>
      </c>
      <c r="Q887">
        <f>IF(ISBLANK(QC!D131),"",QC!D131)</f>
        <v>1591.72</v>
      </c>
      <c r="R887">
        <f>IF(ISNUMBER(QC!D131),IF(ABS(QC!D131-P887)&lt;=0.000000000001*MAX(1,ABS(P887)),0,1),1)</f>
        <v>0</v>
      </c>
    </row>
    <row r="888" spans="15:18" x14ac:dyDescent="0.45">
      <c r="O888" s="8" t="s">
        <v>2649</v>
      </c>
      <c r="P888">
        <v>47.111000000000004</v>
      </c>
      <c r="Q888">
        <f>IF(ISBLANK(QC!D132),"",QC!D132)</f>
        <v>47.111000000000004</v>
      </c>
      <c r="R888">
        <f>IF(ISNUMBER(QC!D132),IF(ABS(QC!D132-P888)&lt;=0.000000000001*MAX(1,ABS(P888)),0,1),1)</f>
        <v>0</v>
      </c>
    </row>
    <row r="889" spans="15:18" x14ac:dyDescent="0.45">
      <c r="O889" s="8" t="s">
        <v>2650</v>
      </c>
      <c r="P889">
        <v>47.306833333333337</v>
      </c>
      <c r="Q889">
        <f>IF(ISBLANK(QC!D133),"",QC!D133)</f>
        <v>47.306833333333337</v>
      </c>
      <c r="R889">
        <f>IF(ISNUMBER(QC!D133),IF(ABS(QC!D133-P889)&lt;=0.000000000001*MAX(1,ABS(P889)),0,1),1)</f>
        <v>0</v>
      </c>
    </row>
    <row r="890" spans="15:18" x14ac:dyDescent="0.45">
      <c r="O890" s="8" t="s">
        <v>2651</v>
      </c>
      <c r="P890">
        <v>47.111000000000004</v>
      </c>
      <c r="Q890">
        <f>IF(ISBLANK(QC!D134),"",QC!D134)</f>
        <v>47.111000000000004</v>
      </c>
      <c r="R890">
        <f>IF(ISNUMBER(QC!D134),IF(ABS(QC!D134-P890)&lt;=0.000000000001*MAX(1,ABS(P890)),0,1),1)</f>
        <v>0</v>
      </c>
    </row>
    <row r="891" spans="15:18" x14ac:dyDescent="0.45">
      <c r="O891" s="8" t="s">
        <v>2652</v>
      </c>
      <c r="P891">
        <v>4.0691411011151999</v>
      </c>
      <c r="Q891">
        <f>IF(ISBLANK(QC!D135),"",QC!D135)</f>
        <v>4.0691411011151999</v>
      </c>
      <c r="R891">
        <f>IF(ISNUMBER(QC!D135),IF(ABS(QC!D135-P891)&lt;=0.000000000001*MAX(1,ABS(P891)),0,1),1)</f>
        <v>0</v>
      </c>
    </row>
    <row r="892" spans="15:18" x14ac:dyDescent="0.45">
      <c r="O892" s="8" t="s">
        <v>2653</v>
      </c>
      <c r="P892">
        <v>77.769811841283769</v>
      </c>
      <c r="Q892">
        <f>IF(ISBLANK(QC!D136),"",QC!D136)</f>
        <v>77.769811841283769</v>
      </c>
      <c r="R892">
        <f>IF(ISNUMBER(QC!D136),IF(ABS(QC!D136-P892)&lt;=0.000000000001*MAX(1,ABS(P892)),0,1),1)</f>
        <v>0</v>
      </c>
    </row>
    <row r="893" spans="15:18" x14ac:dyDescent="0.45">
      <c r="O893" s="8" t="s">
        <v>2654</v>
      </c>
      <c r="P893">
        <v>48.269044756099099</v>
      </c>
      <c r="Q893">
        <f>IF(ISBLANK(QC!D137),"",QC!D137)</f>
        <v>48.269044756099099</v>
      </c>
      <c r="R893">
        <f>IF(ISNUMBER(QC!D137),IF(ABS(QC!D137-P893)&lt;=0.000000000001*MAX(1,ABS(P893)),0,1),1)</f>
        <v>0</v>
      </c>
    </row>
    <row r="894" spans="15:18" x14ac:dyDescent="0.45">
      <c r="O894" s="8" t="s">
        <v>2655</v>
      </c>
      <c r="P894">
        <v>21.497007509111629</v>
      </c>
      <c r="Q894">
        <f>IF(ISBLANK(QC!D138),"",QC!D138)</f>
        <v>21.497007509111629</v>
      </c>
      <c r="R894">
        <f>IF(ISNUMBER(QC!D138),IF(ABS(QC!D138-P894)&lt;=0.000000000001*MAX(1,ABS(P894)),0,1),1)</f>
        <v>0</v>
      </c>
    </row>
    <row r="895" spans="15:18" x14ac:dyDescent="0.45">
      <c r="O895" s="8" t="s">
        <v>2656</v>
      </c>
      <c r="P895">
        <v>39.737692232218137</v>
      </c>
      <c r="Q895">
        <f>IF(ISBLANK(QC!D139),"",QC!D139)</f>
        <v>39.737692232218137</v>
      </c>
      <c r="R895">
        <f>IF(ISNUMBER(QC!D139),IF(ABS(QC!D139-P895)&lt;=0.000000000001*MAX(1,ABS(P895)),0,1),1)</f>
        <v>0</v>
      </c>
    </row>
    <row r="896" spans="15:18" x14ac:dyDescent="0.45">
      <c r="O896" s="8" t="s">
        <v>2657</v>
      </c>
      <c r="P896">
        <v>40.237692232218137</v>
      </c>
      <c r="Q896">
        <f>IF(ISBLANK(QC!D140),"",QC!D140)</f>
        <v>40.237692232218137</v>
      </c>
      <c r="R896">
        <f>IF(ISNUMBER(QC!D140),IF(ABS(QC!D140-P896)&lt;=0.000000000001*MAX(1,ABS(P896)),0,1),1)</f>
        <v>0</v>
      </c>
    </row>
    <row r="897" spans="15:18" x14ac:dyDescent="0.45">
      <c r="O897" s="8" t="s">
        <v>2658</v>
      </c>
      <c r="P897">
        <v>48.264512455291452</v>
      </c>
      <c r="Q897">
        <f>IF(ISBLANK(QC!D141),"",QC!D141)</f>
        <v>48.264512455291452</v>
      </c>
      <c r="R897">
        <f>IF(ISNUMBER(QC!D141),IF(ABS(QC!D141-P897)&lt;=0.000000000001*MAX(1,ABS(P897)),0,1),1)</f>
        <v>0</v>
      </c>
    </row>
    <row r="898" spans="15:18" x14ac:dyDescent="0.45">
      <c r="O898" s="8" t="s">
        <v>2659</v>
      </c>
      <c r="P898">
        <v>21.485393488292029</v>
      </c>
      <c r="Q898">
        <f>IF(ISBLANK(QC!D142),"",QC!D142)</f>
        <v>21.485393488292029</v>
      </c>
      <c r="R898">
        <f>IF(ISNUMBER(QC!D142),IF(ABS(QC!D142-P898)&lt;=0.000000000001*MAX(1,ABS(P898)),0,1),1)</f>
        <v>0</v>
      </c>
    </row>
    <row r="899" spans="15:18" x14ac:dyDescent="0.45">
      <c r="O899" s="8" t="s">
        <v>2660</v>
      </c>
      <c r="P899">
        <v>39.737692232218137</v>
      </c>
      <c r="Q899">
        <f>IF(ISBLANK(QC!D143),"",QC!D143)</f>
        <v>39.737692232218137</v>
      </c>
      <c r="R899">
        <f>IF(ISNUMBER(QC!D143),IF(ABS(QC!D143-P899)&lt;=0.000000000001*MAX(1,ABS(P899)),0,1),1)</f>
        <v>0</v>
      </c>
    </row>
    <row r="900" spans="15:18" x14ac:dyDescent="0.45">
      <c r="O900" s="8" t="s">
        <v>2661</v>
      </c>
      <c r="P900">
        <v>40.237692232218137</v>
      </c>
      <c r="Q900">
        <f>IF(ISBLANK(QC!D144),"",QC!D144)</f>
        <v>40.237692232218137</v>
      </c>
      <c r="R900">
        <f>IF(ISNUMBER(QC!D144),IF(ABS(QC!D144-P900)&lt;=0.000000000001*MAX(1,ABS(P900)),0,1),1)</f>
        <v>0</v>
      </c>
    </row>
    <row r="901" spans="15:18" x14ac:dyDescent="0.45">
      <c r="O901" s="8" t="s">
        <v>2662</v>
      </c>
      <c r="P901">
        <v>251</v>
      </c>
      <c r="Q901">
        <f>IF(ISBLANK(QC!D145),"",QC!D145)</f>
        <v>251</v>
      </c>
      <c r="R901">
        <f>IF(ISNUMBER(QC!D145),IF(ABS(QC!D145-P901)&lt;=0.000000000001*MAX(1,ABS(P901)),0,1),1)</f>
        <v>0</v>
      </c>
    </row>
    <row r="902" spans="15:18" x14ac:dyDescent="0.45">
      <c r="O902" s="8" t="s">
        <v>2663</v>
      </c>
      <c r="P902">
        <v>1806.97</v>
      </c>
      <c r="Q902">
        <f>IF(ISBLANK(QC!D146),"",QC!D146)</f>
        <v>1806.97</v>
      </c>
      <c r="R902">
        <f>IF(ISNUMBER(QC!D146),IF(ABS(QC!D146-P902)&lt;=0.000000000001*MAX(1,ABS(P902)),0,1),1)</f>
        <v>0</v>
      </c>
    </row>
    <row r="903" spans="15:18" x14ac:dyDescent="0.45">
      <c r="O903" s="8" t="s">
        <v>2664</v>
      </c>
      <c r="P903">
        <v>47.123000000000005</v>
      </c>
      <c r="Q903">
        <f>IF(ISBLANK(QC!D147),"",QC!D147)</f>
        <v>47.123000000000005</v>
      </c>
      <c r="R903">
        <f>IF(ISNUMBER(QC!D147),IF(ABS(QC!D147-P903)&lt;=0.000000000001*MAX(1,ABS(P903)),0,1),1)</f>
        <v>0</v>
      </c>
    </row>
    <row r="904" spans="15:18" x14ac:dyDescent="0.45">
      <c r="O904" s="8" t="s">
        <v>2665</v>
      </c>
      <c r="P904">
        <v>47.318833333333338</v>
      </c>
      <c r="Q904">
        <f>IF(ISBLANK(QC!D148),"",QC!D148)</f>
        <v>47.318833333333338</v>
      </c>
      <c r="R904">
        <f>IF(ISNUMBER(QC!D148),IF(ABS(QC!D148-P904)&lt;=0.000000000001*MAX(1,ABS(P904)),0,1),1)</f>
        <v>0</v>
      </c>
    </row>
    <row r="905" spans="15:18" x14ac:dyDescent="0.45">
      <c r="O905" s="8" t="s">
        <v>2666</v>
      </c>
      <c r="P905">
        <v>47.123000000000005</v>
      </c>
      <c r="Q905">
        <f>IF(ISBLANK(QC!D149),"",QC!D149)</f>
        <v>47.123000000000005</v>
      </c>
      <c r="R905">
        <f>IF(ISNUMBER(QC!D149),IF(ABS(QC!D149-P905)&lt;=0.000000000001*MAX(1,ABS(P905)),0,1),1)</f>
        <v>0</v>
      </c>
    </row>
    <row r="906" spans="15:18" x14ac:dyDescent="0.45">
      <c r="O906" s="8" t="s">
        <v>2667</v>
      </c>
      <c r="P906">
        <v>4.0691411893036786</v>
      </c>
      <c r="Q906">
        <f>IF(ISBLANK(QC!D150),"",QC!D150)</f>
        <v>4.0691411893036786</v>
      </c>
      <c r="R906">
        <f>IF(ISNUMBER(QC!D150),IF(ABS(QC!D150-P906)&lt;=0.000000000001*MAX(1,ABS(P906)),0,1),1)</f>
        <v>0</v>
      </c>
    </row>
    <row r="907" spans="15:18" x14ac:dyDescent="0.45">
      <c r="O907" s="8" t="s">
        <v>2668</v>
      </c>
      <c r="P907">
        <v>77.769813568308152</v>
      </c>
      <c r="Q907">
        <f>IF(ISBLANK(QC!D151),"",QC!D151)</f>
        <v>77.769813568308152</v>
      </c>
      <c r="R907">
        <f>IF(ISNUMBER(QC!D151),IF(ABS(QC!D151-P907)&lt;=0.000000000001*MAX(1,ABS(P907)),0,1),1)</f>
        <v>0</v>
      </c>
    </row>
    <row r="908" spans="15:18" x14ac:dyDescent="0.45">
      <c r="O908" s="8" t="s">
        <v>2669</v>
      </c>
      <c r="P908">
        <v>48.277042695716602</v>
      </c>
      <c r="Q908">
        <f>IF(ISBLANK(QC!D152),"",QC!D152)</f>
        <v>48.277042695716602</v>
      </c>
      <c r="R908">
        <f>IF(ISNUMBER(QC!D152),IF(ABS(QC!D152-P908)&lt;=0.000000000001*MAX(1,ABS(P908)),0,1),1)</f>
        <v>0</v>
      </c>
    </row>
    <row r="909" spans="15:18" x14ac:dyDescent="0.45">
      <c r="O909" s="8" t="s">
        <v>2670</v>
      </c>
      <c r="P909">
        <v>21.486752455364439</v>
      </c>
      <c r="Q909">
        <f>IF(ISBLANK(QC!D153),"",QC!D153)</f>
        <v>21.486752455364439</v>
      </c>
      <c r="R909">
        <f>IF(ISNUMBER(QC!D153),IF(ABS(QC!D153-P909)&lt;=0.000000000001*MAX(1,ABS(P909)),0,1),1)</f>
        <v>0</v>
      </c>
    </row>
    <row r="910" spans="15:18" x14ac:dyDescent="0.45">
      <c r="O910" s="8" t="s">
        <v>2671</v>
      </c>
      <c r="P910">
        <v>39.749692144029659</v>
      </c>
      <c r="Q910">
        <f>IF(ISBLANK(QC!D154),"",QC!D154)</f>
        <v>39.749692144029659</v>
      </c>
      <c r="R910">
        <f>IF(ISNUMBER(QC!D154),IF(ABS(QC!D154-P910)&lt;=0.000000000001*MAX(1,ABS(P910)),0,1),1)</f>
        <v>0</v>
      </c>
    </row>
    <row r="911" spans="15:18" x14ac:dyDescent="0.45">
      <c r="O911" s="8" t="s">
        <v>2672</v>
      </c>
      <c r="P911">
        <v>40.249692144029659</v>
      </c>
      <c r="Q911">
        <f>IF(ISBLANK(QC!D155),"",QC!D155)</f>
        <v>40.249692144029659</v>
      </c>
      <c r="R911">
        <f>IF(ISNUMBER(QC!D155),IF(ABS(QC!D155-P911)&lt;=0.000000000001*MAX(1,ABS(P911)),0,1),1)</f>
        <v>0</v>
      </c>
    </row>
    <row r="912" spans="15:18" x14ac:dyDescent="0.45">
      <c r="O912" s="8" t="s">
        <v>2673</v>
      </c>
      <c r="P912">
        <v>48.259802877755398</v>
      </c>
      <c r="Q912">
        <f>IF(ISBLANK(QC!D156),"",QC!D156)</f>
        <v>48.259802877755398</v>
      </c>
      <c r="R912">
        <f>IF(ISNUMBER(QC!D156),IF(ABS(QC!D156-P912)&lt;=0.000000000001*MAX(1,ABS(P912)),0,1),1)</f>
        <v>0</v>
      </c>
    </row>
    <row r="913" spans="15:18" x14ac:dyDescent="0.45">
      <c r="O913" s="8" t="s">
        <v>2674</v>
      </c>
      <c r="P913">
        <v>21.442575421838871</v>
      </c>
      <c r="Q913">
        <f>IF(ISBLANK(QC!D157),"",QC!D157)</f>
        <v>21.442575421838871</v>
      </c>
      <c r="R913">
        <f>IF(ISNUMBER(QC!D157),IF(ABS(QC!D157-P913)&lt;=0.000000000001*MAX(1,ABS(P913)),0,1),1)</f>
        <v>0</v>
      </c>
    </row>
    <row r="914" spans="15:18" x14ac:dyDescent="0.45">
      <c r="O914" s="8" t="s">
        <v>2675</v>
      </c>
      <c r="P914">
        <v>39.749692144029659</v>
      </c>
      <c r="Q914">
        <f>IF(ISBLANK(QC!D158),"",QC!D158)</f>
        <v>39.749692144029659</v>
      </c>
      <c r="R914">
        <f>IF(ISNUMBER(QC!D158),IF(ABS(QC!D158-P914)&lt;=0.000000000001*MAX(1,ABS(P914)),0,1),1)</f>
        <v>0</v>
      </c>
    </row>
    <row r="915" spans="15:18" x14ac:dyDescent="0.45">
      <c r="O915" s="8" t="s">
        <v>2676</v>
      </c>
      <c r="P915">
        <v>40.249692144029659</v>
      </c>
      <c r="Q915">
        <f>IF(ISBLANK(QC!D159),"",QC!D159)</f>
        <v>40.249692144029659</v>
      </c>
      <c r="R915">
        <f>IF(ISNUMBER(QC!D159),IF(ABS(QC!D159-P915)&lt;=0.000000000001*MAX(1,ABS(P915)),0,1),1)</f>
        <v>0</v>
      </c>
    </row>
    <row r="916" spans="15:18" x14ac:dyDescent="0.45">
      <c r="O916" s="8" t="s">
        <v>2677</v>
      </c>
      <c r="P916">
        <v>18.36156909360626</v>
      </c>
      <c r="Q916">
        <f>IF(ISBLANK(QC!D160),"",QC!D160)</f>
        <v>18.36156909360626</v>
      </c>
      <c r="R916">
        <f>IF(ISNUMBER(QC!D160),IF(ABS(QC!D160-P916)&lt;=0.000000000001*MAX(1,ABS(P916)),0,1),1)</f>
        <v>0</v>
      </c>
    </row>
    <row r="917" spans="15:18" x14ac:dyDescent="0.45">
      <c r="O917" s="8" t="s">
        <v>2678</v>
      </c>
      <c r="P917">
        <v>1699.462329</v>
      </c>
      <c r="Q917">
        <f>IF(ISBLANK(QC!D161),"",QC!D161)</f>
        <v>1699.462329</v>
      </c>
      <c r="R917">
        <f>IF(ISNUMBER(QC!D161),IF(ABS(QC!D161-P917)&lt;=0.000000000001*MAX(1,ABS(P917)),0,1),1)</f>
        <v>0</v>
      </c>
    </row>
    <row r="918" spans="15:18" x14ac:dyDescent="0.45">
      <c r="O918" s="8" t="s">
        <v>2679</v>
      </c>
      <c r="P918">
        <v>207.231886</v>
      </c>
      <c r="Q918">
        <f>IF(ISBLANK(QC!D162),"",QC!D162)</f>
        <v>207.231886</v>
      </c>
      <c r="R918">
        <f>IF(ISNUMBER(QC!D162),IF(ABS(QC!D162-P918)&lt;=0.000000000001*MAX(1,ABS(P918)),0,1),1)</f>
        <v>0</v>
      </c>
    </row>
    <row r="919" spans="15:18" x14ac:dyDescent="0.45">
      <c r="O919" s="8" t="s">
        <v>2680</v>
      </c>
      <c r="P919">
        <v>106.97499999999999</v>
      </c>
      <c r="Q919">
        <f>IF(ISBLANK(QC!D163),"",QC!D163)</f>
        <v>106.97499999999999</v>
      </c>
      <c r="R919">
        <f>IF(ISNUMBER(QC!D163),IF(ABS(QC!D163-P919)&lt;=0.000000000001*MAX(1,ABS(P919)),0,1),1)</f>
        <v>0</v>
      </c>
    </row>
    <row r="920" spans="15:18" x14ac:dyDescent="0.45">
      <c r="O920" s="8" t="s">
        <v>2681</v>
      </c>
      <c r="P920">
        <v>9</v>
      </c>
      <c r="Q920">
        <f>IF(ISBLANK(QC!D164),"",QC!D164)</f>
        <v>9</v>
      </c>
      <c r="R920">
        <f>IF(ISNUMBER(QC!D164),IF(ABS(QC!D164-P920)&lt;=0.000000000001*MAX(1,ABS(P920)),0,1),1)</f>
        <v>0</v>
      </c>
    </row>
    <row r="921" spans="15:18" x14ac:dyDescent="0.45">
      <c r="O921" s="8" t="s">
        <v>2682</v>
      </c>
      <c r="P921">
        <v>5.9999999999999991</v>
      </c>
      <c r="Q921">
        <f>IF(ISBLANK(QC!D165),"",QC!D165)</f>
        <v>5.9999999999999991</v>
      </c>
      <c r="R921">
        <f>IF(ISNUMBER(QC!D165),IF(ABS(QC!D165-P921)&lt;=0.000000000001*MAX(1,ABS(P921)),0,1),1)</f>
        <v>0</v>
      </c>
    </row>
    <row r="922" spans="15:18" x14ac:dyDescent="0.45">
      <c r="O922" s="8" t="s">
        <v>2683</v>
      </c>
      <c r="P922">
        <v>8.5830000000000002</v>
      </c>
      <c r="Q922">
        <f>IF(ISBLANK(QC!D166),"",QC!D166)</f>
        <v>8.5830000000000002</v>
      </c>
      <c r="R922">
        <f>IF(ISNUMBER(QC!D166),IF(ABS(QC!D166-P922)&lt;=0.000000000001*MAX(1,ABS(P922)),0,1),1)</f>
        <v>0</v>
      </c>
    </row>
    <row r="923" spans="15:18" x14ac:dyDescent="0.45">
      <c r="O923" s="8" t="s">
        <v>2684</v>
      </c>
      <c r="P923">
        <v>0.124592744006574</v>
      </c>
      <c r="Q923">
        <f>IF(ISBLANK(QC!D167),"",QC!D167)</f>
        <v>0.124592744006574</v>
      </c>
      <c r="R923">
        <f>IF(ISNUMBER(QC!D167),IF(ABS(QC!D167-P923)&lt;=0.000000000001*MAX(1,ABS(P923)),0,1),1)</f>
        <v>0</v>
      </c>
    </row>
    <row r="924" spans="15:18" x14ac:dyDescent="0.45">
      <c r="O924" s="8" t="s">
        <v>2685</v>
      </c>
      <c r="P924">
        <v>104.52500000000001</v>
      </c>
      <c r="Q924">
        <f>IF(ISBLANK(QC!D168),"",QC!D168)</f>
        <v>104.52500000000001</v>
      </c>
      <c r="R924">
        <f>IF(ISNUMBER(QC!D168),IF(ABS(QC!D168-P924)&lt;=0.000000000001*MAX(1,ABS(P924)),0,1),1)</f>
        <v>0</v>
      </c>
    </row>
    <row r="925" spans="15:18" x14ac:dyDescent="0.45">
      <c r="O925" s="8" t="s">
        <v>2686</v>
      </c>
      <c r="P925">
        <v>9</v>
      </c>
      <c r="Q925">
        <f>IF(ISBLANK(QC!D169),"",QC!D169)</f>
        <v>9</v>
      </c>
      <c r="R925">
        <f>IF(ISNUMBER(QC!D169),IF(ABS(QC!D169-P925)&lt;=0.000000000001*MAX(1,ABS(P925)),0,1),1)</f>
        <v>0</v>
      </c>
    </row>
    <row r="926" spans="15:18" x14ac:dyDescent="0.45">
      <c r="O926" s="8" t="s">
        <v>2687</v>
      </c>
      <c r="P926">
        <v>5.9999999999999991</v>
      </c>
      <c r="Q926">
        <f>IF(ISBLANK(QC!D170),"",QC!D170)</f>
        <v>5.9999999999999991</v>
      </c>
      <c r="R926">
        <f>IF(ISNUMBER(QC!D170),IF(ABS(QC!D170-P926)&lt;=0.000000000001*MAX(1,ABS(P926)),0,1),1)</f>
        <v>0</v>
      </c>
    </row>
    <row r="927" spans="15:18" x14ac:dyDescent="0.45">
      <c r="O927" s="8" t="s">
        <v>2688</v>
      </c>
      <c r="P927">
        <v>8.5830000000000002</v>
      </c>
      <c r="Q927">
        <f>IF(ISBLANK(QC!D171),"",QC!D171)</f>
        <v>8.5830000000000002</v>
      </c>
      <c r="R927">
        <f>IF(ISNUMBER(QC!D171),IF(ABS(QC!D171-P927)&lt;=0.000000000001*MAX(1,ABS(P927)),0,1),1)</f>
        <v>0</v>
      </c>
    </row>
    <row r="928" spans="15:18" x14ac:dyDescent="0.45">
      <c r="O928" s="8" t="s">
        <v>2689</v>
      </c>
      <c r="P928">
        <v>0.56717146305500721</v>
      </c>
      <c r="Q928">
        <f>IF(ISBLANK(QC!D172),"",QC!D172)</f>
        <v>0.56717146305500721</v>
      </c>
      <c r="R928">
        <f>IF(ISNUMBER(QC!D172),IF(ABS(QC!D172-P928)&lt;=0.000000000001*MAX(1,ABS(P928)),0,1),1)</f>
        <v>0</v>
      </c>
    </row>
    <row r="929" spans="15:18" x14ac:dyDescent="0.45">
      <c r="O929" s="7" t="s">
        <v>2690</v>
      </c>
      <c r="R929" s="7">
        <f>SUM(R9:R928)</f>
        <v>0</v>
      </c>
    </row>
  </sheetData>
  <conditionalFormatting sqref="G8:G195">
    <cfRule type="cellIs" dxfId="4" priority="1" operator="equal">
      <formula>"PASS"</formula>
    </cfRule>
    <cfRule type="cellIs" dxfId="3" priority="2" operator="equal">
      <formula>"FAIL"</formula>
    </cfRule>
    <cfRule type="cellIs" dxfId="2" priority="3" operator="equal">
      <formula>"CHECK"</formula>
    </cfRule>
  </conditionalFormatting>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8A96A3"/>
    <pageSetUpPr fitToPage="1"/>
  </sheetPr>
  <dimension ref="B1:M28"/>
  <sheetViews>
    <sheetView showGridLines="0" workbookViewId="0"/>
  </sheetViews>
  <sheetFormatPr defaultRowHeight="14.25" x14ac:dyDescent="0.45"/>
  <cols>
    <col min="1" max="1" width="2" customWidth="1"/>
    <col min="2" max="13" width="11.46484375" customWidth="1"/>
  </cols>
  <sheetData>
    <row r="1" spans="2:13" ht="20.65" x14ac:dyDescent="0.6">
      <c r="B1" s="35" t="s">
        <v>2691</v>
      </c>
    </row>
    <row r="2" spans="2:13" x14ac:dyDescent="0.45">
      <c r="B2" s="8" t="s">
        <v>2692</v>
      </c>
    </row>
    <row r="3" spans="2:13" ht="28.05" customHeight="1" x14ac:dyDescent="0.45">
      <c r="B3" s="84" t="str">
        <f>IF(Inputs_Edited=0,"LIVE  Charts, tables and the numbers quoted in this text are workbook formulas. Inputs match the notebook build (model "&amp;Build_Model&amp;", built "&amp;Build_Time&amp;").",Inputs_Edited&amp;" INPUT(S) EDITED SINCE THE NOTEBOOK BUILD  The charts and tables follow the edited inputs, which no longer match the geometry notebook (QC "&amp;QC_Overall&amp;"). Change the notebook CONFIG and rebuild.")</f>
        <v>LIVE  Charts, tables and the numbers quoted in this text are workbook formulas. Inputs match the notebook build (model e9b41b8eaf, built 2026-10-19 12:13).</v>
      </c>
      <c r="C3" s="83"/>
      <c r="D3" s="83"/>
      <c r="E3" s="83"/>
      <c r="F3" s="83"/>
      <c r="G3" s="83"/>
      <c r="H3" s="83"/>
      <c r="I3" s="83"/>
      <c r="J3" s="83"/>
      <c r="K3" s="83"/>
      <c r="L3" s="83"/>
      <c r="M3" s="83"/>
    </row>
    <row r="4" spans="2:13" ht="16.25" customHeight="1" x14ac:dyDescent="0.45">
      <c r="B4" s="85" t="s">
        <v>2693</v>
      </c>
      <c r="C4" s="83"/>
      <c r="D4" s="83"/>
      <c r="E4" s="83"/>
      <c r="F4" s="83"/>
      <c r="G4" s="83"/>
      <c r="H4" s="83"/>
      <c r="I4" s="83"/>
      <c r="J4" s="83"/>
      <c r="K4" s="83"/>
      <c r="L4" s="83"/>
      <c r="M4" s="83"/>
    </row>
    <row r="5" spans="2:13" ht="15" customHeight="1" x14ac:dyDescent="0.45"/>
    <row r="6" spans="2:13" ht="15" customHeight="1" x14ac:dyDescent="0.45"/>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6.25" customHeight="1" x14ac:dyDescent="0.45">
      <c r="B21" s="82" t="s">
        <v>2694</v>
      </c>
      <c r="C21" s="83"/>
      <c r="D21" s="83"/>
      <c r="E21" s="83"/>
      <c r="F21" s="83"/>
      <c r="G21" s="83"/>
      <c r="H21" s="83"/>
      <c r="I21" s="83"/>
      <c r="J21" s="83"/>
      <c r="K21" s="83"/>
      <c r="L21" s="83"/>
      <c r="M21" s="83"/>
    </row>
    <row r="22" spans="2:13" ht="29.45" customHeight="1" x14ac:dyDescent="0.45">
      <c r="B22" s="85" t="s">
        <v>2695</v>
      </c>
      <c r="C22" s="83"/>
      <c r="D22" s="83"/>
      <c r="E22" s="83"/>
      <c r="F22" s="83"/>
      <c r="G22" s="83"/>
      <c r="H22" s="83"/>
      <c r="I22" s="83"/>
      <c r="J22" s="83"/>
      <c r="K22" s="83"/>
      <c r="L22" s="83"/>
      <c r="M22" s="83"/>
    </row>
    <row r="23" spans="2:13" ht="29.45" customHeight="1" x14ac:dyDescent="0.45">
      <c r="B23" s="85" t="s">
        <v>2696</v>
      </c>
      <c r="C23" s="83"/>
      <c r="D23" s="83"/>
      <c r="E23" s="83"/>
      <c r="F23" s="83"/>
      <c r="G23" s="83"/>
      <c r="H23" s="83"/>
      <c r="I23" s="83"/>
      <c r="J23" s="83"/>
      <c r="K23" s="83"/>
      <c r="L23" s="83"/>
      <c r="M23" s="83"/>
    </row>
    <row r="24" spans="2:13" ht="16.25" customHeight="1" x14ac:dyDescent="0.45">
      <c r="B24" s="85" t="s">
        <v>2697</v>
      </c>
      <c r="C24" s="83"/>
      <c r="D24" s="83"/>
      <c r="E24" s="83"/>
      <c r="F24" s="83"/>
      <c r="G24" s="83"/>
      <c r="H24" s="83"/>
      <c r="I24" s="83"/>
      <c r="J24" s="83"/>
      <c r="K24" s="83"/>
      <c r="L24" s="83"/>
      <c r="M24" s="83"/>
    </row>
    <row r="25" spans="2:13" ht="29.45" customHeight="1" x14ac:dyDescent="0.45">
      <c r="B25" s="85" t="s">
        <v>2698</v>
      </c>
      <c r="C25" s="83"/>
      <c r="D25" s="83"/>
      <c r="E25" s="83"/>
      <c r="F25" s="83"/>
      <c r="G25" s="83"/>
      <c r="H25" s="83"/>
      <c r="I25" s="83"/>
      <c r="J25" s="83"/>
      <c r="K25" s="83"/>
      <c r="L25" s="83"/>
      <c r="M25" s="83"/>
    </row>
    <row r="26" spans="2:13" ht="29.45" customHeight="1" x14ac:dyDescent="0.45">
      <c r="B26" s="85" t="s">
        <v>2699</v>
      </c>
      <c r="C26" s="83"/>
      <c r="D26" s="83"/>
      <c r="E26" s="83"/>
      <c r="F26" s="83"/>
      <c r="G26" s="83"/>
      <c r="H26" s="83"/>
      <c r="I26" s="83"/>
      <c r="J26" s="83"/>
      <c r="K26" s="83"/>
      <c r="L26" s="83"/>
      <c r="M26" s="83"/>
    </row>
    <row r="27" spans="2:13" ht="29.45" customHeight="1" x14ac:dyDescent="0.45">
      <c r="B27" s="85" t="s">
        <v>2700</v>
      </c>
      <c r="C27" s="83"/>
      <c r="D27" s="83"/>
      <c r="E27" s="83"/>
      <c r="F27" s="83"/>
      <c r="G27" s="83"/>
      <c r="H27" s="83"/>
      <c r="I27" s="83"/>
      <c r="J27" s="83"/>
      <c r="K27" s="83"/>
      <c r="L27" s="83"/>
      <c r="M27" s="83"/>
    </row>
    <row r="28" spans="2:13" ht="16.25" customHeight="1" x14ac:dyDescent="0.45">
      <c r="B28" s="85" t="s">
        <v>2701</v>
      </c>
      <c r="C28" s="83"/>
      <c r="D28" s="83"/>
      <c r="E28" s="83"/>
      <c r="F28" s="83"/>
      <c r="G28" s="83"/>
      <c r="H28" s="83"/>
      <c r="I28" s="83"/>
      <c r="J28" s="83"/>
      <c r="K28" s="83"/>
      <c r="L28" s="83"/>
      <c r="M28" s="83"/>
    </row>
  </sheetData>
  <mergeCells count="10">
    <mergeCell ref="B24:M24"/>
    <mergeCell ref="B25:M25"/>
    <mergeCell ref="B28:M28"/>
    <mergeCell ref="B3:M3"/>
    <mergeCell ref="B21:M21"/>
    <mergeCell ref="B23:M23"/>
    <mergeCell ref="B22:M22"/>
    <mergeCell ref="B26:M26"/>
    <mergeCell ref="B27:M27"/>
    <mergeCell ref="B4:M4"/>
  </mergeCells>
  <conditionalFormatting sqref="B3:M3">
    <cfRule type="expression" dxfId="1" priority="1">
      <formula>Inputs_Edited=0</formula>
    </cfRule>
    <cfRule type="expression" dxfId="0" priority="2">
      <formula>Inputs_Edited&gt;0</formula>
    </cfRule>
  </conditionalFormatting>
  <pageMargins left="0.75" right="0.75" top="1" bottom="1" header="0.5" footer="0.5"/>
  <pageSetup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366</vt:i4>
      </vt:variant>
    </vt:vector>
  </HeadingPairs>
  <TitlesOfParts>
    <vt:vector size="397" baseType="lpstr">
      <vt:lpstr>Cover</vt:lpstr>
      <vt:lpstr>Inputs</vt:lpstr>
      <vt:lpstr>Inputs Method</vt:lpstr>
      <vt:lpstr>Profile &amp; Deck</vt:lpstr>
      <vt:lpstr>Profile &amp; Deck Method</vt:lpstr>
      <vt:lpstr>Beam Geometry</vt:lpstr>
      <vt:lpstr>Beam Geometry Method</vt:lpstr>
      <vt:lpstr>Camber &amp; Haunch</vt:lpstr>
      <vt:lpstr>Camber &amp; Haunch Method</vt:lpstr>
      <vt:lpstr>FGE</vt:lpstr>
      <vt:lpstr>FGE Method</vt:lpstr>
      <vt:lpstr>Bearing Seats</vt:lpstr>
      <vt:lpstr>Bearing Seats Method</vt:lpstr>
      <vt:lpstr>Substructure</vt:lpstr>
      <vt:lpstr>Substructure Method</vt:lpstr>
      <vt:lpstr>Beam Data</vt:lpstr>
      <vt:lpstr>Beam Data Method</vt:lpstr>
      <vt:lpstr>Clearance</vt:lpstr>
      <vt:lpstr>Clearance Method</vt:lpstr>
      <vt:lpstr>CAD FGE</vt:lpstr>
      <vt:lpstr>CAD FGE Method</vt:lpstr>
      <vt:lpstr>CAD Build-Up</vt:lpstr>
      <vt:lpstr>CAD Build-Up Method</vt:lpstr>
      <vt:lpstr>CAD Beam Variables</vt:lpstr>
      <vt:lpstr>CAD Beam Variables Method</vt:lpstr>
      <vt:lpstr>CAD Bearing Plates</vt:lpstr>
      <vt:lpstr>CAD Bearing Plates Method</vt:lpstr>
      <vt:lpstr>CAD Pedestal Elevs</vt:lpstr>
      <vt:lpstr>CAD Pedestal Elevs Method</vt:lpstr>
      <vt:lpstr>QC</vt:lpstr>
      <vt:lpstr>QC Method</vt:lpstr>
      <vt:lpstr>Bar_C</vt:lpstr>
      <vt:lpstr>Bar_D3s</vt:lpstr>
      <vt:lpstr>Bar_DA</vt:lpstr>
      <vt:lpstr>Bar_DB</vt:lpstr>
      <vt:lpstr>Bar_MD</vt:lpstr>
      <vt:lpstr>Bar_Mk</vt:lpstr>
      <vt:lpstr>Bm_Area</vt:lpstr>
      <vt:lpstr>Bm_Bf</vt:lpstr>
      <vt:lpstr>Bm_D</vt:lpstr>
      <vt:lpstr>Bm_First</vt:lpstr>
      <vt:lpstr>Bm_Gap1</vt:lpstr>
      <vt:lpstr>Bm_Hmin</vt:lpstr>
      <vt:lpstr>Bm_N</vt:lpstr>
      <vt:lpstr>Bm_S</vt:lpstr>
      <vt:lpstr>Bm_Type</vt:lpstr>
      <vt:lpstr>Bm1_dCL</vt:lpstr>
      <vt:lpstr>Bm1_dMin</vt:lpstr>
      <vt:lpstr>Bm1_FL</vt:lpstr>
      <vt:lpstr>Bm1_FR</vt:lpstr>
      <vt:lpstr>Bm1_Off</vt:lpstr>
      <vt:lpstr>Bm1_Raise</vt:lpstr>
      <vt:lpstr>Bm2_dCL</vt:lpstr>
      <vt:lpstr>Bm2_dMin</vt:lpstr>
      <vt:lpstr>Bm2_FL</vt:lpstr>
      <vt:lpstr>Bm2_FR</vt:lpstr>
      <vt:lpstr>Bm2_Off</vt:lpstr>
      <vt:lpstr>Bm2_Raise</vt:lpstr>
      <vt:lpstr>Build_Fingerprint</vt:lpstr>
      <vt:lpstr>Build_Model</vt:lpstr>
      <vt:lpstr>Build_Time</vt:lpstr>
      <vt:lpstr>Clr_Cover</vt:lpstr>
      <vt:lpstr>Clr_Margin</vt:lpstr>
      <vt:lpstr>Clr_Min</vt:lpstr>
      <vt:lpstr>Clr_Sta</vt:lpstr>
      <vt:lpstr>Clr_Status</vt:lpstr>
      <vt:lpstr>Deck_C</vt:lpstr>
      <vt:lpstr>Deck_Crown</vt:lpstr>
      <vt:lpstr>Deck_dL</vt:lpstr>
      <vt:lpstr>Deck_dR</vt:lpstr>
      <vt:lpstr>Deck_Mode</vt:lpstr>
      <vt:lpstr>Deck_T</vt:lpstr>
      <vt:lpstr>Deck_Uni</vt:lpstr>
      <vt:lpstr>Deck_W</vt:lpstr>
      <vt:lpstr>Deck_YL</vt:lpstr>
      <vt:lpstr>Deck_YR</vt:lpstr>
      <vt:lpstr>Des_BevelLimit</vt:lpstr>
      <vt:lpstr>Des_ConcClass</vt:lpstr>
      <vt:lpstr>Des_DimP</vt:lpstr>
      <vt:lpstr>Des_FGEInc</vt:lpstr>
      <vt:lpstr>Des_PadType</vt:lpstr>
      <vt:lpstr>Des_Pattern</vt:lpstr>
      <vt:lpstr>Des_PlanCase</vt:lpstr>
      <vt:lpstr>EB1_BmBrg</vt:lpstr>
      <vt:lpstr>EB1_BmClr</vt:lpstr>
      <vt:lpstr>EB1_BW</vt:lpstr>
      <vt:lpstr>EB1_BwDrop</vt:lpstr>
      <vt:lpstr>EB1_BwH0</vt:lpstr>
      <vt:lpstr>EB1_BwTop0</vt:lpstr>
      <vt:lpstr>EB1_BwTopL</vt:lpstr>
      <vt:lpstr>EB1_BwTopR</vt:lpstr>
      <vt:lpstr>EB1_BwVol</vt:lpstr>
      <vt:lpstr>EB1_CapSta</vt:lpstr>
      <vt:lpstr>EB1_Chamf</vt:lpstr>
      <vt:lpstr>EB1_CkBotL</vt:lpstr>
      <vt:lpstr>EB1_CkBotR</vt:lpstr>
      <vt:lpstr>EB1_CkT</vt:lpstr>
      <vt:lpstr>EB1_CkTopL</vt:lpstr>
      <vt:lpstr>EB1_CkTopLv</vt:lpstr>
      <vt:lpstr>EB1_CkTopR</vt:lpstr>
      <vt:lpstr>EB1_CkTopRv</vt:lpstr>
      <vt:lpstr>EB1_CkVolL</vt:lpstr>
      <vt:lpstr>EB1_CkVolR</vt:lpstr>
      <vt:lpstr>EB1_Ctr</vt:lpstr>
      <vt:lpstr>EB1_Depth</vt:lpstr>
      <vt:lpstr>EB1_Emb</vt:lpstr>
      <vt:lpstr>EB1_Inset</vt:lpstr>
      <vt:lpstr>EB1_Joint</vt:lpstr>
      <vt:lpstr>EB1_Len</vt:lpstr>
      <vt:lpstr>EB1_LenFix</vt:lpstr>
      <vt:lpstr>EB1_LugBotL</vt:lpstr>
      <vt:lpstr>EB1_LugBotR</vt:lpstr>
      <vt:lpstr>EB1_LugFace</vt:lpstr>
      <vt:lpstr>EB1_LugP</vt:lpstr>
      <vt:lpstr>EB1_LugW</vt:lpstr>
      <vt:lpstr>EB1_NPile</vt:lpstr>
      <vt:lpstr>EB1_OutIn</vt:lpstr>
      <vt:lpstr>EB1_Pad</vt:lpstr>
      <vt:lpstr>EB1_PadL</vt:lpstr>
      <vt:lpstr>EB1_PadW</vt:lpstr>
      <vt:lpstr>EB1_PedL</vt:lpstr>
      <vt:lpstr>EB1_PedW</vt:lpstr>
      <vt:lpstr>EB1_PileClr</vt:lpstr>
      <vt:lpstr>EB1_PileSp</vt:lpstr>
      <vt:lpstr>EB1_PileSpFt</vt:lpstr>
      <vt:lpstr>EB1_PileW</vt:lpstr>
      <vt:lpstr>EB1_RearSta</vt:lpstr>
      <vt:lpstr>EB1_Reveal</vt:lpstr>
      <vt:lpstr>EB1_Slope</vt:lpstr>
      <vt:lpstr>EB1_Top</vt:lpstr>
      <vt:lpstr>EB1_TopFix</vt:lpstr>
      <vt:lpstr>EB1_Under</vt:lpstr>
      <vt:lpstr>EB1_Width</vt:lpstr>
      <vt:lpstr>EB2_BmBrg</vt:lpstr>
      <vt:lpstr>EB2_BmClr</vt:lpstr>
      <vt:lpstr>EB2_BW</vt:lpstr>
      <vt:lpstr>EB2_BwDrop</vt:lpstr>
      <vt:lpstr>EB2_BwH0</vt:lpstr>
      <vt:lpstr>EB2_BwTop0</vt:lpstr>
      <vt:lpstr>EB2_BwTopL</vt:lpstr>
      <vt:lpstr>EB2_BwTopR</vt:lpstr>
      <vt:lpstr>EB2_BwVol</vt:lpstr>
      <vt:lpstr>EB2_CapSta</vt:lpstr>
      <vt:lpstr>EB2_Chamf</vt:lpstr>
      <vt:lpstr>EB2_CkBotL</vt:lpstr>
      <vt:lpstr>EB2_CkBotR</vt:lpstr>
      <vt:lpstr>EB2_CkT</vt:lpstr>
      <vt:lpstr>EB2_CkTopL</vt:lpstr>
      <vt:lpstr>EB2_CkTopLv</vt:lpstr>
      <vt:lpstr>EB2_CkTopR</vt:lpstr>
      <vt:lpstr>EB2_CkTopRv</vt:lpstr>
      <vt:lpstr>EB2_CkVolL</vt:lpstr>
      <vt:lpstr>EB2_CkVolR</vt:lpstr>
      <vt:lpstr>EB2_Ctr</vt:lpstr>
      <vt:lpstr>EB2_Depth</vt:lpstr>
      <vt:lpstr>EB2_Emb</vt:lpstr>
      <vt:lpstr>EB2_Inset</vt:lpstr>
      <vt:lpstr>EB2_Joint</vt:lpstr>
      <vt:lpstr>EB2_Len</vt:lpstr>
      <vt:lpstr>EB2_LenFix</vt:lpstr>
      <vt:lpstr>EB2_LugBotL</vt:lpstr>
      <vt:lpstr>EB2_LugBotR</vt:lpstr>
      <vt:lpstr>EB2_LugFace</vt:lpstr>
      <vt:lpstr>EB2_LugP</vt:lpstr>
      <vt:lpstr>EB2_LugW</vt:lpstr>
      <vt:lpstr>EB2_NPile</vt:lpstr>
      <vt:lpstr>EB2_OutIn</vt:lpstr>
      <vt:lpstr>EB2_Pad</vt:lpstr>
      <vt:lpstr>EB2_PadL</vt:lpstr>
      <vt:lpstr>EB2_PadW</vt:lpstr>
      <vt:lpstr>EB2_PedL</vt:lpstr>
      <vt:lpstr>EB2_PedW</vt:lpstr>
      <vt:lpstr>EB2_PileClr</vt:lpstr>
      <vt:lpstr>EB2_PileSp</vt:lpstr>
      <vt:lpstr>EB2_PileSpFt</vt:lpstr>
      <vt:lpstr>EB2_PileW</vt:lpstr>
      <vt:lpstr>EB2_RearSta</vt:lpstr>
      <vt:lpstr>EB2_Reveal</vt:lpstr>
      <vt:lpstr>EB2_Slope</vt:lpstr>
      <vt:lpstr>EB2_Top</vt:lpstr>
      <vt:lpstr>EB2_TopFix</vt:lpstr>
      <vt:lpstr>EB2_Under</vt:lpstr>
      <vt:lpstr>EB2_Width</vt:lpstr>
      <vt:lpstr>Haunch_Min</vt:lpstr>
      <vt:lpstr>Inputs_Edited</vt:lpstr>
      <vt:lpstr>MC1_A1_A</vt:lpstr>
      <vt:lpstr>MC1_A1_n</vt:lpstr>
      <vt:lpstr>MC1_A1_s</vt:lpstr>
      <vt:lpstr>MC1_A2_A</vt:lpstr>
      <vt:lpstr>MC1_A2_n</vt:lpstr>
      <vt:lpstr>MC1_A2_s</vt:lpstr>
      <vt:lpstr>MC1_A3_A</vt:lpstr>
      <vt:lpstr>MC1_A3_n</vt:lpstr>
      <vt:lpstr>MC1_A3_s</vt:lpstr>
      <vt:lpstr>MC1_Astr</vt:lpstr>
      <vt:lpstr>MC1_BrgDist</vt:lpstr>
      <vt:lpstr>MC1_D120</vt:lpstr>
      <vt:lpstr>MC1_Dc</vt:lpstr>
      <vt:lpstr>MC1_Dnc</vt:lpstr>
      <vt:lpstr>MC1_Drel</vt:lpstr>
      <vt:lpstr>MC1_DTop</vt:lpstr>
      <vt:lpstr>MC1_Ec</vt:lpstr>
      <vt:lpstr>MC1_Eci</vt:lpstr>
      <vt:lpstr>MC1_EndSp</vt:lpstr>
      <vt:lpstr>MC1_Env</vt:lpstr>
      <vt:lpstr>MC1_Esh</vt:lpstr>
      <vt:lpstr>MC1_fc</vt:lpstr>
      <vt:lpstr>MC1_fci</vt:lpstr>
      <vt:lpstr>MC1_File</vt:lpstr>
      <vt:lpstr>MC1_H</vt:lpstr>
      <vt:lpstr>MC1_Hbu</vt:lpstr>
      <vt:lpstr>MC1_Lbeam</vt:lpstr>
      <vt:lpstr>MC1_NDeb</vt:lpstr>
      <vt:lpstr>MC1_Net</vt:lpstr>
      <vt:lpstr>MC1_NStr</vt:lpstr>
      <vt:lpstr>MC1_NTop</vt:lpstr>
      <vt:lpstr>MC1_PadW</vt:lpstr>
      <vt:lpstr>MC1_Pj</vt:lpstr>
      <vt:lpstr>MC1_Psi</vt:lpstr>
      <vt:lpstr>MC1_PTop</vt:lpstr>
      <vt:lpstr>MC1_S1_A</vt:lpstr>
      <vt:lpstr>MC1_S1_n</vt:lpstr>
      <vt:lpstr>MC1_S1_s</vt:lpstr>
      <vt:lpstr>MC1_S2_A</vt:lpstr>
      <vt:lpstr>MC1_S2_n</vt:lpstr>
      <vt:lpstr>MC1_S2_s</vt:lpstr>
      <vt:lpstr>MC1_S3_A</vt:lpstr>
      <vt:lpstr>MC1_S3_n</vt:lpstr>
      <vt:lpstr>MC1_S3_s</vt:lpstr>
      <vt:lpstr>MC1_S4_A</vt:lpstr>
      <vt:lpstr>MC1_S4_n</vt:lpstr>
      <vt:lpstr>MC1_S4_s</vt:lpstr>
      <vt:lpstr>MC1_Skew</vt:lpstr>
      <vt:lpstr>MC1_Spacing</vt:lpstr>
      <vt:lpstr>MC1_StrType</vt:lpstr>
      <vt:lpstr>MC1_Tdeck</vt:lpstr>
      <vt:lpstr>MC1_Type</vt:lpstr>
      <vt:lpstr>MC2_A1_A</vt:lpstr>
      <vt:lpstr>MC2_A1_n</vt:lpstr>
      <vt:lpstr>MC2_A1_s</vt:lpstr>
      <vt:lpstr>MC2_A2_A</vt:lpstr>
      <vt:lpstr>MC2_A2_n</vt:lpstr>
      <vt:lpstr>MC2_A2_s</vt:lpstr>
      <vt:lpstr>MC2_A3_A</vt:lpstr>
      <vt:lpstr>MC2_A3_n</vt:lpstr>
      <vt:lpstr>MC2_A3_s</vt:lpstr>
      <vt:lpstr>MC2_Astr</vt:lpstr>
      <vt:lpstr>MC2_BrgDist</vt:lpstr>
      <vt:lpstr>MC2_D120</vt:lpstr>
      <vt:lpstr>MC2_Dc</vt:lpstr>
      <vt:lpstr>MC2_Dnc</vt:lpstr>
      <vt:lpstr>MC2_Drel</vt:lpstr>
      <vt:lpstr>MC2_DTop</vt:lpstr>
      <vt:lpstr>MC2_Ec</vt:lpstr>
      <vt:lpstr>MC2_Eci</vt:lpstr>
      <vt:lpstr>MC2_EndSp</vt:lpstr>
      <vt:lpstr>MC2_Env</vt:lpstr>
      <vt:lpstr>MC2_Esh</vt:lpstr>
      <vt:lpstr>MC2_fc</vt:lpstr>
      <vt:lpstr>MC2_fci</vt:lpstr>
      <vt:lpstr>MC2_File</vt:lpstr>
      <vt:lpstr>MC2_H</vt:lpstr>
      <vt:lpstr>MC2_Hbu</vt:lpstr>
      <vt:lpstr>MC2_Lbeam</vt:lpstr>
      <vt:lpstr>MC2_NDeb</vt:lpstr>
      <vt:lpstr>MC2_Net</vt:lpstr>
      <vt:lpstr>MC2_NStr</vt:lpstr>
      <vt:lpstr>MC2_NTop</vt:lpstr>
      <vt:lpstr>MC2_PadW</vt:lpstr>
      <vt:lpstr>MC2_Pj</vt:lpstr>
      <vt:lpstr>MC2_Psi</vt:lpstr>
      <vt:lpstr>MC2_PTop</vt:lpstr>
      <vt:lpstr>MC2_S1_A</vt:lpstr>
      <vt:lpstr>MC2_S1_n</vt:lpstr>
      <vt:lpstr>MC2_S1_s</vt:lpstr>
      <vt:lpstr>MC2_S2_A</vt:lpstr>
      <vt:lpstr>MC2_S2_n</vt:lpstr>
      <vt:lpstr>MC2_S2_s</vt:lpstr>
      <vt:lpstr>MC2_S3_A</vt:lpstr>
      <vt:lpstr>MC2_S3_n</vt:lpstr>
      <vt:lpstr>MC2_S3_s</vt:lpstr>
      <vt:lpstr>MC2_S4_A</vt:lpstr>
      <vt:lpstr>MC2_S4_n</vt:lpstr>
      <vt:lpstr>MC2_S4_s</vt:lpstr>
      <vt:lpstr>MC2_Skew</vt:lpstr>
      <vt:lpstr>MC2_Spacing</vt:lpstr>
      <vt:lpstr>MC2_StrType</vt:lpstr>
      <vt:lpstr>MC2_Tdeck</vt:lpstr>
      <vt:lpstr>MC2_Type</vt:lpstr>
      <vt:lpstr>Pad_Table</vt:lpstr>
      <vt:lpstr>Phys_DeckClr</vt:lpstr>
      <vt:lpstr>Phys_EndClr</vt:lpstr>
      <vt:lpstr>Phys_PierGap</vt:lpstr>
      <vt:lpstr>Phys_Setback</vt:lpstr>
      <vt:lpstr>Phys_TrialPile</vt:lpstr>
      <vt:lpstr>Pier_CapSta</vt:lpstr>
      <vt:lpstr>Pier_Chamf</vt:lpstr>
      <vt:lpstr>Pier_Ctr</vt:lpstr>
      <vt:lpstr>Pier_Depth</vt:lpstr>
      <vt:lpstr>Pier_Emb</vt:lpstr>
      <vt:lpstr>Pier_Len</vt:lpstr>
      <vt:lpstr>Pier_LenFix</vt:lpstr>
      <vt:lpstr>Pier_NPile</vt:lpstr>
      <vt:lpstr>Pier_Pad</vt:lpstr>
      <vt:lpstr>Pier_PadL</vt:lpstr>
      <vt:lpstr>Pier_PadW</vt:lpstr>
      <vt:lpstr>Pier_PedL</vt:lpstr>
      <vt:lpstr>Pier_PedW</vt:lpstr>
      <vt:lpstr>Pier_PileClr</vt:lpstr>
      <vt:lpstr>Pier_PileD</vt:lpstr>
      <vt:lpstr>Pier_PileSpD</vt:lpstr>
      <vt:lpstr>Pier_PileSpFt</vt:lpstr>
      <vt:lpstr>Pier_PileWall</vt:lpstr>
      <vt:lpstr>Pier_Reveal</vt:lpstr>
      <vt:lpstr>Pier_Slope</vt:lpstr>
      <vt:lpstr>Pier_Sta</vt:lpstr>
      <vt:lpstr>Pier_Top</vt:lpstr>
      <vt:lpstr>Pier_TopFix</vt:lpstr>
      <vt:lpstr>Pier_Under</vt:lpstr>
      <vt:lpstr>Pier_Width</vt:lpstr>
      <vt:lpstr>'Beam Data Method'!Print_Area</vt:lpstr>
      <vt:lpstr>'Beam Geometry Method'!Print_Area</vt:lpstr>
      <vt:lpstr>'Bearing Seats Method'!Print_Area</vt:lpstr>
      <vt:lpstr>'CAD Beam Variables Method'!Print_Area</vt:lpstr>
      <vt:lpstr>'CAD Bearing Plates Method'!Print_Area</vt:lpstr>
      <vt:lpstr>'CAD Build-Up Method'!Print_Area</vt:lpstr>
      <vt:lpstr>'CAD FGE Method'!Print_Area</vt:lpstr>
      <vt:lpstr>'CAD Pedestal Elevs Method'!Print_Area</vt:lpstr>
      <vt:lpstr>'Camber &amp; Haunch Method'!Print_Area</vt:lpstr>
      <vt:lpstr>'Clearance Method'!Print_Area</vt:lpstr>
      <vt:lpstr>'FGE Method'!Print_Area</vt:lpstr>
      <vt:lpstr>'Inputs Method'!Print_Area</vt:lpstr>
      <vt:lpstr>'Profile &amp; Deck Method'!Print_Area</vt:lpstr>
      <vt:lpstr>'QC Method'!Print_Area</vt:lpstr>
      <vt:lpstr>'Substructure Method'!Print_Area</vt:lpstr>
      <vt:lpstr>Prof_dG</vt:lpstr>
      <vt:lpstr>Prof_G1</vt:lpstr>
      <vt:lpstr>Prof_G2</vt:lpstr>
      <vt:lpstr>Prof_Gnom</vt:lpstr>
      <vt:lpstr>Prof_Kq</vt:lpstr>
      <vt:lpstr>Prof_L</vt:lpstr>
      <vt:lpstr>Prof_Mode</vt:lpstr>
      <vt:lpstr>Prof_PISta</vt:lpstr>
      <vt:lpstr>Prof_PIZ</vt:lpstr>
      <vt:lpstr>Prof_Sta0</vt:lpstr>
      <vt:lpstr>Prof_Sta1</vt:lpstr>
      <vt:lpstr>Prof_Z0</vt:lpstr>
      <vt:lpstr>Prof_Z1</vt:lpstr>
      <vt:lpstr>QC_Counts</vt:lpstr>
      <vt:lpstr>QC_Overall</vt:lpstr>
      <vt:lpstr>Rd_File</vt:lpstr>
      <vt:lpstr>Rd_Req</vt:lpstr>
      <vt:lpstr>Rd_Shift</vt:lpstr>
      <vt:lpstr>Sp1_Bm0</vt:lpstr>
      <vt:lpstr>Sp1_Bm1</vt:lpstr>
      <vt:lpstr>Sp1_BrgA</vt:lpstr>
      <vt:lpstr>Sp1_BrgB</vt:lpstr>
      <vt:lpstr>Sp1_C</vt:lpstr>
      <vt:lpstr>Sp1_Chk</vt:lpstr>
      <vt:lpstr>Sp1_Dk0</vt:lpstr>
      <vt:lpstr>Sp1_Dk1</vt:lpstr>
      <vt:lpstr>Sp1_Gc</vt:lpstr>
      <vt:lpstr>Sp1_Lb</vt:lpstr>
      <vt:lpstr>Sp1_LBeam</vt:lpstr>
      <vt:lpstr>Sp1_m</vt:lpstr>
      <vt:lpstr>Sp1_Mid</vt:lpstr>
      <vt:lpstr>Sp1_Sta0</vt:lpstr>
      <vt:lpstr>Sp1_Sta1</vt:lpstr>
      <vt:lpstr>Sp1_W</vt:lpstr>
      <vt:lpstr>Sp1_ZA</vt:lpstr>
      <vt:lpstr>Sp1_ZB</vt:lpstr>
      <vt:lpstr>Sp2_Bm0</vt:lpstr>
      <vt:lpstr>Sp2_Bm1</vt:lpstr>
      <vt:lpstr>Sp2_BrgA</vt:lpstr>
      <vt:lpstr>Sp2_BrgB</vt:lpstr>
      <vt:lpstr>Sp2_C</vt:lpstr>
      <vt:lpstr>Sp2_Chk</vt:lpstr>
      <vt:lpstr>Sp2_Dk0</vt:lpstr>
      <vt:lpstr>Sp2_Dk1</vt:lpstr>
      <vt:lpstr>Sp2_Gc</vt:lpstr>
      <vt:lpstr>Sp2_Lb</vt:lpstr>
      <vt:lpstr>Sp2_LBeam</vt:lpstr>
      <vt:lpstr>Sp2_m</vt:lpstr>
      <vt:lpstr>Sp2_Mid</vt:lpstr>
      <vt:lpstr>Sp2_Sta0</vt:lpstr>
      <vt:lpstr>Sp2_Sta1</vt:lpstr>
      <vt:lpstr>Sp2_W</vt:lpstr>
      <vt:lpstr>Sp2_ZA</vt:lpstr>
      <vt:lpstr>Sp2_ZB</vt:lpstr>
      <vt:lpstr>Sup_Drop</vt:lpstr>
      <vt:lpstr>TB_CalcBy</vt:lpstr>
      <vt:lpstr>TB_CalcDate</vt:lpstr>
      <vt:lpstr>TB_CheckBy</vt:lpstr>
      <vt:lpstr>TB_CheckDate</vt:lpstr>
      <vt:lpstr>TB_JobNo</vt:lpstr>
      <vt:lpstr>TB_Project</vt:lpstr>
      <vt:lpstr>TB_Structure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Turley</cp:lastModifiedBy>
  <dcterms:created xsi:type="dcterms:W3CDTF">2026-10-16T17:38:09Z</dcterms:created>
  <dcterms:modified xsi:type="dcterms:W3CDTF">2026-10-19T16:16:45Z</dcterms:modified>
</cp:coreProperties>
</file>