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github\D2MPDB\geometry_tables\"/>
    </mc:Choice>
  </mc:AlternateContent>
  <xr:revisionPtr revIDLastSave="0" documentId="13_ncr:1_{5A25EE94-59E5-475B-B831-780F964034A6}" xr6:coauthVersionLast="47" xr6:coauthVersionMax="47" xr10:uidLastSave="{00000000-0000-0000-0000-000000000000}"/>
  <bookViews>
    <workbookView xWindow="1837" yWindow="1837" windowWidth="18226" windowHeight="11386" xr2:uid="{00000000-000D-0000-FFFF-FFFF00000000}"/>
  </bookViews>
  <sheets>
    <sheet name="Cover" sheetId="1" r:id="rId1"/>
    <sheet name="Inputs" sheetId="2" r:id="rId2"/>
    <sheet name="Inputs Method" sheetId="3" r:id="rId3"/>
    <sheet name="Profile &amp; Deck" sheetId="4" r:id="rId4"/>
    <sheet name="Profile &amp; Deck Method" sheetId="5" r:id="rId5"/>
    <sheet name="Beam Geometry" sheetId="6" r:id="rId6"/>
    <sheet name="Beam Geometry Method" sheetId="7" r:id="rId7"/>
    <sheet name="Camber &amp; Haunch" sheetId="8" r:id="rId8"/>
    <sheet name="Camber &amp; Haunch Method" sheetId="9" r:id="rId9"/>
    <sheet name="FGE" sheetId="10" r:id="rId10"/>
    <sheet name="FGE Method" sheetId="11" r:id="rId11"/>
    <sheet name="Bearing Seats" sheetId="12" r:id="rId12"/>
    <sheet name="Bearing Seats Method" sheetId="13" r:id="rId13"/>
    <sheet name="Substructure" sheetId="14" r:id="rId14"/>
    <sheet name="Substructure Method" sheetId="15" r:id="rId15"/>
    <sheet name="Beam Data" sheetId="16" r:id="rId16"/>
    <sheet name="Beam Data Method" sheetId="17" r:id="rId17"/>
    <sheet name="Clearance" sheetId="18" r:id="rId18"/>
    <sheet name="Clearance Method" sheetId="19" r:id="rId19"/>
    <sheet name="CAD FGE" sheetId="20" r:id="rId20"/>
    <sheet name="CAD FGE Method" sheetId="21" r:id="rId21"/>
    <sheet name="CAD Build-Up" sheetId="22" r:id="rId22"/>
    <sheet name="CAD Build-Up Method" sheetId="23" r:id="rId23"/>
    <sheet name="CAD Beam Variables" sheetId="24" r:id="rId24"/>
    <sheet name="CAD Beam Variables Method" sheetId="25" r:id="rId25"/>
    <sheet name="CAD Bearing Plates" sheetId="26" r:id="rId26"/>
    <sheet name="CAD Bearing Plates Method" sheetId="27" r:id="rId27"/>
    <sheet name="CAD Pedestal Elevs" sheetId="28" r:id="rId28"/>
    <sheet name="CAD Pedestal Elevs Method" sheetId="29" r:id="rId29"/>
    <sheet name="QC" sheetId="30" r:id="rId30"/>
    <sheet name="QC Method" sheetId="31" r:id="rId31"/>
  </sheets>
  <definedNames>
    <definedName name="Bar_C">Inputs!$D$210</definedName>
    <definedName name="Bar_D3s">Inputs!$D$214</definedName>
    <definedName name="Bar_DA">Inputs!$D$211</definedName>
    <definedName name="Bar_DB">Inputs!$D$212</definedName>
    <definedName name="Bar_MD">Inputs!$D$213</definedName>
    <definedName name="Bar_Mk">Inputs!$D$215</definedName>
    <definedName name="Bm_Area">Inputs!$D$208</definedName>
    <definedName name="Bm_Bf">Inputs!$D$41</definedName>
    <definedName name="Bm_D">Inputs!$D$40</definedName>
    <definedName name="Bm_First">Inputs!$D$39</definedName>
    <definedName name="Bm_Gap1">Inputs!$D$45</definedName>
    <definedName name="Bm_Hmin">Inputs!$D$42</definedName>
    <definedName name="Bm_N">Inputs!$D$37</definedName>
    <definedName name="Bm_S">Inputs!$D$38</definedName>
    <definedName name="Bm_Type">Inputs!$D$36</definedName>
    <definedName name="Bm1_dCL">'Profile &amp; Deck'!$I$29</definedName>
    <definedName name="Bm1_dMin">'Profile &amp; Deck'!$L$29</definedName>
    <definedName name="Bm1_FL">'Profile &amp; Deck'!$D$29</definedName>
    <definedName name="Bm1_FR">'Profile &amp; Deck'!$F$29</definedName>
    <definedName name="Bm1_Off">'Profile &amp; Deck'!$C$29</definedName>
    <definedName name="Bm1_Raise">Inputs!$D$43</definedName>
    <definedName name="Bm2_dCL">'Profile &amp; Deck'!$I$30</definedName>
    <definedName name="Bm2_dMin">'Profile &amp; Deck'!$L$30</definedName>
    <definedName name="Bm2_FL">'Profile &amp; Deck'!$D$30</definedName>
    <definedName name="Bm2_FR">'Profile &amp; Deck'!$F$30</definedName>
    <definedName name="Bm2_Off">'Profile &amp; Deck'!$C$30</definedName>
    <definedName name="Bm2_Raise">Inputs!$D$44</definedName>
    <definedName name="Build_Fingerprint">Cover!$C$10</definedName>
    <definedName name="Clr_Cover">Clearance!$F$11</definedName>
    <definedName name="Clr_Margin">Clearance!$F$10</definedName>
    <definedName name="Clr_Min">Clearance!$F$7</definedName>
    <definedName name="Clr_Sta">Clearance!$F$8</definedName>
    <definedName name="Clr_Status">Clearance!$F$12</definedName>
    <definedName name="Deck_C">Inputs!$D$29</definedName>
    <definedName name="Deck_Crown">Inputs!$D$31</definedName>
    <definedName name="Deck_dL">'Profile &amp; Deck'!$D$24</definedName>
    <definedName name="Deck_dR">'Profile &amp; Deck'!$D$25</definedName>
    <definedName name="Deck_Mode">Inputs!$D$27</definedName>
    <definedName name="Deck_T">Inputs!$D$30</definedName>
    <definedName name="Deck_Uni">Inputs!$D$32</definedName>
    <definedName name="Deck_W">Inputs!$D$28</definedName>
    <definedName name="Deck_YL">'Profile &amp; Deck'!$D$22</definedName>
    <definedName name="Deck_YR">'Profile &amp; Deck'!$D$23</definedName>
    <definedName name="Des_BevelLimit">Inputs!$D$206</definedName>
    <definedName name="Des_ConcClass">Inputs!$D$202</definedName>
    <definedName name="Des_DimP">Inputs!$D$207</definedName>
    <definedName name="Des_FGEInc">Inputs!$D$209</definedName>
    <definedName name="Des_PadType">Inputs!$D$205</definedName>
    <definedName name="Des_Pattern">Inputs!$D$203</definedName>
    <definedName name="Des_PlanCase">Inputs!$D$204</definedName>
    <definedName name="EB1_BmBrg">Inputs!$D$110</definedName>
    <definedName name="EB1_BmClr">Inputs!$D$109</definedName>
    <definedName name="EB1_BW">Inputs!$D$107</definedName>
    <definedName name="EB1_CapSta">Substructure!$D$9</definedName>
    <definedName name="EB1_Chamf">Inputs!$D$106</definedName>
    <definedName name="EB1_Ctr">Inputs!$D$102</definedName>
    <definedName name="EB1_Depth">Inputs!$D$90</definedName>
    <definedName name="EB1_Emb">Inputs!$D$96</definedName>
    <definedName name="EB1_Inset">Inputs!$D$108</definedName>
    <definedName name="EB1_Len">Substructure!$K$9</definedName>
    <definedName name="EB1_LenFix">Inputs!$D$91</definedName>
    <definedName name="EB1_NPile">Inputs!$D$92</definedName>
    <definedName name="EB1_Pad">Inputs!$D$97</definedName>
    <definedName name="EB1_PadL">Inputs!$D$98</definedName>
    <definedName name="EB1_PadW">Inputs!$D$99</definedName>
    <definedName name="EB1_PedL">Inputs!$D$105</definedName>
    <definedName name="EB1_PedW">Inputs!$D$104</definedName>
    <definedName name="EB1_PileClr">Inputs!$D$95</definedName>
    <definedName name="EB1_PileSp">Inputs!$D$94</definedName>
    <definedName name="EB1_PileSpFt">Substructure!$I$9</definedName>
    <definedName name="EB1_PileW">Inputs!$D$93</definedName>
    <definedName name="EB1_Reveal">Inputs!$D$100</definedName>
    <definedName name="EB1_Slope">Inputs!$D$103</definedName>
    <definedName name="EB1_Top">Substructure!$R$9</definedName>
    <definedName name="EB1_TopFix">Inputs!$D$101</definedName>
    <definedName name="EB1_Under">Substructure!$S$9</definedName>
    <definedName name="EB1_Width">Inputs!$D$89</definedName>
    <definedName name="EB2_BmBrg">Inputs!$D$135</definedName>
    <definedName name="EB2_BmClr">Inputs!$D$134</definedName>
    <definedName name="EB2_BW">Inputs!$D$132</definedName>
    <definedName name="EB2_CapSta">Substructure!$D$10</definedName>
    <definedName name="EB2_Chamf">Inputs!$D$131</definedName>
    <definedName name="EB2_Ctr">Inputs!$D$127</definedName>
    <definedName name="EB2_Depth">Inputs!$D$115</definedName>
    <definedName name="EB2_Emb">Inputs!$D$121</definedName>
    <definedName name="EB2_Inset">Inputs!$D$133</definedName>
    <definedName name="EB2_Len">Substructure!$K$10</definedName>
    <definedName name="EB2_LenFix">Inputs!$D$116</definedName>
    <definedName name="EB2_NPile">Inputs!$D$117</definedName>
    <definedName name="EB2_Pad">Inputs!$D$122</definedName>
    <definedName name="EB2_PadL">Inputs!$D$123</definedName>
    <definedName name="EB2_PadW">Inputs!$D$124</definedName>
    <definedName name="EB2_PedL">Inputs!$D$130</definedName>
    <definedName name="EB2_PedW">Inputs!$D$129</definedName>
    <definedName name="EB2_PileClr">Inputs!$D$120</definedName>
    <definedName name="EB2_PileSp">Inputs!$D$119</definedName>
    <definedName name="EB2_PileSpFt">Substructure!$I$10</definedName>
    <definedName name="EB2_PileW">Inputs!$D$118</definedName>
    <definedName name="EB2_Reveal">Inputs!$D$125</definedName>
    <definedName name="EB2_Slope">Inputs!$D$128</definedName>
    <definedName name="EB2_Top">Substructure!$R$10</definedName>
    <definedName name="EB2_TopFix">Inputs!$D$126</definedName>
    <definedName name="EB2_Under">Substructure!$S$10</definedName>
    <definedName name="EB2_Width">Inputs!$D$114</definedName>
    <definedName name="Haunch_Min">'Camber &amp; Haunch'!$E$19</definedName>
    <definedName name="MC1_A1_A">Inputs!$D$178</definedName>
    <definedName name="MC1_A1_n">Inputs!$D$177</definedName>
    <definedName name="MC1_A1_s">Inputs!$D$176</definedName>
    <definedName name="MC1_A2_A">Inputs!$D$181</definedName>
    <definedName name="MC1_A2_n">Inputs!$D$180</definedName>
    <definedName name="MC1_A2_s">Inputs!$D$179</definedName>
    <definedName name="MC1_A3_A">Inputs!$D$184</definedName>
    <definedName name="MC1_A3_n">Inputs!$D$183</definedName>
    <definedName name="MC1_A3_s">Inputs!$D$182</definedName>
    <definedName name="MC1_Astr">Inputs!$D$161</definedName>
    <definedName name="MC1_BrgDist">Inputs!$D$148</definedName>
    <definedName name="MC1_D120">Inputs!$D$171</definedName>
    <definedName name="MC1_Dc">Inputs!$D$173</definedName>
    <definedName name="MC1_Dnc">Inputs!$D$172</definedName>
    <definedName name="MC1_Drel">Inputs!$D$170</definedName>
    <definedName name="MC1_DTop">Inputs!$D$167</definedName>
    <definedName name="MC1_Ec">Inputs!$D$157</definedName>
    <definedName name="MC1_Eci">Inputs!$D$156</definedName>
    <definedName name="MC1_EndSp">Inputs!$D$175</definedName>
    <definedName name="MC1_Env">Inputs!$D$159</definedName>
    <definedName name="MC1_Esh">Inputs!$D$169</definedName>
    <definedName name="MC1_fc">Inputs!$D$154</definedName>
    <definedName name="MC1_fci">Inputs!$D$155</definedName>
    <definedName name="MC1_File">Inputs!$D$145</definedName>
    <definedName name="MC1_H">Inputs!$D$158</definedName>
    <definedName name="MC1_Hbu">Inputs!$D$152</definedName>
    <definedName name="MC1_Lbeam">Inputs!$D$147</definedName>
    <definedName name="MC1_NDeb">Inputs!$D$163</definedName>
    <definedName name="MC1_Net">Inputs!$D$174</definedName>
    <definedName name="MC1_NStr">Inputs!$D$162</definedName>
    <definedName name="MC1_NTop">Inputs!$D$165</definedName>
    <definedName name="MC1_PadW">Inputs!$D$149</definedName>
    <definedName name="MC1_Pj">Inputs!$D$164</definedName>
    <definedName name="MC1_Psi">Inputs!$D$168</definedName>
    <definedName name="MC1_PTop">Inputs!$D$166</definedName>
    <definedName name="MC1_S1_A">Inputs!$D$187</definedName>
    <definedName name="MC1_S1_n">Inputs!$D$186</definedName>
    <definedName name="MC1_S1_s">Inputs!$D$185</definedName>
    <definedName name="MC1_S2_A">Inputs!$D$190</definedName>
    <definedName name="MC1_S2_n">Inputs!$D$189</definedName>
    <definedName name="MC1_S2_s">Inputs!$D$188</definedName>
    <definedName name="MC1_S3_A">Inputs!$D$193</definedName>
    <definedName name="MC1_S3_n">Inputs!$D$192</definedName>
    <definedName name="MC1_S3_s">Inputs!$D$191</definedName>
    <definedName name="MC1_S4_A">Inputs!$D$196</definedName>
    <definedName name="MC1_S4_n">Inputs!$D$195</definedName>
    <definedName name="MC1_S4_s">Inputs!$D$194</definedName>
    <definedName name="MC1_Skew">Inputs!$D$153</definedName>
    <definedName name="MC1_Spacing">Inputs!$D$150</definedName>
    <definedName name="MC1_StrType">Inputs!$D$160</definedName>
    <definedName name="MC1_Tdeck">Inputs!$D$151</definedName>
    <definedName name="MC1_Type">Inputs!$D$146</definedName>
    <definedName name="MC2_A1_A">Inputs!$E$178</definedName>
    <definedName name="MC2_A1_n">Inputs!$E$177</definedName>
    <definedName name="MC2_A1_s">Inputs!$E$176</definedName>
    <definedName name="MC2_A2_A">Inputs!$E$181</definedName>
    <definedName name="MC2_A2_n">Inputs!$E$180</definedName>
    <definedName name="MC2_A2_s">Inputs!$E$179</definedName>
    <definedName name="MC2_A3_A">Inputs!$E$184</definedName>
    <definedName name="MC2_A3_n">Inputs!$E$183</definedName>
    <definedName name="MC2_A3_s">Inputs!$E$182</definedName>
    <definedName name="MC2_Astr">Inputs!$E$161</definedName>
    <definedName name="MC2_BrgDist">Inputs!$E$148</definedName>
    <definedName name="MC2_D120">Inputs!$E$171</definedName>
    <definedName name="MC2_Dc">Inputs!$E$173</definedName>
    <definedName name="MC2_Dnc">Inputs!$E$172</definedName>
    <definedName name="MC2_Drel">Inputs!$E$170</definedName>
    <definedName name="MC2_DTop">Inputs!$E$167</definedName>
    <definedName name="MC2_Ec">Inputs!$E$157</definedName>
    <definedName name="MC2_Eci">Inputs!$E$156</definedName>
    <definedName name="MC2_EndSp">Inputs!$E$175</definedName>
    <definedName name="MC2_Env">Inputs!$E$159</definedName>
    <definedName name="MC2_Esh">Inputs!$E$169</definedName>
    <definedName name="MC2_fc">Inputs!$E$154</definedName>
    <definedName name="MC2_fci">Inputs!$E$155</definedName>
    <definedName name="MC2_File">Inputs!$E$145</definedName>
    <definedName name="MC2_H">Inputs!$E$158</definedName>
    <definedName name="MC2_Hbu">Inputs!$E$152</definedName>
    <definedName name="MC2_Lbeam">Inputs!$E$147</definedName>
    <definedName name="MC2_NDeb">Inputs!$E$163</definedName>
    <definedName name="MC2_Net">Inputs!$E$174</definedName>
    <definedName name="MC2_NStr">Inputs!$E$162</definedName>
    <definedName name="MC2_NTop">Inputs!$E$165</definedName>
    <definedName name="MC2_PadW">Inputs!$E$149</definedName>
    <definedName name="MC2_Pj">Inputs!$E$164</definedName>
    <definedName name="MC2_Psi">Inputs!$E$168</definedName>
    <definedName name="MC2_PTop">Inputs!$E$166</definedName>
    <definedName name="MC2_S1_A">Inputs!$E$187</definedName>
    <definedName name="MC2_S1_n">Inputs!$E$186</definedName>
    <definedName name="MC2_S1_s">Inputs!$E$185</definedName>
    <definedName name="MC2_S2_A">Inputs!$E$190</definedName>
    <definedName name="MC2_S2_n">Inputs!$E$189</definedName>
    <definedName name="MC2_S2_s">Inputs!$E$188</definedName>
    <definedName name="MC2_S3_A">Inputs!$E$193</definedName>
    <definedName name="MC2_S3_n">Inputs!$E$192</definedName>
    <definedName name="MC2_S3_s">Inputs!$E$191</definedName>
    <definedName name="MC2_S4_A">Inputs!$E$196</definedName>
    <definedName name="MC2_S4_n">Inputs!$E$195</definedName>
    <definedName name="MC2_S4_s">Inputs!$E$194</definedName>
    <definedName name="MC2_Skew">Inputs!$E$153</definedName>
    <definedName name="MC2_Spacing">Inputs!$E$150</definedName>
    <definedName name="MC2_StrType">Inputs!$E$160</definedName>
    <definedName name="MC2_Tdeck">Inputs!$E$151</definedName>
    <definedName name="MC2_Type">Inputs!$E$146</definedName>
    <definedName name="Pad_Table">Inputs!$B$219:$E$225</definedName>
    <definedName name="Phys_DeckClr">Inputs!$D$61</definedName>
    <definedName name="Phys_EndClr">Inputs!$D$58</definedName>
    <definedName name="Phys_PierGap">Inputs!$D$59</definedName>
    <definedName name="Phys_Setback">Inputs!$D$60</definedName>
    <definedName name="Phys_TrialPile">Inputs!$D$62</definedName>
    <definedName name="Pier_CapSta">Substructure!$D$8</definedName>
    <definedName name="Pier_Chamf">Inputs!$D$85</definedName>
    <definedName name="Pier_Ctr">Inputs!$D$81</definedName>
    <definedName name="Pier_Depth">Inputs!$D$70</definedName>
    <definedName name="Pier_Emb">Inputs!$D$78</definedName>
    <definedName name="Pier_Len">Substructure!$K$8</definedName>
    <definedName name="Pier_LenFix">Inputs!$D$72</definedName>
    <definedName name="Pier_NPile">Inputs!$D$73</definedName>
    <definedName name="Pier_Pad">Inputs!$D$67</definedName>
    <definedName name="Pier_PadL">Inputs!$D$68</definedName>
    <definedName name="Pier_PadW">Inputs!$D$69</definedName>
    <definedName name="Pier_PedL">Inputs!$D$84</definedName>
    <definedName name="Pier_PedW">Inputs!$D$83</definedName>
    <definedName name="Pier_PileClr">Inputs!$D$77</definedName>
    <definedName name="Pier_PileD">Inputs!$D$74</definedName>
    <definedName name="Pier_PileSpD">Inputs!$D$76</definedName>
    <definedName name="Pier_PileSpFt">Substructure!$I$8</definedName>
    <definedName name="Pier_PileWall">Inputs!$D$75</definedName>
    <definedName name="Pier_Reveal">Inputs!$D$79</definedName>
    <definedName name="Pier_Slope">Inputs!$D$82</definedName>
    <definedName name="Pier_Sta">Inputs!$D$66</definedName>
    <definedName name="Pier_Top">Substructure!$R$8</definedName>
    <definedName name="Pier_TopFix">Inputs!$D$80</definedName>
    <definedName name="Pier_Under">Substructure!$S$8</definedName>
    <definedName name="Pier_Width">Inputs!$D$71</definedName>
    <definedName name="Prof_dG">Inputs!$D$23</definedName>
    <definedName name="Prof_G1">'Profile &amp; Deck'!$D$10</definedName>
    <definedName name="Prof_G2">'Profile &amp; Deck'!$D$11</definedName>
    <definedName name="Prof_Gnom">Inputs!$D$22</definedName>
    <definedName name="Prof_Kq">'Profile &amp; Deck'!$D$12</definedName>
    <definedName name="Prof_L">'Profile &amp; Deck'!$D$8</definedName>
    <definedName name="Prof_Mode">Inputs!$D$16</definedName>
    <definedName name="Prof_PISta">Inputs!$D$21</definedName>
    <definedName name="Prof_PIZ">'Profile &amp; Deck'!$D$9</definedName>
    <definedName name="Prof_Sta0">Inputs!$D$17</definedName>
    <definedName name="Prof_Sta1">Inputs!$D$18</definedName>
    <definedName name="Prof_Z0">Inputs!$D$19</definedName>
    <definedName name="Prof_Z1">Inputs!$D$20</definedName>
    <definedName name="QC_Counts">QC!$C$164</definedName>
    <definedName name="QC_Overall">QC!$G$164</definedName>
    <definedName name="Rd_File">Inputs!$D$141</definedName>
    <definedName name="Rd_Req">Inputs!$D$139</definedName>
    <definedName name="Rd_Shift">Inputs!$D$140</definedName>
    <definedName name="Sp1_Bm0">'Beam Geometry'!$G$8</definedName>
    <definedName name="Sp1_Bm1">'Beam Geometry'!$H$8</definedName>
    <definedName name="Sp1_BrgA">'Beam Geometry'!$I$8</definedName>
    <definedName name="Sp1_BrgB">'Beam Geometry'!$J$8</definedName>
    <definedName name="Sp1_C">Inputs!$D$51</definedName>
    <definedName name="Sp1_Chk">'Beam Geometry'!$S$8</definedName>
    <definedName name="Sp1_Dk0">'Beam Geometry'!$K$8</definedName>
    <definedName name="Sp1_Dk1">'Beam Geometry'!$L$8</definedName>
    <definedName name="Sp1_Gc">'Beam Geometry'!$R$8</definedName>
    <definedName name="Sp1_Lb">'Beam Geometry'!$N$8</definedName>
    <definedName name="Sp1_LBeam">'Beam Geometry'!$M$8</definedName>
    <definedName name="Sp1_m">'Camber &amp; Haunch'!$G$8</definedName>
    <definedName name="Sp1_Mid">'Beam Geometry'!$O$8</definedName>
    <definedName name="Sp1_Sta0">Inputs!$D$49</definedName>
    <definedName name="Sp1_Sta1">Inputs!$D$50</definedName>
    <definedName name="Sp1_W">'Camber &amp; Haunch'!$H$8</definedName>
    <definedName name="Sp1_ZA">'Beam Geometry'!$P$8</definedName>
    <definedName name="Sp1_ZB">'Beam Geometry'!$Q$8</definedName>
    <definedName name="Sp2_Bm0">'Beam Geometry'!$G$9</definedName>
    <definedName name="Sp2_Bm1">'Beam Geometry'!$H$9</definedName>
    <definedName name="Sp2_BrgA">'Beam Geometry'!$I$9</definedName>
    <definedName name="Sp2_BrgB">'Beam Geometry'!$J$9</definedName>
    <definedName name="Sp2_C">Inputs!$D$54</definedName>
    <definedName name="Sp2_Chk">'Beam Geometry'!$S$9</definedName>
    <definedName name="Sp2_Dk0">'Beam Geometry'!$K$9</definedName>
    <definedName name="Sp2_Dk1">'Beam Geometry'!$L$9</definedName>
    <definedName name="Sp2_Gc">'Beam Geometry'!$R$9</definedName>
    <definedName name="Sp2_Lb">'Beam Geometry'!$N$9</definedName>
    <definedName name="Sp2_LBeam">'Beam Geometry'!$M$9</definedName>
    <definedName name="Sp2_m">'Camber &amp; Haunch'!$G$9</definedName>
    <definedName name="Sp2_Mid">'Beam Geometry'!$O$9</definedName>
    <definedName name="Sp2_Sta0">Inputs!$D$52</definedName>
    <definedName name="Sp2_Sta1">Inputs!$D$53</definedName>
    <definedName name="Sp2_W">'Camber &amp; Haunch'!$H$9</definedName>
    <definedName name="Sp2_ZA">'Beam Geometry'!$P$9</definedName>
    <definedName name="Sp2_ZB">'Beam Geometry'!$Q$9</definedName>
    <definedName name="Sup_Drop">'Camber &amp; Haunch'!$E$18</definedName>
    <definedName name="TB_CalcBy">Inputs!$D$9</definedName>
    <definedName name="TB_CalcDate">Inputs!$D$10</definedName>
    <definedName name="TB_CheckBy">Inputs!$D$11</definedName>
    <definedName name="TB_CheckDate">Inputs!$D$12</definedName>
    <definedName name="TB_JobNo">Inputs!$D$8</definedName>
    <definedName name="TB_Project">Inputs!$D$6</definedName>
    <definedName name="TB_Structure">Inputs!$D$7</definedName>
  </definedNames>
  <calcPr calcId="181029"/>
</workbook>
</file>

<file path=xl/calcChain.xml><?xml version="1.0" encoding="utf-8"?>
<calcChain xmlns="http://schemas.openxmlformats.org/spreadsheetml/2006/main">
  <c r="G156" i="30" l="1"/>
  <c r="G155" i="30"/>
  <c r="G154" i="30"/>
  <c r="G142" i="30"/>
  <c r="C142" i="30"/>
  <c r="E142" i="30" s="1"/>
  <c r="C141" i="30"/>
  <c r="E141" i="30" s="1"/>
  <c r="G141" i="30" s="1"/>
  <c r="C140" i="30"/>
  <c r="E140" i="30" s="1"/>
  <c r="G140" i="30" s="1"/>
  <c r="E139" i="30"/>
  <c r="G139" i="30" s="1"/>
  <c r="C139" i="30"/>
  <c r="C137" i="30"/>
  <c r="E137" i="30" s="1"/>
  <c r="G137" i="30" s="1"/>
  <c r="C136" i="30"/>
  <c r="E136" i="30" s="1"/>
  <c r="G136" i="30" s="1"/>
  <c r="C135" i="30"/>
  <c r="E135" i="30" s="1"/>
  <c r="G135" i="30" s="1"/>
  <c r="C134" i="30"/>
  <c r="E134" i="30" s="1"/>
  <c r="G134" i="30" s="1"/>
  <c r="J4" i="30"/>
  <c r="J3" i="30"/>
  <c r="J2" i="30"/>
  <c r="J1" i="30"/>
  <c r="B12" i="28"/>
  <c r="B11" i="28"/>
  <c r="B10" i="28"/>
  <c r="B9" i="28"/>
  <c r="K5" i="28"/>
  <c r="K4" i="28"/>
  <c r="K3" i="28"/>
  <c r="K2" i="28"/>
  <c r="K1" i="28"/>
  <c r="E16" i="26"/>
  <c r="C16" i="26"/>
  <c r="B16" i="26"/>
  <c r="A16" i="26"/>
  <c r="E15" i="26"/>
  <c r="C15" i="26"/>
  <c r="B15" i="26"/>
  <c r="A15" i="26"/>
  <c r="E14" i="26"/>
  <c r="C14" i="26"/>
  <c r="B14" i="26"/>
  <c r="A14" i="26"/>
  <c r="E13" i="26"/>
  <c r="C13" i="26"/>
  <c r="B13" i="26"/>
  <c r="A13" i="26"/>
  <c r="E12" i="26"/>
  <c r="C12" i="26"/>
  <c r="B12" i="26"/>
  <c r="A12" i="26"/>
  <c r="E11" i="26"/>
  <c r="C11" i="26"/>
  <c r="B11" i="26"/>
  <c r="A11" i="26"/>
  <c r="E10" i="26"/>
  <c r="C10" i="26"/>
  <c r="B10" i="26"/>
  <c r="A10" i="26"/>
  <c r="E9" i="26"/>
  <c r="C9" i="26"/>
  <c r="B9" i="26"/>
  <c r="A9" i="26"/>
  <c r="M5" i="26"/>
  <c r="M4" i="26"/>
  <c r="M3" i="26"/>
  <c r="M2" i="26"/>
  <c r="M1" i="26"/>
  <c r="L13" i="24"/>
  <c r="K13" i="24"/>
  <c r="J13" i="24"/>
  <c r="I13" i="24"/>
  <c r="G13" i="24"/>
  <c r="F13" i="24"/>
  <c r="E13" i="24"/>
  <c r="D13" i="24"/>
  <c r="C13" i="24"/>
  <c r="L12" i="24"/>
  <c r="K12" i="24"/>
  <c r="J12" i="24"/>
  <c r="I12" i="24"/>
  <c r="G12" i="24"/>
  <c r="F12" i="24"/>
  <c r="E12" i="24"/>
  <c r="D12" i="24"/>
  <c r="C12" i="24"/>
  <c r="L11" i="24"/>
  <c r="K11" i="24"/>
  <c r="J11" i="24"/>
  <c r="I11" i="24"/>
  <c r="G11" i="24"/>
  <c r="F11" i="24"/>
  <c r="E11" i="24"/>
  <c r="D11" i="24"/>
  <c r="C11" i="24"/>
  <c r="L10" i="24"/>
  <c r="K10" i="24"/>
  <c r="J10" i="24"/>
  <c r="I10" i="24"/>
  <c r="G10" i="24"/>
  <c r="F10" i="24"/>
  <c r="E10" i="24"/>
  <c r="D10" i="24"/>
  <c r="C10" i="24"/>
  <c r="AD5" i="24"/>
  <c r="AD4" i="24"/>
  <c r="AD3" i="24"/>
  <c r="AD2" i="24"/>
  <c r="AD1" i="24"/>
  <c r="H12" i="22"/>
  <c r="G12" i="22"/>
  <c r="F12" i="22"/>
  <c r="H11" i="22"/>
  <c r="G11" i="22"/>
  <c r="F11" i="22"/>
  <c r="H10" i="22"/>
  <c r="G10" i="22"/>
  <c r="F10" i="22"/>
  <c r="H9" i="22"/>
  <c r="G9" i="22"/>
  <c r="F9" i="22"/>
  <c r="K5" i="22"/>
  <c r="K4" i="22"/>
  <c r="K3" i="22"/>
  <c r="K2" i="22"/>
  <c r="K1" i="22"/>
  <c r="N5" i="20"/>
  <c r="N4" i="20"/>
  <c r="N3" i="20"/>
  <c r="N2" i="20"/>
  <c r="N1" i="20"/>
  <c r="F114" i="18"/>
  <c r="E114" i="18"/>
  <c r="J113" i="18"/>
  <c r="F113" i="18"/>
  <c r="E113" i="18"/>
  <c r="F112" i="18"/>
  <c r="E112" i="18"/>
  <c r="J112" i="18" s="1"/>
  <c r="J111" i="18"/>
  <c r="F111" i="18"/>
  <c r="E111" i="18"/>
  <c r="F110" i="18"/>
  <c r="E110" i="18"/>
  <c r="F109" i="18"/>
  <c r="J109" i="18" s="1"/>
  <c r="E109" i="18"/>
  <c r="F108" i="18"/>
  <c r="E108" i="18"/>
  <c r="F107" i="18"/>
  <c r="E107" i="18"/>
  <c r="F106" i="18"/>
  <c r="E106" i="18"/>
  <c r="J105" i="18"/>
  <c r="F105" i="18"/>
  <c r="E105" i="18"/>
  <c r="J104" i="18"/>
  <c r="F104" i="18"/>
  <c r="E104" i="18"/>
  <c r="F103" i="18"/>
  <c r="E103" i="18"/>
  <c r="J103" i="18" s="1"/>
  <c r="F102" i="18"/>
  <c r="E102" i="18"/>
  <c r="F101" i="18"/>
  <c r="J101" i="18" s="1"/>
  <c r="E101" i="18"/>
  <c r="F100" i="18"/>
  <c r="E100" i="18"/>
  <c r="F99" i="18"/>
  <c r="E99" i="18"/>
  <c r="F98" i="18"/>
  <c r="E98" i="18"/>
  <c r="J97" i="18"/>
  <c r="F97" i="18"/>
  <c r="E97" i="18"/>
  <c r="F96" i="18"/>
  <c r="E96" i="18"/>
  <c r="J96" i="18" s="1"/>
  <c r="F95" i="18"/>
  <c r="J95" i="18" s="1"/>
  <c r="E95" i="18"/>
  <c r="F94" i="18"/>
  <c r="E94" i="18"/>
  <c r="F93" i="18"/>
  <c r="J93" i="18" s="1"/>
  <c r="E93" i="18"/>
  <c r="F92" i="18"/>
  <c r="E92" i="18"/>
  <c r="F91" i="18"/>
  <c r="E91" i="18"/>
  <c r="F90" i="18"/>
  <c r="E90" i="18"/>
  <c r="F89" i="18"/>
  <c r="E89" i="18"/>
  <c r="J89" i="18" s="1"/>
  <c r="F88" i="18"/>
  <c r="J88" i="18" s="1"/>
  <c r="E88" i="18"/>
  <c r="F87" i="18"/>
  <c r="J87" i="18" s="1"/>
  <c r="E87" i="18"/>
  <c r="F86" i="18"/>
  <c r="E86" i="18"/>
  <c r="F85" i="18"/>
  <c r="J85" i="18" s="1"/>
  <c r="E85" i="18"/>
  <c r="F84" i="18"/>
  <c r="J84" i="18" s="1"/>
  <c r="E84" i="18"/>
  <c r="F83" i="18"/>
  <c r="E83" i="18"/>
  <c r="F82" i="18"/>
  <c r="E82" i="18"/>
  <c r="F81" i="18"/>
  <c r="E81" i="18"/>
  <c r="J81" i="18" s="1"/>
  <c r="F80" i="18"/>
  <c r="J80" i="18" s="1"/>
  <c r="E80" i="18"/>
  <c r="F79" i="18"/>
  <c r="J79" i="18" s="1"/>
  <c r="E79" i="18"/>
  <c r="F78" i="18"/>
  <c r="E78" i="18"/>
  <c r="F77" i="18"/>
  <c r="E77" i="18"/>
  <c r="F76" i="18"/>
  <c r="E76" i="18"/>
  <c r="F75" i="18"/>
  <c r="E75" i="18"/>
  <c r="F74" i="18"/>
  <c r="E74" i="18"/>
  <c r="F73" i="18"/>
  <c r="J73" i="18" s="1"/>
  <c r="E73" i="18"/>
  <c r="F72" i="18"/>
  <c r="J72" i="18" s="1"/>
  <c r="E72" i="18"/>
  <c r="F71" i="18"/>
  <c r="J71" i="18" s="1"/>
  <c r="E71" i="18"/>
  <c r="F70" i="18"/>
  <c r="E70" i="18"/>
  <c r="F69" i="18"/>
  <c r="E69" i="18"/>
  <c r="F68" i="18"/>
  <c r="E68" i="18"/>
  <c r="F67" i="18"/>
  <c r="E67" i="18"/>
  <c r="F66" i="18"/>
  <c r="E66" i="18"/>
  <c r="F65" i="18"/>
  <c r="J65" i="18" s="1"/>
  <c r="E65" i="18"/>
  <c r="F64" i="18"/>
  <c r="J64" i="18" s="1"/>
  <c r="E64" i="18"/>
  <c r="J63" i="18"/>
  <c r="F63" i="18"/>
  <c r="E63" i="18"/>
  <c r="F62" i="18"/>
  <c r="E62" i="18"/>
  <c r="F61" i="18"/>
  <c r="E61" i="18"/>
  <c r="F60" i="18"/>
  <c r="E60" i="18"/>
  <c r="F59" i="18"/>
  <c r="E59" i="18"/>
  <c r="F58" i="18"/>
  <c r="E58" i="18"/>
  <c r="F57" i="18"/>
  <c r="J57" i="18" s="1"/>
  <c r="E57" i="18"/>
  <c r="J56" i="18"/>
  <c r="F56" i="18"/>
  <c r="E56" i="18"/>
  <c r="J55" i="18"/>
  <c r="F55" i="18"/>
  <c r="E55" i="18"/>
  <c r="F54" i="18"/>
  <c r="E54" i="18"/>
  <c r="F53" i="18"/>
  <c r="J53" i="18" s="1"/>
  <c r="E53" i="18"/>
  <c r="F52" i="18"/>
  <c r="E52" i="18"/>
  <c r="F51" i="18"/>
  <c r="E51" i="18"/>
  <c r="F50" i="18"/>
  <c r="E50" i="18"/>
  <c r="J49" i="18"/>
  <c r="F49" i="18"/>
  <c r="E49" i="18"/>
  <c r="J48" i="18"/>
  <c r="F48" i="18"/>
  <c r="E48" i="18"/>
  <c r="J47" i="18"/>
  <c r="F47" i="18"/>
  <c r="E47" i="18"/>
  <c r="F46" i="18"/>
  <c r="E46" i="18"/>
  <c r="F45" i="18"/>
  <c r="E45" i="18"/>
  <c r="F44" i="18"/>
  <c r="E44" i="18"/>
  <c r="F43" i="18"/>
  <c r="E43" i="18"/>
  <c r="F42" i="18"/>
  <c r="E42" i="18"/>
  <c r="J41" i="18"/>
  <c r="F41" i="18"/>
  <c r="E41" i="18"/>
  <c r="J40" i="18"/>
  <c r="F40" i="18"/>
  <c r="E40" i="18"/>
  <c r="F39" i="18"/>
  <c r="J39" i="18" s="1"/>
  <c r="E39" i="18"/>
  <c r="F38" i="18"/>
  <c r="E38" i="18"/>
  <c r="F37" i="18"/>
  <c r="E37" i="18"/>
  <c r="F36" i="18"/>
  <c r="E36" i="18"/>
  <c r="F35" i="18"/>
  <c r="E35" i="18"/>
  <c r="F34" i="18"/>
  <c r="E34" i="18"/>
  <c r="J33" i="18"/>
  <c r="F33" i="18"/>
  <c r="E33" i="18"/>
  <c r="F32" i="18"/>
  <c r="J32" i="18" s="1"/>
  <c r="E32" i="18"/>
  <c r="F31" i="18"/>
  <c r="E31" i="18"/>
  <c r="J31" i="18" s="1"/>
  <c r="F30" i="18"/>
  <c r="E30" i="18"/>
  <c r="F29" i="18"/>
  <c r="J29" i="18" s="1"/>
  <c r="E29" i="18"/>
  <c r="F28" i="18"/>
  <c r="E28" i="18"/>
  <c r="F27" i="18"/>
  <c r="E27" i="18"/>
  <c r="F26" i="18"/>
  <c r="E26" i="18"/>
  <c r="F25" i="18"/>
  <c r="E25" i="18"/>
  <c r="J25" i="18" s="1"/>
  <c r="F24" i="18"/>
  <c r="E24" i="18"/>
  <c r="J24" i="18" s="1"/>
  <c r="F23" i="18"/>
  <c r="E23" i="18"/>
  <c r="F22" i="18"/>
  <c r="E22" i="18"/>
  <c r="F21" i="18"/>
  <c r="E21" i="18"/>
  <c r="F20" i="18"/>
  <c r="E20" i="18"/>
  <c r="F19" i="18"/>
  <c r="E19" i="18"/>
  <c r="F18" i="18"/>
  <c r="E18" i="18"/>
  <c r="F17" i="18"/>
  <c r="J17" i="18" s="1"/>
  <c r="E17" i="18"/>
  <c r="J16" i="18"/>
  <c r="F16" i="18"/>
  <c r="E16" i="18"/>
  <c r="F9" i="18"/>
  <c r="Q4" i="18"/>
  <c r="Q3" i="18"/>
  <c r="Q2" i="18"/>
  <c r="Q1" i="18"/>
  <c r="E16" i="16"/>
  <c r="O9" i="16"/>
  <c r="N9" i="16"/>
  <c r="M9" i="16"/>
  <c r="L9" i="16"/>
  <c r="K9" i="16"/>
  <c r="J9" i="16"/>
  <c r="I9" i="16"/>
  <c r="H9" i="16"/>
  <c r="G9" i="16"/>
  <c r="F9" i="16"/>
  <c r="E9" i="16"/>
  <c r="D9" i="16"/>
  <c r="C9" i="16"/>
  <c r="O8" i="16"/>
  <c r="N8" i="16"/>
  <c r="E14" i="16" s="1"/>
  <c r="M8" i="16"/>
  <c r="L8" i="16"/>
  <c r="K8" i="16"/>
  <c r="J8" i="16"/>
  <c r="I8" i="16"/>
  <c r="H8" i="16"/>
  <c r="G8" i="16"/>
  <c r="F8" i="16"/>
  <c r="E8" i="16"/>
  <c r="D8" i="16"/>
  <c r="C8" i="16"/>
  <c r="Q4" i="16"/>
  <c r="Q3" i="16"/>
  <c r="Q2" i="16"/>
  <c r="Q1" i="16"/>
  <c r="D62" i="14"/>
  <c r="E61" i="14"/>
  <c r="I56" i="14"/>
  <c r="E55" i="14"/>
  <c r="E32" i="14"/>
  <c r="E31" i="14"/>
  <c r="E30" i="14"/>
  <c r="E29" i="14"/>
  <c r="E28" i="14"/>
  <c r="E27" i="14"/>
  <c r="U10" i="14"/>
  <c r="I59" i="14" s="1"/>
  <c r="P10" i="14"/>
  <c r="O10" i="14"/>
  <c r="N10" i="14"/>
  <c r="M10" i="14"/>
  <c r="D59" i="14" s="1"/>
  <c r="L10" i="14"/>
  <c r="J10" i="14"/>
  <c r="I10" i="14"/>
  <c r="H10" i="14"/>
  <c r="E60" i="14" s="1"/>
  <c r="G10" i="14"/>
  <c r="F10" i="14"/>
  <c r="E10" i="14"/>
  <c r="D10" i="14"/>
  <c r="C108" i="30" s="1"/>
  <c r="E108" i="30" s="1"/>
  <c r="G108" i="30" s="1"/>
  <c r="C10" i="14"/>
  <c r="U9" i="14"/>
  <c r="I55" i="14" s="1"/>
  <c r="P9" i="14"/>
  <c r="O9" i="14"/>
  <c r="N9" i="14"/>
  <c r="M9" i="14"/>
  <c r="D55" i="14" s="1"/>
  <c r="L9" i="14"/>
  <c r="J9" i="14"/>
  <c r="I9" i="14"/>
  <c r="H9" i="14"/>
  <c r="E58" i="14" s="1"/>
  <c r="G9" i="14"/>
  <c r="F9" i="14"/>
  <c r="V9" i="14" s="1"/>
  <c r="E9" i="14"/>
  <c r="C9" i="14"/>
  <c r="D9" i="14" s="1"/>
  <c r="C85" i="30" s="1"/>
  <c r="E85" i="30" s="1"/>
  <c r="G85" i="30" s="1"/>
  <c r="U8" i="14"/>
  <c r="I51" i="14" s="1"/>
  <c r="P8" i="14"/>
  <c r="O8" i="14"/>
  <c r="N8" i="14"/>
  <c r="M8" i="14"/>
  <c r="D52" i="14" s="1"/>
  <c r="L8" i="14"/>
  <c r="J8" i="14"/>
  <c r="I8" i="14"/>
  <c r="H8" i="14"/>
  <c r="E52" i="14" s="1"/>
  <c r="G8" i="14"/>
  <c r="F8" i="14"/>
  <c r="E8" i="14"/>
  <c r="D8" i="14"/>
  <c r="C50" i="30" s="1"/>
  <c r="E50" i="30" s="1"/>
  <c r="G50" i="30" s="1"/>
  <c r="C8" i="14"/>
  <c r="Q4" i="14"/>
  <c r="Q3" i="14"/>
  <c r="Q2" i="14"/>
  <c r="Q1" i="14"/>
  <c r="G38" i="12"/>
  <c r="F16" i="26" s="1"/>
  <c r="E38" i="12"/>
  <c r="G37" i="12"/>
  <c r="F15" i="26" s="1"/>
  <c r="E37" i="12"/>
  <c r="G36" i="12"/>
  <c r="F14" i="26" s="1"/>
  <c r="E36" i="12"/>
  <c r="G35" i="12"/>
  <c r="F13" i="26" s="1"/>
  <c r="E35" i="12"/>
  <c r="G34" i="12"/>
  <c r="F12" i="26" s="1"/>
  <c r="E34" i="12"/>
  <c r="G33" i="12"/>
  <c r="F11" i="26" s="1"/>
  <c r="E33" i="12"/>
  <c r="G32" i="12"/>
  <c r="F10" i="26" s="1"/>
  <c r="E32" i="12"/>
  <c r="G31" i="12"/>
  <c r="F9" i="26" s="1"/>
  <c r="E31" i="12"/>
  <c r="F27" i="12"/>
  <c r="C27" i="12"/>
  <c r="F26" i="12"/>
  <c r="C26" i="12"/>
  <c r="E22" i="12"/>
  <c r="D22" i="12"/>
  <c r="E21" i="12"/>
  <c r="D21" i="12"/>
  <c r="E20" i="12"/>
  <c r="D20" i="12"/>
  <c r="E19" i="12"/>
  <c r="D19" i="12"/>
  <c r="J15" i="12"/>
  <c r="I15" i="12"/>
  <c r="J14" i="12"/>
  <c r="I14" i="12"/>
  <c r="J13" i="12"/>
  <c r="I13" i="12"/>
  <c r="J12" i="12"/>
  <c r="I12" i="12"/>
  <c r="J11" i="12"/>
  <c r="I11" i="12"/>
  <c r="J10" i="12"/>
  <c r="I10" i="12"/>
  <c r="J9" i="12"/>
  <c r="I9" i="12"/>
  <c r="J8" i="12"/>
  <c r="I8" i="12"/>
  <c r="Q4" i="12"/>
  <c r="Q3" i="12"/>
  <c r="Q2" i="12"/>
  <c r="Q1" i="12"/>
  <c r="D27" i="10"/>
  <c r="Q21" i="10"/>
  <c r="Q22" i="10" s="1"/>
  <c r="O19" i="20" s="1"/>
  <c r="E21" i="10"/>
  <c r="E22" i="10" s="1"/>
  <c r="C19" i="20" s="1"/>
  <c r="D14" i="10"/>
  <c r="C12" i="10"/>
  <c r="D12" i="10" s="1"/>
  <c r="Q8" i="10"/>
  <c r="E8" i="10"/>
  <c r="O4" i="10"/>
  <c r="O3" i="10"/>
  <c r="O2" i="10"/>
  <c r="O1" i="10"/>
  <c r="I46" i="8"/>
  <c r="H46" i="8"/>
  <c r="F46" i="8"/>
  <c r="E46" i="8"/>
  <c r="G46" i="8" s="1"/>
  <c r="D46" i="8"/>
  <c r="C46" i="8"/>
  <c r="I45" i="8"/>
  <c r="H45" i="8"/>
  <c r="F45" i="8"/>
  <c r="E45" i="8"/>
  <c r="G45" i="8" s="1"/>
  <c r="D45" i="8"/>
  <c r="C45" i="8"/>
  <c r="G41" i="8"/>
  <c r="G40" i="8"/>
  <c r="G39" i="8"/>
  <c r="G38" i="8"/>
  <c r="D16" i="8"/>
  <c r="D15" i="8"/>
  <c r="D14" i="8"/>
  <c r="D13" i="8"/>
  <c r="J9" i="8"/>
  <c r="I9" i="8"/>
  <c r="C9" i="8"/>
  <c r="J8" i="8"/>
  <c r="I8" i="8"/>
  <c r="C8" i="8"/>
  <c r="M4" i="8"/>
  <c r="M3" i="8"/>
  <c r="M2" i="8"/>
  <c r="M1" i="8"/>
  <c r="Q16" i="6"/>
  <c r="P16" i="6"/>
  <c r="K16" i="6"/>
  <c r="P13" i="24" s="1"/>
  <c r="J16" i="6"/>
  <c r="K16" i="16" s="1"/>
  <c r="H16" i="6"/>
  <c r="I16" i="6" s="1"/>
  <c r="M16" i="16" s="1"/>
  <c r="E16" i="6"/>
  <c r="Q15" i="6"/>
  <c r="P15" i="6"/>
  <c r="K15" i="6"/>
  <c r="P12" i="24" s="1"/>
  <c r="H15" i="6"/>
  <c r="J15" i="6" s="1"/>
  <c r="E15" i="6"/>
  <c r="Q14" i="6"/>
  <c r="P14" i="6"/>
  <c r="K14" i="6"/>
  <c r="P11" i="24" s="1"/>
  <c r="I14" i="6"/>
  <c r="H14" i="6"/>
  <c r="J14" i="6" s="1"/>
  <c r="E14" i="6"/>
  <c r="Q13" i="6"/>
  <c r="P13" i="6"/>
  <c r="K13" i="6"/>
  <c r="P10" i="24" s="1"/>
  <c r="H13" i="6"/>
  <c r="J13" i="6" s="1"/>
  <c r="E13" i="6"/>
  <c r="T9" i="6"/>
  <c r="D9" i="6"/>
  <c r="H9" i="6" s="1"/>
  <c r="C9" i="6"/>
  <c r="T8" i="6"/>
  <c r="K8" i="6"/>
  <c r="G8" i="6"/>
  <c r="D8" i="6"/>
  <c r="C8" i="6"/>
  <c r="P4" i="6"/>
  <c r="P3" i="6"/>
  <c r="P2" i="6"/>
  <c r="P1" i="6"/>
  <c r="C37" i="4"/>
  <c r="G152" i="30" s="1"/>
  <c r="C36" i="4"/>
  <c r="G151" i="30" s="1"/>
  <c r="C35" i="4"/>
  <c r="G150" i="30" s="1"/>
  <c r="D25" i="4"/>
  <c r="D24" i="4"/>
  <c r="D23" i="4"/>
  <c r="C16" i="10" s="1"/>
  <c r="D16" i="10" s="1"/>
  <c r="D22" i="4"/>
  <c r="C25" i="10" s="1"/>
  <c r="D25" i="10" s="1"/>
  <c r="C18" i="4"/>
  <c r="E18" i="4" s="1"/>
  <c r="C17" i="4"/>
  <c r="C16" i="4"/>
  <c r="E16" i="4" s="1"/>
  <c r="D12" i="4"/>
  <c r="D9" i="4"/>
  <c r="C11" i="30" s="1"/>
  <c r="E11" i="30" s="1"/>
  <c r="G11" i="30" s="1"/>
  <c r="D8" i="4"/>
  <c r="L4" i="4"/>
  <c r="L3" i="4"/>
  <c r="L2" i="4"/>
  <c r="L1" i="4"/>
  <c r="D45" i="2"/>
  <c r="C34" i="4" s="1"/>
  <c r="G149" i="30" s="1"/>
  <c r="B3" i="1"/>
  <c r="I57" i="14" l="1"/>
  <c r="J38" i="18"/>
  <c r="E146" i="18"/>
  <c r="H146" i="18" s="1"/>
  <c r="D51" i="14"/>
  <c r="E53" i="14"/>
  <c r="J46" i="8"/>
  <c r="G160" i="30" s="1"/>
  <c r="I53" i="14"/>
  <c r="I58" i="14"/>
  <c r="J69" i="18"/>
  <c r="C29" i="10"/>
  <c r="D29" i="10" s="1"/>
  <c r="D54" i="14"/>
  <c r="D60" i="14"/>
  <c r="J45" i="8"/>
  <c r="G159" i="30" s="1"/>
  <c r="K8" i="14"/>
  <c r="C51" i="30" s="1"/>
  <c r="E51" i="30" s="1"/>
  <c r="G51" i="30" s="1"/>
  <c r="D10" i="4"/>
  <c r="C9" i="30" s="1"/>
  <c r="E9" i="30" s="1"/>
  <c r="G9" i="30" s="1"/>
  <c r="I15" i="6"/>
  <c r="Q15" i="16" s="1"/>
  <c r="AK12" i="24" s="1"/>
  <c r="I61" i="14"/>
  <c r="J77" i="18"/>
  <c r="C29" i="4"/>
  <c r="D37" i="14"/>
  <c r="D57" i="14"/>
  <c r="J20" i="18"/>
  <c r="J44" i="18"/>
  <c r="J61" i="18"/>
  <c r="D17" i="4"/>
  <c r="E17" i="4"/>
  <c r="L8" i="6"/>
  <c r="E10" i="10" s="1"/>
  <c r="H8" i="6"/>
  <c r="N12" i="24"/>
  <c r="O15" i="16"/>
  <c r="K15" i="16"/>
  <c r="R15" i="16"/>
  <c r="N15" i="16"/>
  <c r="AE13" i="24"/>
  <c r="AD13" i="24"/>
  <c r="M11" i="24"/>
  <c r="L14" i="16"/>
  <c r="Q14" i="16"/>
  <c r="M14" i="16"/>
  <c r="J14" i="16"/>
  <c r="Z13" i="24"/>
  <c r="AA13" i="24"/>
  <c r="N10" i="24"/>
  <c r="O13" i="16"/>
  <c r="R13" i="16"/>
  <c r="N13" i="16"/>
  <c r="K13" i="16"/>
  <c r="Q10" i="10"/>
  <c r="C21" i="30"/>
  <c r="E21" i="30" s="1"/>
  <c r="G21" i="30" s="1"/>
  <c r="J9" i="6"/>
  <c r="M9" i="6"/>
  <c r="K9" i="6"/>
  <c r="G9" i="6"/>
  <c r="C30" i="4"/>
  <c r="D9" i="26"/>
  <c r="M31" i="12"/>
  <c r="D13" i="26"/>
  <c r="M35" i="12"/>
  <c r="E56" i="14"/>
  <c r="E57" i="14"/>
  <c r="K10" i="14"/>
  <c r="E15" i="16"/>
  <c r="F119" i="18"/>
  <c r="E123" i="18"/>
  <c r="F129" i="18"/>
  <c r="J27" i="18"/>
  <c r="E136" i="18"/>
  <c r="E140" i="18"/>
  <c r="E150" i="18"/>
  <c r="E153" i="18"/>
  <c r="E157" i="18"/>
  <c r="E171" i="18"/>
  <c r="F194" i="18"/>
  <c r="J91" i="18"/>
  <c r="E205" i="18"/>
  <c r="E149" i="18"/>
  <c r="E29" i="4"/>
  <c r="I29" i="4" s="1"/>
  <c r="N13" i="24"/>
  <c r="N16" i="16"/>
  <c r="R16" i="16"/>
  <c r="O16" i="16"/>
  <c r="C32" i="28"/>
  <c r="C124" i="30"/>
  <c r="E124" i="30" s="1"/>
  <c r="G124" i="30" s="1"/>
  <c r="F123" i="18"/>
  <c r="J34" i="18"/>
  <c r="F136" i="18"/>
  <c r="E147" i="18"/>
  <c r="F153" i="18"/>
  <c r="J51" i="18"/>
  <c r="E160" i="18"/>
  <c r="E164" i="18"/>
  <c r="E182" i="18"/>
  <c r="F201" i="18"/>
  <c r="E130" i="18"/>
  <c r="F29" i="4"/>
  <c r="I13" i="6"/>
  <c r="C26" i="10"/>
  <c r="D26" i="10" s="1"/>
  <c r="G8" i="12"/>
  <c r="E16" i="14" s="1"/>
  <c r="D12" i="26"/>
  <c r="M34" i="12"/>
  <c r="D16" i="26"/>
  <c r="M38" i="12"/>
  <c r="C24" i="28"/>
  <c r="C74" i="30"/>
  <c r="E74" i="30" s="1"/>
  <c r="G74" i="30" s="1"/>
  <c r="AU12" i="24"/>
  <c r="AU13" i="24"/>
  <c r="L15" i="16"/>
  <c r="E120" i="18"/>
  <c r="E124" i="18"/>
  <c r="J28" i="18"/>
  <c r="F130" i="18"/>
  <c r="E134" i="18"/>
  <c r="E137" i="18"/>
  <c r="E141" i="18"/>
  <c r="J45" i="18"/>
  <c r="E154" i="18"/>
  <c r="F178" i="18"/>
  <c r="J75" i="18"/>
  <c r="E185" i="18"/>
  <c r="E189" i="18"/>
  <c r="E199" i="18"/>
  <c r="M13" i="24"/>
  <c r="L16" i="16"/>
  <c r="J16" i="16"/>
  <c r="Q16" i="16"/>
  <c r="D15" i="6"/>
  <c r="Q9" i="10"/>
  <c r="O9" i="20" s="1"/>
  <c r="L9" i="6"/>
  <c r="Q11" i="10"/>
  <c r="C13" i="10"/>
  <c r="D13" i="10" s="1"/>
  <c r="K9" i="14"/>
  <c r="C99" i="30"/>
  <c r="E99" i="30" s="1"/>
  <c r="G99" i="30" s="1"/>
  <c r="C27" i="28"/>
  <c r="E13" i="16"/>
  <c r="J18" i="18"/>
  <c r="F120" i="18"/>
  <c r="F124" i="18"/>
  <c r="E131" i="18"/>
  <c r="F134" i="18"/>
  <c r="F137" i="18"/>
  <c r="J35" i="18"/>
  <c r="E144" i="18"/>
  <c r="E148" i="18"/>
  <c r="E158" i="18"/>
  <c r="E161" i="18"/>
  <c r="E165" i="18"/>
  <c r="E179" i="18"/>
  <c r="F202" i="18"/>
  <c r="J99" i="18"/>
  <c r="E213" i="18"/>
  <c r="E162" i="18"/>
  <c r="G10" i="12"/>
  <c r="E18" i="14" s="1"/>
  <c r="G12" i="12"/>
  <c r="E20" i="14" s="1"/>
  <c r="D11" i="26"/>
  <c r="M33" i="12"/>
  <c r="D15" i="26"/>
  <c r="M37" i="12"/>
  <c r="C120" i="30"/>
  <c r="E120" i="30" s="1"/>
  <c r="G120" i="30" s="1"/>
  <c r="C30" i="28"/>
  <c r="E118" i="18"/>
  <c r="E121" i="18"/>
  <c r="E125" i="18"/>
  <c r="E138" i="18"/>
  <c r="F144" i="18"/>
  <c r="J42" i="18"/>
  <c r="F161" i="18"/>
  <c r="J59" i="18"/>
  <c r="E173" i="18"/>
  <c r="E127" i="18"/>
  <c r="C14" i="30"/>
  <c r="E14" i="30" s="1"/>
  <c r="G14" i="30" s="1"/>
  <c r="G153" i="30"/>
  <c r="D13" i="6"/>
  <c r="N11" i="24"/>
  <c r="N14" i="16"/>
  <c r="K14" i="16"/>
  <c r="E9" i="10"/>
  <c r="C9" i="20" s="1"/>
  <c r="C68" i="30"/>
  <c r="E68" i="30" s="1"/>
  <c r="G68" i="30" s="1"/>
  <c r="C21" i="28"/>
  <c r="C95" i="30"/>
  <c r="E95" i="30" s="1"/>
  <c r="G95" i="30" s="1"/>
  <c r="C25" i="28"/>
  <c r="C118" i="30"/>
  <c r="E118" i="30" s="1"/>
  <c r="G118" i="30" s="1"/>
  <c r="C29" i="28"/>
  <c r="C22" i="28"/>
  <c r="C70" i="30"/>
  <c r="E70" i="30" s="1"/>
  <c r="G70" i="30" s="1"/>
  <c r="AU10" i="24"/>
  <c r="AU11" i="24"/>
  <c r="AS12" i="24"/>
  <c r="AS13" i="24"/>
  <c r="O14" i="16"/>
  <c r="F121" i="18"/>
  <c r="J19" i="18"/>
  <c r="F125" i="18"/>
  <c r="E128" i="18"/>
  <c r="E132" i="18"/>
  <c r="E135" i="18"/>
  <c r="F138" i="18"/>
  <c r="E142" i="18"/>
  <c r="E145" i="18"/>
  <c r="F186" i="18"/>
  <c r="J83" i="18"/>
  <c r="E197" i="18"/>
  <c r="E207" i="18"/>
  <c r="M12" i="24"/>
  <c r="M15" i="16"/>
  <c r="J15" i="16"/>
  <c r="D10" i="26"/>
  <c r="M32" i="12"/>
  <c r="D14" i="26"/>
  <c r="M36" i="12"/>
  <c r="R14" i="16"/>
  <c r="E122" i="18"/>
  <c r="J23" i="18"/>
  <c r="F128" i="18"/>
  <c r="J26" i="18"/>
  <c r="F132" i="18"/>
  <c r="E139" i="18"/>
  <c r="F142" i="18"/>
  <c r="F145" i="18"/>
  <c r="J43" i="18"/>
  <c r="E152" i="18"/>
  <c r="E156" i="18"/>
  <c r="E166" i="18"/>
  <c r="E174" i="18"/>
  <c r="F210" i="18"/>
  <c r="J107" i="18"/>
  <c r="H27" i="14"/>
  <c r="G14" i="12"/>
  <c r="E22" i="14" s="1"/>
  <c r="E24" i="10"/>
  <c r="D11" i="4"/>
  <c r="D29" i="4"/>
  <c r="I8" i="6"/>
  <c r="E119" i="18"/>
  <c r="E126" i="18"/>
  <c r="E129" i="18"/>
  <c r="E133" i="18"/>
  <c r="J37" i="18"/>
  <c r="F152" i="18"/>
  <c r="J50" i="18"/>
  <c r="F169" i="18"/>
  <c r="J67" i="18"/>
  <c r="E181" i="18"/>
  <c r="E198" i="18"/>
  <c r="E143" i="18"/>
  <c r="V8" i="14"/>
  <c r="V10" i="14"/>
  <c r="E51" i="14"/>
  <c r="I54" i="14"/>
  <c r="D58" i="14"/>
  <c r="E59" i="14"/>
  <c r="I62" i="14"/>
  <c r="AQ13" i="24"/>
  <c r="AQ12" i="24"/>
  <c r="J21" i="18"/>
  <c r="F150" i="18"/>
  <c r="F158" i="18"/>
  <c r="F166" i="18"/>
  <c r="E169" i="18"/>
  <c r="F175" i="18"/>
  <c r="E178" i="18"/>
  <c r="F183" i="18"/>
  <c r="E186" i="18"/>
  <c r="F191" i="18"/>
  <c r="E194" i="18"/>
  <c r="F199" i="18"/>
  <c r="E202" i="18"/>
  <c r="F207" i="18"/>
  <c r="E210" i="18"/>
  <c r="F215" i="18"/>
  <c r="F187" i="18"/>
  <c r="I52" i="14"/>
  <c r="D56" i="14"/>
  <c r="I60" i="14"/>
  <c r="AR13" i="24"/>
  <c r="AR12" i="24"/>
  <c r="F148" i="18"/>
  <c r="E151" i="18"/>
  <c r="F156" i="18"/>
  <c r="E159" i="18"/>
  <c r="F164" i="18"/>
  <c r="E167" i="18"/>
  <c r="F173" i="18"/>
  <c r="E176" i="18"/>
  <c r="F181" i="18"/>
  <c r="E184" i="18"/>
  <c r="F189" i="18"/>
  <c r="E192" i="18"/>
  <c r="F197" i="18"/>
  <c r="E200" i="18"/>
  <c r="F205" i="18"/>
  <c r="F213" i="18"/>
  <c r="E216" i="18"/>
  <c r="F146" i="18"/>
  <c r="D38" i="14"/>
  <c r="D42" i="14"/>
  <c r="D46" i="14"/>
  <c r="AQ11" i="24"/>
  <c r="AQ10" i="24"/>
  <c r="J22" i="18"/>
  <c r="F127" i="18"/>
  <c r="J30" i="18"/>
  <c r="F135" i="18"/>
  <c r="F143" i="18"/>
  <c r="J46" i="18"/>
  <c r="F151" i="18"/>
  <c r="J54" i="18"/>
  <c r="F159" i="18"/>
  <c r="J62" i="18"/>
  <c r="E170" i="18"/>
  <c r="J70" i="18"/>
  <c r="F176" i="18"/>
  <c r="J78" i="18"/>
  <c r="F184" i="18"/>
  <c r="E187" i="18"/>
  <c r="J86" i="18"/>
  <c r="F192" i="18"/>
  <c r="E195" i="18"/>
  <c r="J94" i="18"/>
  <c r="F200" i="18"/>
  <c r="E203" i="18"/>
  <c r="J102" i="18"/>
  <c r="F208" i="18"/>
  <c r="E211" i="18"/>
  <c r="J110" i="18"/>
  <c r="F216" i="18"/>
  <c r="F154" i="18"/>
  <c r="F162" i="18"/>
  <c r="F170" i="18"/>
  <c r="F171" i="18"/>
  <c r="F179" i="18"/>
  <c r="E190" i="18"/>
  <c r="F195" i="18"/>
  <c r="F203" i="18"/>
  <c r="E206" i="18"/>
  <c r="F211" i="18"/>
  <c r="E214" i="18"/>
  <c r="D39" i="14"/>
  <c r="D47" i="14"/>
  <c r="D53" i="14"/>
  <c r="E54" i="14"/>
  <c r="D61" i="14"/>
  <c r="E62" i="14"/>
  <c r="AR10" i="24"/>
  <c r="AR11" i="24"/>
  <c r="F133" i="18"/>
  <c r="J36" i="18"/>
  <c r="F141" i="18"/>
  <c r="F149" i="18"/>
  <c r="J52" i="18"/>
  <c r="F157" i="18"/>
  <c r="J60" i="18"/>
  <c r="F165" i="18"/>
  <c r="E168" i="18"/>
  <c r="J68" i="18"/>
  <c r="F174" i="18"/>
  <c r="E177" i="18"/>
  <c r="J76" i="18"/>
  <c r="F182" i="18"/>
  <c r="F190" i="18"/>
  <c r="E193" i="18"/>
  <c r="J92" i="18"/>
  <c r="F198" i="18"/>
  <c r="E201" i="18"/>
  <c r="J100" i="18"/>
  <c r="F206" i="18"/>
  <c r="E209" i="18"/>
  <c r="J108" i="18"/>
  <c r="F214" i="18"/>
  <c r="E217" i="18"/>
  <c r="E155" i="18"/>
  <c r="F160" i="18"/>
  <c r="E163" i="18"/>
  <c r="F168" i="18"/>
  <c r="E172" i="18"/>
  <c r="F177" i="18"/>
  <c r="E180" i="18"/>
  <c r="F185" i="18"/>
  <c r="E188" i="18"/>
  <c r="F193" i="18"/>
  <c r="E196" i="18"/>
  <c r="E204" i="18"/>
  <c r="F209" i="18"/>
  <c r="E212" i="18"/>
  <c r="F217" i="18"/>
  <c r="D36" i="14"/>
  <c r="D44" i="14"/>
  <c r="AS10" i="24"/>
  <c r="AS11" i="24"/>
  <c r="F131" i="18"/>
  <c r="F139" i="18"/>
  <c r="F147" i="18"/>
  <c r="F155" i="18"/>
  <c r="J58" i="18"/>
  <c r="F163" i="18"/>
  <c r="J66" i="18"/>
  <c r="F172" i="18"/>
  <c r="E175" i="18"/>
  <c r="J74" i="18"/>
  <c r="F180" i="18"/>
  <c r="E183" i="18"/>
  <c r="J82" i="18"/>
  <c r="F188" i="18"/>
  <c r="E191" i="18"/>
  <c r="J90" i="18"/>
  <c r="F196" i="18"/>
  <c r="J98" i="18"/>
  <c r="F204" i="18"/>
  <c r="J106" i="18"/>
  <c r="F212" i="18"/>
  <c r="E215" i="18"/>
  <c r="J114" i="18"/>
  <c r="F11" i="18" l="1"/>
  <c r="C132" i="30" s="1"/>
  <c r="E132" i="30" s="1"/>
  <c r="G132" i="30" s="1"/>
  <c r="D16" i="4"/>
  <c r="AL12" i="24"/>
  <c r="T8" i="14"/>
  <c r="E11" i="10"/>
  <c r="E13" i="10" s="1"/>
  <c r="J139" i="18"/>
  <c r="J157" i="18"/>
  <c r="C86" i="30"/>
  <c r="E86" i="30" s="1"/>
  <c r="G86" i="30" s="1"/>
  <c r="D40" i="14"/>
  <c r="D43" i="14"/>
  <c r="T9" i="14"/>
  <c r="D41" i="14"/>
  <c r="G125" i="18"/>
  <c r="I125" i="18" s="1"/>
  <c r="H125" i="18"/>
  <c r="H165" i="18"/>
  <c r="G165" i="18"/>
  <c r="I165" i="18" s="1"/>
  <c r="AB13" i="24"/>
  <c r="AC13" i="24"/>
  <c r="AC12" i="24"/>
  <c r="AB12" i="24"/>
  <c r="J136" i="18"/>
  <c r="AF13" i="24"/>
  <c r="AG13" i="24"/>
  <c r="J119" i="18"/>
  <c r="J172" i="18"/>
  <c r="H196" i="18"/>
  <c r="G196" i="18"/>
  <c r="I196" i="18" s="1"/>
  <c r="J149" i="18"/>
  <c r="H216" i="18"/>
  <c r="G216" i="18"/>
  <c r="I216" i="18" s="1"/>
  <c r="H210" i="18"/>
  <c r="G210" i="18"/>
  <c r="I210" i="18" s="1"/>
  <c r="H156" i="18"/>
  <c r="G156" i="18"/>
  <c r="I156" i="18" s="1"/>
  <c r="H191" i="18"/>
  <c r="G191" i="18"/>
  <c r="I191" i="18" s="1"/>
  <c r="J193" i="18"/>
  <c r="J160" i="18"/>
  <c r="G201" i="18"/>
  <c r="I201" i="18" s="1"/>
  <c r="H201" i="18"/>
  <c r="J174" i="18"/>
  <c r="J141" i="18"/>
  <c r="C72" i="30"/>
  <c r="E72" i="30" s="1"/>
  <c r="G72" i="30" s="1"/>
  <c r="C23" i="28"/>
  <c r="H190" i="18"/>
  <c r="G190" i="18"/>
  <c r="I190" i="18" s="1"/>
  <c r="H211" i="18"/>
  <c r="G211" i="18"/>
  <c r="I211" i="18" s="1"/>
  <c r="J159" i="18"/>
  <c r="J213" i="18"/>
  <c r="H176" i="18"/>
  <c r="G176" i="18"/>
  <c r="I176" i="18" s="1"/>
  <c r="J207" i="18"/>
  <c r="J175" i="18"/>
  <c r="H143" i="18"/>
  <c r="G143" i="18"/>
  <c r="I143" i="18" s="1"/>
  <c r="H133" i="18"/>
  <c r="G133" i="18"/>
  <c r="I133" i="18" s="1"/>
  <c r="H152" i="18"/>
  <c r="G152" i="18"/>
  <c r="I152" i="18" s="1"/>
  <c r="H145" i="18"/>
  <c r="G145" i="18"/>
  <c r="I145" i="18" s="1"/>
  <c r="J121" i="18"/>
  <c r="H173" i="18"/>
  <c r="G173" i="18"/>
  <c r="I173" i="18" s="1"/>
  <c r="H118" i="18"/>
  <c r="H158" i="18"/>
  <c r="G158" i="18"/>
  <c r="I158" i="18" s="1"/>
  <c r="J120" i="18"/>
  <c r="H199" i="18"/>
  <c r="G199" i="18"/>
  <c r="I199" i="18" s="1"/>
  <c r="H137" i="18"/>
  <c r="G137" i="18"/>
  <c r="I137" i="18" s="1"/>
  <c r="H182" i="18"/>
  <c r="G182" i="18"/>
  <c r="I182" i="18" s="1"/>
  <c r="J123" i="18"/>
  <c r="H150" i="18"/>
  <c r="G150" i="18"/>
  <c r="I150" i="18" s="1"/>
  <c r="H28" i="14"/>
  <c r="C28" i="10"/>
  <c r="D28" i="10" s="1"/>
  <c r="D14" i="6"/>
  <c r="G11" i="12"/>
  <c r="E19" i="14" s="1"/>
  <c r="H30" i="14"/>
  <c r="G15" i="12"/>
  <c r="E23" i="14" s="1"/>
  <c r="G9" i="12"/>
  <c r="E17" i="14" s="1"/>
  <c r="D16" i="6"/>
  <c r="F30" i="4"/>
  <c r="C33" i="4" s="1"/>
  <c r="G148" i="30" s="1"/>
  <c r="G13" i="12"/>
  <c r="E21" i="14" s="1"/>
  <c r="E30" i="4"/>
  <c r="I30" i="4" s="1"/>
  <c r="D30" i="4"/>
  <c r="H30" i="4" s="1"/>
  <c r="H32" i="14"/>
  <c r="C15" i="10"/>
  <c r="D15" i="10" s="1"/>
  <c r="E15" i="10" s="1"/>
  <c r="Z10" i="24"/>
  <c r="AA10" i="24"/>
  <c r="AE11" i="24"/>
  <c r="AD11" i="24"/>
  <c r="C15" i="30"/>
  <c r="E15" i="30" s="1"/>
  <c r="G15" i="30" s="1"/>
  <c r="F167" i="18"/>
  <c r="M8" i="6"/>
  <c r="J8" i="6"/>
  <c r="F140" i="18"/>
  <c r="F126" i="18"/>
  <c r="F122" i="18"/>
  <c r="G122" i="18" s="1"/>
  <c r="I122" i="18" s="1"/>
  <c r="F118" i="18"/>
  <c r="H183" i="18"/>
  <c r="G183" i="18"/>
  <c r="I183" i="18" s="1"/>
  <c r="J214" i="18"/>
  <c r="J170" i="18"/>
  <c r="G194" i="18"/>
  <c r="I194" i="18" s="1"/>
  <c r="H194" i="18"/>
  <c r="H119" i="18"/>
  <c r="G119" i="18"/>
  <c r="I119" i="18" s="1"/>
  <c r="H206" i="18"/>
  <c r="G206" i="18"/>
  <c r="I206" i="18" s="1"/>
  <c r="H154" i="18"/>
  <c r="G154" i="18"/>
  <c r="I154" i="18" s="1"/>
  <c r="H175" i="18"/>
  <c r="G175" i="18"/>
  <c r="I175" i="18" s="1"/>
  <c r="J216" i="18"/>
  <c r="H170" i="18"/>
  <c r="G170" i="18"/>
  <c r="I170" i="18" s="1"/>
  <c r="H151" i="18"/>
  <c r="G151" i="18"/>
  <c r="I151" i="18" s="1"/>
  <c r="C10" i="30"/>
  <c r="E10" i="30" s="1"/>
  <c r="G10" i="30" s="1"/>
  <c r="D18" i="4"/>
  <c r="J125" i="18"/>
  <c r="J188" i="18"/>
  <c r="H188" i="18"/>
  <c r="G188" i="18"/>
  <c r="I188" i="18" s="1"/>
  <c r="J198" i="18"/>
  <c r="J179" i="18"/>
  <c r="H187" i="18"/>
  <c r="G187" i="18"/>
  <c r="I187" i="18" s="1"/>
  <c r="J173" i="18"/>
  <c r="H169" i="18"/>
  <c r="G169" i="18"/>
  <c r="I169" i="18" s="1"/>
  <c r="H198" i="18"/>
  <c r="G198" i="18"/>
  <c r="I198" i="18" s="1"/>
  <c r="H129" i="18"/>
  <c r="G129" i="18"/>
  <c r="I129" i="18" s="1"/>
  <c r="H122" i="18"/>
  <c r="Y12" i="24"/>
  <c r="X12" i="24"/>
  <c r="H142" i="18"/>
  <c r="G142" i="18"/>
  <c r="I142" i="18" s="1"/>
  <c r="AH11" i="24"/>
  <c r="AI11" i="24"/>
  <c r="Z11" i="24"/>
  <c r="AA11" i="24"/>
  <c r="H162" i="18"/>
  <c r="G162" i="18"/>
  <c r="I162" i="18" s="1"/>
  <c r="H148" i="18"/>
  <c r="G148" i="18"/>
  <c r="I148" i="18" s="1"/>
  <c r="H189" i="18"/>
  <c r="G189" i="18"/>
  <c r="I189" i="18" s="1"/>
  <c r="H134" i="18"/>
  <c r="G134" i="18"/>
  <c r="I134" i="18" s="1"/>
  <c r="Q24" i="10"/>
  <c r="H164" i="18"/>
  <c r="G164" i="18"/>
  <c r="I164" i="18" s="1"/>
  <c r="H149" i="18"/>
  <c r="G149" i="18"/>
  <c r="I149" i="18" s="1"/>
  <c r="H140" i="18"/>
  <c r="G140" i="18"/>
  <c r="I140" i="18" s="1"/>
  <c r="C109" i="30"/>
  <c r="E109" i="30" s="1"/>
  <c r="G109" i="30" s="1"/>
  <c r="T10" i="14"/>
  <c r="D45" i="14"/>
  <c r="AF10" i="24"/>
  <c r="AG10" i="24"/>
  <c r="AL11" i="24"/>
  <c r="AK11" i="24"/>
  <c r="AG12" i="24"/>
  <c r="AF12" i="24"/>
  <c r="J217" i="18"/>
  <c r="H203" i="18"/>
  <c r="G203" i="18"/>
  <c r="I203" i="18" s="1"/>
  <c r="J164" i="18"/>
  <c r="C28" i="28"/>
  <c r="C101" i="30"/>
  <c r="E101" i="30" s="1"/>
  <c r="G101" i="30" s="1"/>
  <c r="J142" i="18"/>
  <c r="J209" i="18"/>
  <c r="J182" i="18"/>
  <c r="J154" i="18"/>
  <c r="J135" i="18"/>
  <c r="J189" i="18"/>
  <c r="J187" i="18"/>
  <c r="G174" i="18"/>
  <c r="I174" i="18" s="1"/>
  <c r="H174" i="18"/>
  <c r="H128" i="18"/>
  <c r="G128" i="18"/>
  <c r="I128" i="18" s="1"/>
  <c r="H179" i="18"/>
  <c r="G179" i="18"/>
  <c r="I179" i="18" s="1"/>
  <c r="X13" i="24"/>
  <c r="Y13" i="24"/>
  <c r="J196" i="18"/>
  <c r="G204" i="18"/>
  <c r="I204" i="18" s="1"/>
  <c r="H204" i="18"/>
  <c r="J206" i="18"/>
  <c r="J203" i="18"/>
  <c r="H195" i="18"/>
  <c r="G195" i="18"/>
  <c r="I195" i="18" s="1"/>
  <c r="J146" i="18"/>
  <c r="J215" i="18"/>
  <c r="H215" i="18"/>
  <c r="G215" i="18"/>
  <c r="I215" i="18" s="1"/>
  <c r="J163" i="18"/>
  <c r="H155" i="18"/>
  <c r="G155" i="18"/>
  <c r="I155" i="18" s="1"/>
  <c r="J208" i="18"/>
  <c r="J205" i="18"/>
  <c r="H202" i="18"/>
  <c r="G202" i="18"/>
  <c r="I202" i="18" s="1"/>
  <c r="J212" i="18"/>
  <c r="J185" i="18"/>
  <c r="G217" i="18"/>
  <c r="I217" i="18" s="1"/>
  <c r="H217" i="18"/>
  <c r="G168" i="18"/>
  <c r="I168" i="18" s="1"/>
  <c r="H168" i="18"/>
  <c r="J133" i="18"/>
  <c r="J171" i="18"/>
  <c r="J184" i="18"/>
  <c r="J151" i="18"/>
  <c r="G200" i="18"/>
  <c r="I200" i="18" s="1"/>
  <c r="H200" i="18"/>
  <c r="H167" i="18"/>
  <c r="G167" i="18"/>
  <c r="I167" i="18" s="1"/>
  <c r="J199" i="18"/>
  <c r="J166" i="18"/>
  <c r="H181" i="18"/>
  <c r="G181" i="18"/>
  <c r="I181" i="18" s="1"/>
  <c r="H126" i="18"/>
  <c r="G126" i="18"/>
  <c r="I126" i="18" s="1"/>
  <c r="H29" i="14"/>
  <c r="J145" i="18"/>
  <c r="AE12" i="24"/>
  <c r="AD12" i="24"/>
  <c r="J138" i="18"/>
  <c r="AG11" i="24"/>
  <c r="AF11" i="24"/>
  <c r="J161" i="18"/>
  <c r="G213" i="18"/>
  <c r="I213" i="18" s="1"/>
  <c r="H213" i="18"/>
  <c r="H144" i="18"/>
  <c r="G144" i="18"/>
  <c r="I144" i="18" s="1"/>
  <c r="H185" i="18"/>
  <c r="G185" i="18"/>
  <c r="I185" i="18" s="1"/>
  <c r="J130" i="18"/>
  <c r="H160" i="18"/>
  <c r="G160" i="18"/>
  <c r="I160" i="18" s="1"/>
  <c r="G205" i="18"/>
  <c r="I205" i="18" s="1"/>
  <c r="H205" i="18"/>
  <c r="H136" i="18"/>
  <c r="G136" i="18"/>
  <c r="I136" i="18" s="1"/>
  <c r="AM10" i="24"/>
  <c r="AN10" i="24"/>
  <c r="AB11" i="24"/>
  <c r="AC11" i="24"/>
  <c r="AM12" i="24"/>
  <c r="AN12" i="24"/>
  <c r="M10" i="24"/>
  <c r="Q13" i="16"/>
  <c r="M13" i="16"/>
  <c r="L13" i="16"/>
  <c r="J13" i="16"/>
  <c r="C20" i="30"/>
  <c r="E20" i="30" s="1"/>
  <c r="G20" i="30" s="1"/>
  <c r="E208" i="18"/>
  <c r="I9" i="6"/>
  <c r="AH10" i="24"/>
  <c r="AI10" i="24"/>
  <c r="Z12" i="24"/>
  <c r="AA12" i="24"/>
  <c r="J155" i="18"/>
  <c r="J165" i="18"/>
  <c r="J158" i="18"/>
  <c r="AM11" i="24"/>
  <c r="AN11" i="24"/>
  <c r="J204" i="18"/>
  <c r="J180" i="18"/>
  <c r="J147" i="18"/>
  <c r="G212" i="18"/>
  <c r="I212" i="18" s="1"/>
  <c r="H212" i="18"/>
  <c r="J177" i="18"/>
  <c r="J190" i="18"/>
  <c r="J211" i="18"/>
  <c r="J162" i="18"/>
  <c r="J200" i="18"/>
  <c r="J176" i="18"/>
  <c r="J143" i="18"/>
  <c r="G192" i="18"/>
  <c r="I192" i="18" s="1"/>
  <c r="H192" i="18"/>
  <c r="H159" i="18"/>
  <c r="G159" i="18"/>
  <c r="I159" i="18" s="1"/>
  <c r="J191" i="18"/>
  <c r="J150" i="18"/>
  <c r="J169" i="18"/>
  <c r="C12" i="30"/>
  <c r="E12" i="30" s="1"/>
  <c r="G12" i="30" s="1"/>
  <c r="L14" i="6"/>
  <c r="P8" i="6"/>
  <c r="L13" i="6"/>
  <c r="H9" i="12"/>
  <c r="H8" i="12"/>
  <c r="D26" i="8"/>
  <c r="F8" i="10"/>
  <c r="S8" i="6"/>
  <c r="G157" i="30" s="1"/>
  <c r="D23" i="8"/>
  <c r="J210" i="18"/>
  <c r="H139" i="18"/>
  <c r="G139" i="18"/>
  <c r="I139" i="18" s="1"/>
  <c r="H207" i="18"/>
  <c r="G207" i="18"/>
  <c r="I207" i="18" s="1"/>
  <c r="H132" i="18"/>
  <c r="G132" i="18"/>
  <c r="I132" i="18" s="1"/>
  <c r="J144" i="18"/>
  <c r="J202" i="18"/>
  <c r="J137" i="18"/>
  <c r="AK13" i="24"/>
  <c r="AL13" i="24"/>
  <c r="J178" i="18"/>
  <c r="H124" i="18"/>
  <c r="G124" i="18"/>
  <c r="I124" i="18" s="1"/>
  <c r="J153" i="18"/>
  <c r="AH13" i="24"/>
  <c r="AI13" i="24"/>
  <c r="J194" i="18"/>
  <c r="J129" i="18"/>
  <c r="AH12" i="24"/>
  <c r="AI12" i="24"/>
  <c r="J29" i="4"/>
  <c r="G29" i="4"/>
  <c r="K29" i="4" s="1"/>
  <c r="G147" i="18"/>
  <c r="I147" i="18" s="1"/>
  <c r="H147" i="18"/>
  <c r="AN13" i="24"/>
  <c r="AM13" i="24"/>
  <c r="H171" i="18"/>
  <c r="G171" i="18"/>
  <c r="I171" i="18" s="1"/>
  <c r="H123" i="18"/>
  <c r="G123" i="18"/>
  <c r="I123" i="18" s="1"/>
  <c r="Q23" i="10"/>
  <c r="E23" i="10"/>
  <c r="G193" i="18"/>
  <c r="I193" i="18" s="1"/>
  <c r="H193" i="18"/>
  <c r="H214" i="18"/>
  <c r="G214" i="18"/>
  <c r="I214" i="18" s="1"/>
  <c r="J197" i="18"/>
  <c r="H172" i="18"/>
  <c r="G172" i="18"/>
  <c r="I172" i="18" s="1"/>
  <c r="C138" i="30"/>
  <c r="E138" i="30" s="1"/>
  <c r="G138" i="30" s="1"/>
  <c r="F16" i="6"/>
  <c r="F15" i="6"/>
  <c r="U9" i="6"/>
  <c r="G146" i="18"/>
  <c r="I146" i="18" s="1"/>
  <c r="H31" i="14"/>
  <c r="H180" i="18"/>
  <c r="G180" i="18"/>
  <c r="I180" i="18" s="1"/>
  <c r="C26" i="28"/>
  <c r="C97" i="30"/>
  <c r="E97" i="30" s="1"/>
  <c r="G97" i="30" s="1"/>
  <c r="H135" i="18"/>
  <c r="G135" i="18"/>
  <c r="I135" i="18" s="1"/>
  <c r="G209" i="18"/>
  <c r="I209" i="18" s="1"/>
  <c r="H209" i="18"/>
  <c r="J156" i="18"/>
  <c r="H186" i="18"/>
  <c r="G186" i="18"/>
  <c r="I186" i="18" s="1"/>
  <c r="H29" i="4"/>
  <c r="L29" i="4" s="1"/>
  <c r="J132" i="18"/>
  <c r="H197" i="18"/>
  <c r="G197" i="18"/>
  <c r="I197" i="18" s="1"/>
  <c r="H138" i="18"/>
  <c r="G138" i="18"/>
  <c r="I138" i="18" s="1"/>
  <c r="J134" i="18"/>
  <c r="H120" i="18"/>
  <c r="G120" i="18"/>
  <c r="I120" i="18" s="1"/>
  <c r="J131" i="18"/>
  <c r="J168" i="18"/>
  <c r="C122" i="30"/>
  <c r="E122" i="30" s="1"/>
  <c r="G122" i="30" s="1"/>
  <c r="C31" i="28"/>
  <c r="H184" i="18"/>
  <c r="G184" i="18"/>
  <c r="I184" i="18" s="1"/>
  <c r="J183" i="18"/>
  <c r="J152" i="18"/>
  <c r="H166" i="18"/>
  <c r="G166" i="18"/>
  <c r="I166" i="18" s="1"/>
  <c r="G131" i="18"/>
  <c r="I131" i="18" s="1"/>
  <c r="H131" i="18"/>
  <c r="H130" i="18"/>
  <c r="G130" i="18"/>
  <c r="I130" i="18" s="1"/>
  <c r="H157" i="18"/>
  <c r="G157" i="18"/>
  <c r="I157" i="18" s="1"/>
  <c r="H163" i="18"/>
  <c r="G163" i="18"/>
  <c r="I163" i="18" s="1"/>
  <c r="H177" i="18"/>
  <c r="G177" i="18"/>
  <c r="I177" i="18" s="1"/>
  <c r="J195" i="18"/>
  <c r="J192" i="18"/>
  <c r="J127" i="18"/>
  <c r="J181" i="18"/>
  <c r="J148" i="18"/>
  <c r="H178" i="18"/>
  <c r="G178" i="18"/>
  <c r="I178" i="18" s="1"/>
  <c r="E25" i="10"/>
  <c r="E26" i="10"/>
  <c r="E27" i="10"/>
  <c r="E28" i="10"/>
  <c r="E29" i="10"/>
  <c r="J128" i="18"/>
  <c r="J186" i="18"/>
  <c r="H127" i="18"/>
  <c r="G127" i="18"/>
  <c r="I127" i="18" s="1"/>
  <c r="G121" i="18"/>
  <c r="I121" i="18" s="1"/>
  <c r="H121" i="18"/>
  <c r="H161" i="18"/>
  <c r="G161" i="18"/>
  <c r="I161" i="18" s="1"/>
  <c r="J124" i="18"/>
  <c r="Q14" i="10"/>
  <c r="Q15" i="10"/>
  <c r="Q16" i="10"/>
  <c r="Q13" i="10"/>
  <c r="Q12" i="10"/>
  <c r="G141" i="18"/>
  <c r="I141" i="18" s="1"/>
  <c r="H141" i="18"/>
  <c r="J201" i="18"/>
  <c r="H153" i="18"/>
  <c r="G153" i="18"/>
  <c r="I153" i="18" s="1"/>
  <c r="C19" i="30"/>
  <c r="E19" i="30" s="1"/>
  <c r="G19" i="30" s="1"/>
  <c r="H14" i="12"/>
  <c r="N9" i="6"/>
  <c r="D31" i="8"/>
  <c r="H15" i="12"/>
  <c r="P21" i="10"/>
  <c r="D34" i="8"/>
  <c r="M15" i="6"/>
  <c r="Q9" i="6"/>
  <c r="M16" i="6"/>
  <c r="Y11" i="24"/>
  <c r="X11" i="24"/>
  <c r="M158" i="30" l="1"/>
  <c r="C11" i="20"/>
  <c r="E12" i="10"/>
  <c r="E14" i="10"/>
  <c r="E16" i="10"/>
  <c r="C13" i="8"/>
  <c r="C15" i="8"/>
  <c r="C30" i="10"/>
  <c r="B19" i="20" s="1"/>
  <c r="D9" i="8"/>
  <c r="G9" i="8"/>
  <c r="C23" i="30"/>
  <c r="E23" i="30" s="1"/>
  <c r="G23" i="30" s="1"/>
  <c r="M170" i="30"/>
  <c r="O11" i="20"/>
  <c r="M262" i="30"/>
  <c r="C24" i="20"/>
  <c r="F26" i="8"/>
  <c r="R10" i="24"/>
  <c r="Q10" i="24"/>
  <c r="Q27" i="10"/>
  <c r="Q28" i="10"/>
  <c r="Q29" i="10"/>
  <c r="Q25" i="10"/>
  <c r="Q26" i="10"/>
  <c r="J118" i="18"/>
  <c r="G118" i="18"/>
  <c r="I118" i="18" s="1"/>
  <c r="T12" i="24"/>
  <c r="S12" i="24"/>
  <c r="M209" i="30"/>
  <c r="O14" i="20"/>
  <c r="J122" i="18"/>
  <c r="J30" i="4"/>
  <c r="G30" i="4"/>
  <c r="K30" i="4" s="1"/>
  <c r="M210" i="30"/>
  <c r="C20" i="20"/>
  <c r="E31" i="8"/>
  <c r="H31" i="8" s="1"/>
  <c r="F31" i="8"/>
  <c r="M249" i="30"/>
  <c r="C23" i="20"/>
  <c r="F34" i="8"/>
  <c r="E34" i="8"/>
  <c r="H34" i="8" s="1"/>
  <c r="M196" i="30"/>
  <c r="O13" i="20"/>
  <c r="M236" i="30"/>
  <c r="C22" i="20"/>
  <c r="C16" i="30"/>
  <c r="E16" i="30" s="1"/>
  <c r="G16" i="30" s="1"/>
  <c r="AB10" i="24"/>
  <c r="AC10" i="24"/>
  <c r="J126" i="18"/>
  <c r="Y10" i="24"/>
  <c r="X10" i="24"/>
  <c r="P22" i="10"/>
  <c r="N19" i="20" s="1"/>
  <c r="P23" i="10"/>
  <c r="P24" i="10"/>
  <c r="M183" i="30"/>
  <c r="O12" i="20"/>
  <c r="M223" i="30"/>
  <c r="C21" i="20"/>
  <c r="F23" i="8"/>
  <c r="AE10" i="24"/>
  <c r="AD10" i="24"/>
  <c r="J140" i="18"/>
  <c r="L8" i="12"/>
  <c r="K8" i="12"/>
  <c r="F19" i="12"/>
  <c r="R11" i="24"/>
  <c r="Q11" i="24"/>
  <c r="AL10" i="24"/>
  <c r="AK10" i="24"/>
  <c r="C13" i="30"/>
  <c r="E13" i="30" s="1"/>
  <c r="G13" i="30" s="1"/>
  <c r="Q8" i="6"/>
  <c r="H11" i="12"/>
  <c r="H10" i="12"/>
  <c r="P8" i="10"/>
  <c r="D28" i="8"/>
  <c r="M13" i="6"/>
  <c r="M14" i="6"/>
  <c r="D25" i="8"/>
  <c r="N8" i="6"/>
  <c r="O8" i="12" s="1"/>
  <c r="M184" i="30"/>
  <c r="C13" i="20"/>
  <c r="K9" i="12"/>
  <c r="F20" i="12"/>
  <c r="L9" i="12"/>
  <c r="N9" i="12" s="1"/>
  <c r="C18" i="30"/>
  <c r="E18" i="30" s="1"/>
  <c r="G18" i="30" s="1"/>
  <c r="H13" i="12"/>
  <c r="M21" i="10"/>
  <c r="P9" i="6"/>
  <c r="L21" i="10"/>
  <c r="O9" i="6"/>
  <c r="H12" i="12"/>
  <c r="K21" i="10"/>
  <c r="J21" i="10"/>
  <c r="I21" i="10"/>
  <c r="L16" i="6"/>
  <c r="G21" i="10"/>
  <c r="D32" i="8"/>
  <c r="H21" i="10"/>
  <c r="O21" i="10"/>
  <c r="L15" i="6"/>
  <c r="N21" i="10"/>
  <c r="F21" i="10"/>
  <c r="D29" i="8"/>
  <c r="F9" i="8"/>
  <c r="S9" i="6"/>
  <c r="G158" i="30" s="1"/>
  <c r="C133" i="30"/>
  <c r="E133" i="30" s="1"/>
  <c r="G133" i="30" s="1"/>
  <c r="F13" i="6"/>
  <c r="U8" i="6"/>
  <c r="F14" i="6"/>
  <c r="K15" i="12"/>
  <c r="L15" i="12"/>
  <c r="N15" i="12" s="1"/>
  <c r="F22" i="12"/>
  <c r="O15" i="12"/>
  <c r="J167" i="18"/>
  <c r="L30" i="4"/>
  <c r="E9" i="8"/>
  <c r="T13" i="24"/>
  <c r="S13" i="24"/>
  <c r="F21" i="12"/>
  <c r="O14" i="12"/>
  <c r="L14" i="12"/>
  <c r="N14" i="12" s="1"/>
  <c r="K14" i="12"/>
  <c r="M157" i="30"/>
  <c r="O10" i="20"/>
  <c r="F9" i="10"/>
  <c r="D9" i="20" s="1"/>
  <c r="F10" i="10"/>
  <c r="F11" i="10"/>
  <c r="O8" i="6"/>
  <c r="G208" i="18"/>
  <c r="I208" i="18" s="1"/>
  <c r="H208" i="18"/>
  <c r="N8" i="12" l="1"/>
  <c r="C14" i="20"/>
  <c r="M197" i="30"/>
  <c r="C12" i="20"/>
  <c r="M171" i="30"/>
  <c r="M145" i="30"/>
  <c r="C10" i="20"/>
  <c r="F12" i="10"/>
  <c r="F13" i="10"/>
  <c r="F14" i="10"/>
  <c r="F15" i="10"/>
  <c r="F16" i="10"/>
  <c r="E32" i="8"/>
  <c r="H32" i="8" s="1"/>
  <c r="F32" i="8"/>
  <c r="L24" i="10"/>
  <c r="L22" i="10"/>
  <c r="J19" i="20" s="1"/>
  <c r="L23" i="10"/>
  <c r="M20" i="12"/>
  <c r="W9" i="12"/>
  <c r="M9" i="12"/>
  <c r="P10" i="10"/>
  <c r="P11" i="10"/>
  <c r="P9" i="10"/>
  <c r="N9" i="20" s="1"/>
  <c r="P26" i="10"/>
  <c r="P27" i="10"/>
  <c r="P28" i="10"/>
  <c r="P29" i="10"/>
  <c r="P25" i="10"/>
  <c r="M248" i="30"/>
  <c r="O22" i="20"/>
  <c r="J23" i="10"/>
  <c r="J24" i="10"/>
  <c r="J22" i="10"/>
  <c r="H19" i="20" s="1"/>
  <c r="G22" i="10"/>
  <c r="E19" i="20" s="1"/>
  <c r="G23" i="10"/>
  <c r="G24" i="10"/>
  <c r="C22" i="30"/>
  <c r="E22" i="30" s="1"/>
  <c r="G22" i="30" s="1"/>
  <c r="G31" i="8"/>
  <c r="G34" i="8"/>
  <c r="G32" i="8"/>
  <c r="O10" i="12"/>
  <c r="L10" i="12"/>
  <c r="K10" i="12"/>
  <c r="K34" i="8"/>
  <c r="R9" i="6"/>
  <c r="R13" i="24"/>
  <c r="Q13" i="24"/>
  <c r="E25" i="8"/>
  <c r="F25" i="8"/>
  <c r="F29" i="8"/>
  <c r="E29" i="8"/>
  <c r="H29" i="8" s="1"/>
  <c r="M24" i="10"/>
  <c r="M22" i="10"/>
  <c r="K19" i="20" s="1"/>
  <c r="M23" i="10"/>
  <c r="O11" i="12"/>
  <c r="L11" i="12"/>
  <c r="K11" i="12"/>
  <c r="K23" i="8"/>
  <c r="M22" i="12"/>
  <c r="W15" i="12"/>
  <c r="M15" i="12"/>
  <c r="F24" i="10"/>
  <c r="F22" i="10"/>
  <c r="D19" i="20" s="1"/>
  <c r="F23" i="10"/>
  <c r="I23" i="10"/>
  <c r="I24" i="10"/>
  <c r="I22" i="10"/>
  <c r="G19" i="20" s="1"/>
  <c r="L13" i="12"/>
  <c r="N13" i="12" s="1"/>
  <c r="K13" i="12"/>
  <c r="O13" i="12"/>
  <c r="C17" i="10"/>
  <c r="B9" i="20" s="1"/>
  <c r="D8" i="8"/>
  <c r="G8" i="8"/>
  <c r="F8" i="8"/>
  <c r="I8" i="10"/>
  <c r="N8" i="10"/>
  <c r="E8" i="8"/>
  <c r="L8" i="10"/>
  <c r="M8" i="10"/>
  <c r="K8" i="10"/>
  <c r="H8" i="10"/>
  <c r="O8" i="10"/>
  <c r="G8" i="10"/>
  <c r="J8" i="10"/>
  <c r="C17" i="30"/>
  <c r="E17" i="30" s="1"/>
  <c r="G17" i="30" s="1"/>
  <c r="R8" i="6"/>
  <c r="E23" i="8"/>
  <c r="H23" i="8" s="1"/>
  <c r="E26" i="8"/>
  <c r="H9" i="8"/>
  <c r="G14" i="6"/>
  <c r="N24" i="10"/>
  <c r="N22" i="10"/>
  <c r="L19" i="20" s="1"/>
  <c r="N23" i="10"/>
  <c r="M19" i="12"/>
  <c r="W8" i="12"/>
  <c r="M8" i="12"/>
  <c r="K31" i="8"/>
  <c r="M235" i="30"/>
  <c r="O21" i="20"/>
  <c r="W14" i="12"/>
  <c r="M21" i="12"/>
  <c r="M14" i="12"/>
  <c r="K23" i="10"/>
  <c r="K24" i="10"/>
  <c r="K22" i="10"/>
  <c r="I19" i="20" s="1"/>
  <c r="T11" i="24"/>
  <c r="S11" i="24"/>
  <c r="M222" i="30"/>
  <c r="O20" i="20"/>
  <c r="O22" i="10"/>
  <c r="M19" i="20" s="1"/>
  <c r="O23" i="10"/>
  <c r="O24" i="10"/>
  <c r="M274" i="30"/>
  <c r="O24" i="20"/>
  <c r="E15" i="8"/>
  <c r="K26" i="8"/>
  <c r="C16" i="8"/>
  <c r="E16" i="8" s="1"/>
  <c r="C14" i="8"/>
  <c r="Q12" i="24"/>
  <c r="R12" i="24"/>
  <c r="G13" i="6"/>
  <c r="O12" i="12"/>
  <c r="L12" i="12"/>
  <c r="N12" i="12" s="1"/>
  <c r="K12" i="12"/>
  <c r="T10" i="24"/>
  <c r="S10" i="24"/>
  <c r="D27" i="8"/>
  <c r="D24" i="8"/>
  <c r="H22" i="10"/>
  <c r="F19" i="20" s="1"/>
  <c r="H23" i="10"/>
  <c r="H24" i="10"/>
  <c r="D30" i="8"/>
  <c r="D33" i="8"/>
  <c r="O9" i="12"/>
  <c r="E28" i="8"/>
  <c r="F28" i="8"/>
  <c r="M261" i="30"/>
  <c r="O23" i="20"/>
  <c r="E14" i="8" l="1"/>
  <c r="E18" i="8" s="1"/>
  <c r="H8" i="8"/>
  <c r="E13" i="8" s="1"/>
  <c r="H28" i="8"/>
  <c r="G28" i="8"/>
  <c r="F27" i="8"/>
  <c r="E27" i="8"/>
  <c r="M13" i="12"/>
  <c r="W13" i="12"/>
  <c r="E27" i="12"/>
  <c r="N10" i="12"/>
  <c r="D26" i="12"/>
  <c r="M273" i="30"/>
  <c r="N24" i="20"/>
  <c r="M185" i="30"/>
  <c r="D13" i="20"/>
  <c r="J10" i="10"/>
  <c r="J11" i="10"/>
  <c r="J9" i="10"/>
  <c r="H9" i="20" s="1"/>
  <c r="N9" i="10"/>
  <c r="L9" i="20" s="1"/>
  <c r="N10" i="10"/>
  <c r="N11" i="10"/>
  <c r="G23" i="8"/>
  <c r="M260" i="30"/>
  <c r="N23" i="20"/>
  <c r="M172" i="30"/>
  <c r="D12" i="20"/>
  <c r="G9" i="10"/>
  <c r="E9" i="20" s="1"/>
  <c r="G10" i="10"/>
  <c r="G11" i="10"/>
  <c r="I10" i="10"/>
  <c r="I11" i="10"/>
  <c r="I9" i="10"/>
  <c r="G9" i="20" s="1"/>
  <c r="M25" i="10"/>
  <c r="M26" i="10"/>
  <c r="M28" i="10"/>
  <c r="M27" i="10"/>
  <c r="M29" i="10"/>
  <c r="G25" i="10"/>
  <c r="G26" i="10"/>
  <c r="G27" i="10"/>
  <c r="G28" i="10"/>
  <c r="G29" i="10"/>
  <c r="M247" i="30"/>
  <c r="N22" i="20"/>
  <c r="M159" i="30"/>
  <c r="D11" i="20"/>
  <c r="F33" i="8"/>
  <c r="E33" i="8"/>
  <c r="E30" i="8"/>
  <c r="F30" i="8"/>
  <c r="O9" i="10"/>
  <c r="M9" i="20" s="1"/>
  <c r="O10" i="10"/>
  <c r="O11" i="10"/>
  <c r="I27" i="10"/>
  <c r="I28" i="10"/>
  <c r="I29" i="10"/>
  <c r="I25" i="10"/>
  <c r="I26" i="10"/>
  <c r="M234" i="30"/>
  <c r="N21" i="20"/>
  <c r="M146" i="30"/>
  <c r="D10" i="20"/>
  <c r="H26" i="10"/>
  <c r="H27" i="10"/>
  <c r="H28" i="10"/>
  <c r="H29" i="10"/>
  <c r="H25" i="10"/>
  <c r="E26" i="12"/>
  <c r="M12" i="12"/>
  <c r="W12" i="12"/>
  <c r="N25" i="10"/>
  <c r="N26" i="10"/>
  <c r="N27" i="10"/>
  <c r="N28" i="10"/>
  <c r="N29" i="10"/>
  <c r="H10" i="10"/>
  <c r="H11" i="10"/>
  <c r="H9" i="10"/>
  <c r="F9" i="20" s="1"/>
  <c r="K29" i="8"/>
  <c r="L29" i="10"/>
  <c r="L25" i="10"/>
  <c r="L26" i="10"/>
  <c r="L27" i="10"/>
  <c r="L28" i="10"/>
  <c r="R14" i="6"/>
  <c r="W11" i="24" s="1"/>
  <c r="K11" i="10"/>
  <c r="K9" i="10"/>
  <c r="I9" i="20" s="1"/>
  <c r="K10" i="10"/>
  <c r="W11" i="12"/>
  <c r="M11" i="12"/>
  <c r="K25" i="8"/>
  <c r="P14" i="10"/>
  <c r="P15" i="10"/>
  <c r="P16" i="10"/>
  <c r="P12" i="10"/>
  <c r="P13" i="10"/>
  <c r="K32" i="8"/>
  <c r="K28" i="10"/>
  <c r="K29" i="10"/>
  <c r="K25" i="10"/>
  <c r="K26" i="10"/>
  <c r="K27" i="10"/>
  <c r="D27" i="12"/>
  <c r="N11" i="12"/>
  <c r="H25" i="8"/>
  <c r="G25" i="8"/>
  <c r="G29" i="8"/>
  <c r="J27" i="10"/>
  <c r="J28" i="10"/>
  <c r="J29" i="10"/>
  <c r="J25" i="10"/>
  <c r="J26" i="10"/>
  <c r="O25" i="10"/>
  <c r="O26" i="10"/>
  <c r="O27" i="10"/>
  <c r="O28" i="10"/>
  <c r="O29" i="10"/>
  <c r="M11" i="10"/>
  <c r="M9" i="10"/>
  <c r="K9" i="20" s="1"/>
  <c r="M10" i="10"/>
  <c r="K28" i="8"/>
  <c r="E24" i="8"/>
  <c r="F24" i="8"/>
  <c r="R13" i="6"/>
  <c r="W10" i="24" s="1"/>
  <c r="H26" i="8"/>
  <c r="G26" i="8"/>
  <c r="N13" i="6"/>
  <c r="N14" i="6"/>
  <c r="L11" i="10"/>
  <c r="L9" i="10"/>
  <c r="J9" i="20" s="1"/>
  <c r="L10" i="10"/>
  <c r="F25" i="10"/>
  <c r="F26" i="10"/>
  <c r="F27" i="10"/>
  <c r="F28" i="10"/>
  <c r="F29" i="10"/>
  <c r="N16" i="6"/>
  <c r="N15" i="6"/>
  <c r="G16" i="6"/>
  <c r="G15" i="6"/>
  <c r="W10" i="12"/>
  <c r="M10" i="12"/>
  <c r="M221" i="30"/>
  <c r="N20" i="20"/>
  <c r="M198" i="30"/>
  <c r="D14" i="20"/>
  <c r="L27" i="12" l="1"/>
  <c r="C8" i="30"/>
  <c r="E8" i="30" s="1"/>
  <c r="G8" i="30" s="1"/>
  <c r="L162" i="18"/>
  <c r="O162" i="18" s="1"/>
  <c r="L130" i="18"/>
  <c r="O130" i="18" s="1"/>
  <c r="L136" i="18"/>
  <c r="O136" i="18" s="1"/>
  <c r="M159" i="18"/>
  <c r="P159" i="18" s="1"/>
  <c r="M146" i="18"/>
  <c r="P146" i="18" s="1"/>
  <c r="M140" i="18"/>
  <c r="P140" i="18" s="1"/>
  <c r="M121" i="18"/>
  <c r="P121" i="18" s="1"/>
  <c r="K155" i="18"/>
  <c r="N155" i="18" s="1"/>
  <c r="K149" i="18"/>
  <c r="N149" i="18" s="1"/>
  <c r="K138" i="18"/>
  <c r="N138" i="18" s="1"/>
  <c r="M133" i="18"/>
  <c r="P133" i="18" s="1"/>
  <c r="M164" i="18"/>
  <c r="P164" i="18" s="1"/>
  <c r="M139" i="18"/>
  <c r="P139" i="18" s="1"/>
  <c r="L170" i="18"/>
  <c r="O170" i="18" s="1"/>
  <c r="L118" i="18"/>
  <c r="O118" i="18" s="1"/>
  <c r="K125" i="18"/>
  <c r="N125" i="18" s="1"/>
  <c r="M165" i="18"/>
  <c r="P165" i="18" s="1"/>
  <c r="M167" i="18"/>
  <c r="P167" i="18" s="1"/>
  <c r="L155" i="18"/>
  <c r="O155" i="18" s="1"/>
  <c r="L122" i="18"/>
  <c r="O122" i="18" s="1"/>
  <c r="L137" i="18"/>
  <c r="O137" i="18" s="1"/>
  <c r="M128" i="18"/>
  <c r="P128" i="18" s="1"/>
  <c r="L124" i="18"/>
  <c r="O124" i="18" s="1"/>
  <c r="M170" i="18"/>
  <c r="P170" i="18" s="1"/>
  <c r="M137" i="18"/>
  <c r="P137" i="18" s="1"/>
  <c r="K129" i="18"/>
  <c r="N129" i="18" s="1"/>
  <c r="L158" i="18"/>
  <c r="O158" i="18" s="1"/>
  <c r="K156" i="18"/>
  <c r="N156" i="18" s="1"/>
  <c r="M143" i="18"/>
  <c r="P143" i="18" s="1"/>
  <c r="K118" i="18"/>
  <c r="N118" i="18" s="1"/>
  <c r="L120" i="18"/>
  <c r="O120" i="18" s="1"/>
  <c r="L145" i="18"/>
  <c r="O145" i="18" s="1"/>
  <c r="L164" i="18"/>
  <c r="O164" i="18" s="1"/>
  <c r="K147" i="18"/>
  <c r="N147" i="18" s="1"/>
  <c r="K132" i="18"/>
  <c r="N132" i="18" s="1"/>
  <c r="M151" i="18"/>
  <c r="P151" i="18" s="1"/>
  <c r="K168" i="18"/>
  <c r="N168" i="18" s="1"/>
  <c r="L133" i="18"/>
  <c r="O133" i="18" s="1"/>
  <c r="M154" i="18"/>
  <c r="P154" i="18" s="1"/>
  <c r="L127" i="18"/>
  <c r="O127" i="18" s="1"/>
  <c r="K154" i="18"/>
  <c r="N154" i="18" s="1"/>
  <c r="L125" i="18"/>
  <c r="O125" i="18" s="1"/>
  <c r="M141" i="18"/>
  <c r="P141" i="18" s="1"/>
  <c r="M120" i="18"/>
  <c r="P120" i="18" s="1"/>
  <c r="M138" i="18"/>
  <c r="P138" i="18" s="1"/>
  <c r="M157" i="18"/>
  <c r="P157" i="18" s="1"/>
  <c r="K124" i="18"/>
  <c r="N124" i="18" s="1"/>
  <c r="K145" i="18"/>
  <c r="N145" i="18" s="1"/>
  <c r="M122" i="18"/>
  <c r="P122" i="18" s="1"/>
  <c r="M142" i="18"/>
  <c r="P142" i="18" s="1"/>
  <c r="L151" i="18"/>
  <c r="O151" i="18" s="1"/>
  <c r="M149" i="18"/>
  <c r="P149" i="18" s="1"/>
  <c r="K148" i="18"/>
  <c r="N148" i="18" s="1"/>
  <c r="K165" i="18"/>
  <c r="N165" i="18" s="1"/>
  <c r="M130" i="18"/>
  <c r="P130" i="18" s="1"/>
  <c r="K153" i="18"/>
  <c r="N153" i="18" s="1"/>
  <c r="K126" i="18"/>
  <c r="N126" i="18" s="1"/>
  <c r="M148" i="18"/>
  <c r="P148" i="18" s="1"/>
  <c r="L121" i="18"/>
  <c r="O121" i="18" s="1"/>
  <c r="K137" i="18"/>
  <c r="N137" i="18" s="1"/>
  <c r="K162" i="18"/>
  <c r="N162" i="18" s="1"/>
  <c r="M135" i="18"/>
  <c r="P135" i="18" s="1"/>
  <c r="K150" i="18"/>
  <c r="N150" i="18" s="1"/>
  <c r="M123" i="18"/>
  <c r="P123" i="18" s="1"/>
  <c r="K142" i="18"/>
  <c r="N142" i="18" s="1"/>
  <c r="K119" i="18"/>
  <c r="N119" i="18" s="1"/>
  <c r="K151" i="18"/>
  <c r="N151" i="18" s="1"/>
  <c r="L132" i="18"/>
  <c r="O132" i="18" s="1"/>
  <c r="M134" i="18"/>
  <c r="P134" i="18" s="1"/>
  <c r="L135" i="18"/>
  <c r="O135" i="18" s="1"/>
  <c r="M214" i="18"/>
  <c r="P214" i="18" s="1"/>
  <c r="L213" i="18"/>
  <c r="O213" i="18" s="1"/>
  <c r="M201" i="18"/>
  <c r="P201" i="18" s="1"/>
  <c r="M217" i="18"/>
  <c r="P217" i="18" s="1"/>
  <c r="M192" i="18"/>
  <c r="P192" i="18" s="1"/>
  <c r="L178" i="18"/>
  <c r="O178" i="18" s="1"/>
  <c r="L196" i="18"/>
  <c r="O196" i="18" s="1"/>
  <c r="L181" i="18"/>
  <c r="O181" i="18" s="1"/>
  <c r="L199" i="18"/>
  <c r="O199" i="18" s="1"/>
  <c r="K181" i="18"/>
  <c r="N181" i="18" s="1"/>
  <c r="K201" i="18"/>
  <c r="N201" i="18" s="1"/>
  <c r="L183" i="18"/>
  <c r="O183" i="18" s="1"/>
  <c r="M182" i="18"/>
  <c r="P182" i="18" s="1"/>
  <c r="K188" i="18"/>
  <c r="N188" i="18" s="1"/>
  <c r="K178" i="18"/>
  <c r="N178" i="18" s="1"/>
  <c r="M194" i="18"/>
  <c r="P194" i="18" s="1"/>
  <c r="K182" i="18"/>
  <c r="N182" i="18" s="1"/>
  <c r="M174" i="18"/>
  <c r="P174" i="18" s="1"/>
  <c r="M152" i="18"/>
  <c r="P152" i="18" s="1"/>
  <c r="K130" i="18"/>
  <c r="N130" i="18" s="1"/>
  <c r="L150" i="18"/>
  <c r="O150" i="18" s="1"/>
  <c r="M132" i="18"/>
  <c r="P132" i="18" s="1"/>
  <c r="M166" i="18"/>
  <c r="P166" i="18" s="1"/>
  <c r="K128" i="18"/>
  <c r="N128" i="18" s="1"/>
  <c r="M153" i="18"/>
  <c r="P153" i="18" s="1"/>
  <c r="K131" i="18"/>
  <c r="N131" i="18" s="1"/>
  <c r="K159" i="18"/>
  <c r="N159" i="18" s="1"/>
  <c r="R11" i="12"/>
  <c r="K139" i="18"/>
  <c r="N139" i="18" s="1"/>
  <c r="L159" i="18"/>
  <c r="O159" i="18" s="1"/>
  <c r="M162" i="18"/>
  <c r="P162" i="18" s="1"/>
  <c r="P9" i="12"/>
  <c r="R8" i="12"/>
  <c r="K164" i="18"/>
  <c r="N164" i="18" s="1"/>
  <c r="K211" i="18"/>
  <c r="N211" i="18" s="1"/>
  <c r="L209" i="18"/>
  <c r="O209" i="18" s="1"/>
  <c r="L197" i="18"/>
  <c r="O197" i="18" s="1"/>
  <c r="L215" i="18"/>
  <c r="O215" i="18" s="1"/>
  <c r="M191" i="18"/>
  <c r="P191" i="18" s="1"/>
  <c r="L174" i="18"/>
  <c r="O174" i="18" s="1"/>
  <c r="L195" i="18"/>
  <c r="O195" i="18" s="1"/>
  <c r="L177" i="18"/>
  <c r="O177" i="18" s="1"/>
  <c r="L198" i="18"/>
  <c r="O198" i="18" s="1"/>
  <c r="M180" i="18"/>
  <c r="P180" i="18" s="1"/>
  <c r="K200" i="18"/>
  <c r="N200" i="18" s="1"/>
  <c r="L179" i="18"/>
  <c r="O179" i="18" s="1"/>
  <c r="K175" i="18"/>
  <c r="N175" i="18" s="1"/>
  <c r="K183" i="18"/>
  <c r="N183" i="18" s="1"/>
  <c r="K172" i="18"/>
  <c r="N172" i="18" s="1"/>
  <c r="L190" i="18"/>
  <c r="O190" i="18" s="1"/>
  <c r="K171" i="18"/>
  <c r="N171" i="18" s="1"/>
  <c r="L172" i="18"/>
  <c r="O172" i="18" s="1"/>
  <c r="K167" i="18"/>
  <c r="N167" i="18" s="1"/>
  <c r="M129" i="18"/>
  <c r="P129" i="18" s="1"/>
  <c r="M160" i="18"/>
  <c r="P160" i="18" s="1"/>
  <c r="M150" i="18"/>
  <c r="P150" i="18" s="1"/>
  <c r="K135" i="18"/>
  <c r="N135" i="18" s="1"/>
  <c r="M156" i="18"/>
  <c r="P156" i="18" s="1"/>
  <c r="L163" i="18"/>
  <c r="O163" i="18" s="1"/>
  <c r="L131" i="18"/>
  <c r="O131" i="18" s="1"/>
  <c r="K160" i="18"/>
  <c r="N160" i="18" s="1"/>
  <c r="L123" i="18"/>
  <c r="O123" i="18" s="1"/>
  <c r="K134" i="18"/>
  <c r="N134" i="18" s="1"/>
  <c r="L144" i="18"/>
  <c r="O144" i="18" s="1"/>
  <c r="K146" i="18"/>
  <c r="N146" i="18" s="1"/>
  <c r="L169" i="18"/>
  <c r="O169" i="18" s="1"/>
  <c r="L148" i="18"/>
  <c r="O148" i="18" s="1"/>
  <c r="M210" i="18"/>
  <c r="P210" i="18" s="1"/>
  <c r="L205" i="18"/>
  <c r="O205" i="18" s="1"/>
  <c r="L193" i="18"/>
  <c r="O193" i="18" s="1"/>
  <c r="M216" i="18"/>
  <c r="P216" i="18" s="1"/>
  <c r="M190" i="18"/>
  <c r="P190" i="18" s="1"/>
  <c r="L212" i="18"/>
  <c r="O212" i="18" s="1"/>
  <c r="L194" i="18"/>
  <c r="O194" i="18" s="1"/>
  <c r="L173" i="18"/>
  <c r="O173" i="18" s="1"/>
  <c r="K197" i="18"/>
  <c r="N197" i="18" s="1"/>
  <c r="K177" i="18"/>
  <c r="N177" i="18" s="1"/>
  <c r="K199" i="18"/>
  <c r="N199" i="18" s="1"/>
  <c r="L175" i="18"/>
  <c r="O175" i="18" s="1"/>
  <c r="K174" i="18"/>
  <c r="N174" i="18" s="1"/>
  <c r="M177" i="18"/>
  <c r="P177" i="18" s="1"/>
  <c r="M207" i="18"/>
  <c r="P207" i="18" s="1"/>
  <c r="K186" i="18"/>
  <c r="N186" i="18" s="1"/>
  <c r="M188" i="18"/>
  <c r="P188" i="18" s="1"/>
  <c r="M187" i="18"/>
  <c r="P187" i="18" s="1"/>
  <c r="L152" i="18"/>
  <c r="O152" i="18" s="1"/>
  <c r="K163" i="18"/>
  <c r="N163" i="18" s="1"/>
  <c r="K136" i="18"/>
  <c r="N136" i="18" s="1"/>
  <c r="M158" i="18"/>
  <c r="P158" i="18" s="1"/>
  <c r="K144" i="18"/>
  <c r="N144" i="18" s="1"/>
  <c r="L147" i="18"/>
  <c r="O147" i="18" s="1"/>
  <c r="M163" i="18"/>
  <c r="P163" i="18" s="1"/>
  <c r="Q8" i="12"/>
  <c r="L157" i="18"/>
  <c r="O157" i="18" s="1"/>
  <c r="K207" i="18"/>
  <c r="N207" i="18" s="1"/>
  <c r="L201" i="18"/>
  <c r="O201" i="18" s="1"/>
  <c r="L189" i="18"/>
  <c r="O189" i="18" s="1"/>
  <c r="L214" i="18"/>
  <c r="O214" i="18" s="1"/>
  <c r="M189" i="18"/>
  <c r="P189" i="18" s="1"/>
  <c r="M208" i="18"/>
  <c r="P208" i="18" s="1"/>
  <c r="K193" i="18"/>
  <c r="N193" i="18" s="1"/>
  <c r="K217" i="18"/>
  <c r="N217" i="18" s="1"/>
  <c r="K196" i="18"/>
  <c r="N196" i="18" s="1"/>
  <c r="M176" i="18"/>
  <c r="P176" i="18" s="1"/>
  <c r="K198" i="18"/>
  <c r="N198" i="18" s="1"/>
  <c r="L171" i="18"/>
  <c r="O171" i="18" s="1"/>
  <c r="M173" i="18"/>
  <c r="P173" i="18" s="1"/>
  <c r="M203" i="18"/>
  <c r="P203" i="18" s="1"/>
  <c r="K205" i="18"/>
  <c r="N205" i="18" s="1"/>
  <c r="K180" i="18"/>
  <c r="N180" i="18" s="1"/>
  <c r="M175" i="18"/>
  <c r="P175" i="18" s="1"/>
  <c r="R14" i="12"/>
  <c r="P15" i="12"/>
  <c r="L161" i="18"/>
  <c r="O161" i="18" s="1"/>
  <c r="L129" i="18"/>
  <c r="O129" i="18" s="1"/>
  <c r="L141" i="18"/>
  <c r="O141" i="18" s="1"/>
  <c r="K170" i="18"/>
  <c r="N170" i="18" s="1"/>
  <c r="L119" i="18"/>
  <c r="O119" i="18" s="1"/>
  <c r="M124" i="18"/>
  <c r="P124" i="18" s="1"/>
  <c r="M155" i="18"/>
  <c r="P155" i="18" s="1"/>
  <c r="K161" i="18"/>
  <c r="N161" i="18" s="1"/>
  <c r="L140" i="18"/>
  <c r="O140" i="18" s="1"/>
  <c r="L142" i="18"/>
  <c r="O142" i="18" s="1"/>
  <c r="M206" i="18"/>
  <c r="P206" i="18" s="1"/>
  <c r="L216" i="18"/>
  <c r="O216" i="18" s="1"/>
  <c r="K214" i="18"/>
  <c r="N214" i="18" s="1"/>
  <c r="M213" i="18"/>
  <c r="P213" i="18" s="1"/>
  <c r="L188" i="18"/>
  <c r="O188" i="18" s="1"/>
  <c r="M200" i="18"/>
  <c r="P200" i="18" s="1"/>
  <c r="K192" i="18"/>
  <c r="N192" i="18" s="1"/>
  <c r="K212" i="18"/>
  <c r="N212" i="18" s="1"/>
  <c r="K195" i="18"/>
  <c r="N195" i="18" s="1"/>
  <c r="K173" i="18"/>
  <c r="N173" i="18" s="1"/>
  <c r="L184" i="18"/>
  <c r="O184" i="18" s="1"/>
  <c r="M215" i="18"/>
  <c r="P215" i="18" s="1"/>
  <c r="M212" i="18"/>
  <c r="P212" i="18" s="1"/>
  <c r="M193" i="18"/>
  <c r="P193" i="18" s="1"/>
  <c r="M186" i="18"/>
  <c r="P186" i="18" s="1"/>
  <c r="M171" i="18"/>
  <c r="P171" i="18" s="1"/>
  <c r="R15" i="12"/>
  <c r="R13" i="12"/>
  <c r="L146" i="18"/>
  <c r="O146" i="18" s="1"/>
  <c r="K121" i="18"/>
  <c r="N121" i="18" s="1"/>
  <c r="K152" i="18"/>
  <c r="N152" i="18" s="1"/>
  <c r="M147" i="18"/>
  <c r="P147" i="18" s="1"/>
  <c r="L128" i="18"/>
  <c r="O128" i="18" s="1"/>
  <c r="K157" i="18"/>
  <c r="N157" i="18" s="1"/>
  <c r="K140" i="18"/>
  <c r="N140" i="18" s="1"/>
  <c r="L149" i="18"/>
  <c r="O149" i="18" s="1"/>
  <c r="M118" i="18"/>
  <c r="P118" i="18" s="1"/>
  <c r="K143" i="18"/>
  <c r="N143" i="18" s="1"/>
  <c r="L153" i="18"/>
  <c r="O153" i="18" s="1"/>
  <c r="M136" i="18"/>
  <c r="P136" i="18" s="1"/>
  <c r="L138" i="18"/>
  <c r="O138" i="18" s="1"/>
  <c r="M168" i="18"/>
  <c r="P168" i="18" s="1"/>
  <c r="K203" i="18"/>
  <c r="N203" i="18" s="1"/>
  <c r="K210" i="18"/>
  <c r="N210" i="18" s="1"/>
  <c r="L211" i="18"/>
  <c r="O211" i="18" s="1"/>
  <c r="M209" i="18"/>
  <c r="P209" i="18" s="1"/>
  <c r="L187" i="18"/>
  <c r="O187" i="18" s="1"/>
  <c r="M199" i="18"/>
  <c r="P199" i="18" s="1"/>
  <c r="K191" i="18"/>
  <c r="N191" i="18" s="1"/>
  <c r="K208" i="18"/>
  <c r="N208" i="18" s="1"/>
  <c r="K194" i="18"/>
  <c r="N194" i="18" s="1"/>
  <c r="M172" i="18"/>
  <c r="P172" i="18" s="1"/>
  <c r="L180" i="18"/>
  <c r="O180" i="18" s="1"/>
  <c r="M195" i="18"/>
  <c r="P195" i="18" s="1"/>
  <c r="L210" i="18"/>
  <c r="O210" i="18" s="1"/>
  <c r="K189" i="18"/>
  <c r="N189" i="18" s="1"/>
  <c r="K179" i="18"/>
  <c r="N179" i="18" s="1"/>
  <c r="L206" i="18"/>
  <c r="O206" i="18" s="1"/>
  <c r="K184" i="18"/>
  <c r="N184" i="18" s="1"/>
  <c r="K169" i="18"/>
  <c r="N169" i="18" s="1"/>
  <c r="Q9" i="12"/>
  <c r="T9" i="12" s="1"/>
  <c r="M144" i="18"/>
  <c r="P144" i="18" s="1"/>
  <c r="M169" i="18"/>
  <c r="P169" i="18" s="1"/>
  <c r="M131" i="18"/>
  <c r="P131" i="18" s="1"/>
  <c r="L160" i="18"/>
  <c r="O160" i="18" s="1"/>
  <c r="K122" i="18"/>
  <c r="N122" i="18" s="1"/>
  <c r="L134" i="18"/>
  <c r="O134" i="18" s="1"/>
  <c r="L139" i="18"/>
  <c r="O139" i="18" s="1"/>
  <c r="K120" i="18"/>
  <c r="N120" i="18" s="1"/>
  <c r="M202" i="18"/>
  <c r="P202" i="18" s="1"/>
  <c r="L207" i="18"/>
  <c r="O207" i="18" s="1"/>
  <c r="L208" i="18"/>
  <c r="O208" i="18" s="1"/>
  <c r="K206" i="18"/>
  <c r="N206" i="18" s="1"/>
  <c r="L186" i="18"/>
  <c r="O186" i="18" s="1"/>
  <c r="M198" i="18"/>
  <c r="P198" i="18" s="1"/>
  <c r="K190" i="18"/>
  <c r="N190" i="18" s="1"/>
  <c r="M204" i="18"/>
  <c r="P204" i="18" s="1"/>
  <c r="K185" i="18"/>
  <c r="N185" i="18" s="1"/>
  <c r="M211" i="18"/>
  <c r="P211" i="18" s="1"/>
  <c r="L176" i="18"/>
  <c r="O176" i="18" s="1"/>
  <c r="L191" i="18"/>
  <c r="O191" i="18" s="1"/>
  <c r="M196" i="18"/>
  <c r="P196" i="18" s="1"/>
  <c r="M185" i="18"/>
  <c r="P185" i="18" s="1"/>
  <c r="K216" i="18"/>
  <c r="N216" i="18" s="1"/>
  <c r="M183" i="18"/>
  <c r="P183" i="18" s="1"/>
  <c r="M181" i="18"/>
  <c r="P181" i="18" s="1"/>
  <c r="Q14" i="12"/>
  <c r="K202" i="18"/>
  <c r="N202" i="18" s="1"/>
  <c r="K127" i="18"/>
  <c r="N127" i="18" s="1"/>
  <c r="L156" i="18"/>
  <c r="O156" i="18" s="1"/>
  <c r="M126" i="18"/>
  <c r="P126" i="18" s="1"/>
  <c r="K166" i="18"/>
  <c r="N166" i="18" s="1"/>
  <c r="L166" i="18"/>
  <c r="O166" i="18" s="1"/>
  <c r="M119" i="18"/>
  <c r="P119" i="18" s="1"/>
  <c r="L143" i="18"/>
  <c r="O143" i="18" s="1"/>
  <c r="L168" i="18"/>
  <c r="O168" i="18" s="1"/>
  <c r="K215" i="18"/>
  <c r="N215" i="18" s="1"/>
  <c r="L217" i="18"/>
  <c r="O217" i="18" s="1"/>
  <c r="L204" i="18"/>
  <c r="O204" i="18" s="1"/>
  <c r="M205" i="18"/>
  <c r="P205" i="18" s="1"/>
  <c r="L202" i="18"/>
  <c r="O202" i="18" s="1"/>
  <c r="L182" i="18"/>
  <c r="O182" i="18" s="1"/>
  <c r="M197" i="18"/>
  <c r="P197" i="18" s="1"/>
  <c r="L185" i="18"/>
  <c r="O185" i="18" s="1"/>
  <c r="L200" i="18"/>
  <c r="O200" i="18" s="1"/>
  <c r="M184" i="18"/>
  <c r="P184" i="18" s="1"/>
  <c r="K204" i="18"/>
  <c r="N204" i="18" s="1"/>
  <c r="L203" i="18"/>
  <c r="O203" i="18" s="1"/>
  <c r="K187" i="18"/>
  <c r="N187" i="18" s="1"/>
  <c r="L192" i="18"/>
  <c r="O192" i="18" s="1"/>
  <c r="M179" i="18"/>
  <c r="P179" i="18" s="1"/>
  <c r="K209" i="18"/>
  <c r="N209" i="18" s="1"/>
  <c r="K176" i="18"/>
  <c r="N176" i="18" s="1"/>
  <c r="M178" i="18"/>
  <c r="P178" i="18" s="1"/>
  <c r="K213" i="18"/>
  <c r="N213" i="18" s="1"/>
  <c r="Q15" i="12"/>
  <c r="T15" i="12" s="1"/>
  <c r="K123" i="18"/>
  <c r="N123" i="18" s="1"/>
  <c r="M161" i="18"/>
  <c r="P161" i="18" s="1"/>
  <c r="L165" i="18"/>
  <c r="O165" i="18" s="1"/>
  <c r="K158" i="18"/>
  <c r="N158" i="18" s="1"/>
  <c r="K133" i="18"/>
  <c r="N133" i="18" s="1"/>
  <c r="L154" i="18"/>
  <c r="O154" i="18" s="1"/>
  <c r="K141" i="18"/>
  <c r="N141" i="18" s="1"/>
  <c r="L126" i="18"/>
  <c r="O126" i="18" s="1"/>
  <c r="M145" i="18"/>
  <c r="P145" i="18" s="1"/>
  <c r="M127" i="18"/>
  <c r="P127" i="18" s="1"/>
  <c r="M125" i="18"/>
  <c r="P125" i="18" s="1"/>
  <c r="L167" i="18"/>
  <c r="O167" i="18" s="1"/>
  <c r="M252" i="30"/>
  <c r="F23" i="20"/>
  <c r="O12" i="24"/>
  <c r="O15" i="6"/>
  <c r="H12" i="24" s="1"/>
  <c r="O13" i="24"/>
  <c r="O16" i="6"/>
  <c r="H13" i="24" s="1"/>
  <c r="L12" i="10"/>
  <c r="L13" i="10"/>
  <c r="L14" i="10"/>
  <c r="L15" i="10"/>
  <c r="L16" i="10"/>
  <c r="H24" i="8"/>
  <c r="G24" i="8"/>
  <c r="M246" i="30"/>
  <c r="M22" i="20"/>
  <c r="M241" i="30"/>
  <c r="H22" i="20"/>
  <c r="M216" i="30"/>
  <c r="I20" i="20"/>
  <c r="M156" i="30"/>
  <c r="N10" i="20"/>
  <c r="P11" i="12"/>
  <c r="M256" i="30"/>
  <c r="J23" i="20"/>
  <c r="H14" i="10"/>
  <c r="H15" i="10"/>
  <c r="H16" i="10"/>
  <c r="H12" i="10"/>
  <c r="H13" i="10"/>
  <c r="M266" i="30"/>
  <c r="G24" i="20"/>
  <c r="H30" i="8"/>
  <c r="G30" i="8"/>
  <c r="I30" i="8" s="1"/>
  <c r="J30" i="8" s="1"/>
  <c r="M264" i="30"/>
  <c r="E24" i="20"/>
  <c r="M231" i="30"/>
  <c r="K21" i="20"/>
  <c r="L26" i="12"/>
  <c r="I28" i="8"/>
  <c r="J28" i="8" s="1"/>
  <c r="M28" i="8" s="1"/>
  <c r="C36" i="30" s="1"/>
  <c r="E36" i="30" s="1"/>
  <c r="G36" i="30" s="1"/>
  <c r="M215" i="30"/>
  <c r="H20" i="20"/>
  <c r="O11" i="24"/>
  <c r="O14" i="6"/>
  <c r="H11" i="24" s="1"/>
  <c r="M233" i="30"/>
  <c r="M21" i="20"/>
  <c r="M268" i="30"/>
  <c r="I24" i="20"/>
  <c r="M208" i="30"/>
  <c r="N14" i="20"/>
  <c r="P12" i="12"/>
  <c r="M253" i="30"/>
  <c r="G23" i="20"/>
  <c r="F14" i="8"/>
  <c r="M251" i="30"/>
  <c r="E23" i="20"/>
  <c r="M218" i="30"/>
  <c r="K20" i="20"/>
  <c r="Q10" i="12"/>
  <c r="M224" i="30"/>
  <c r="D21" i="20"/>
  <c r="M228" i="30"/>
  <c r="H21" i="20"/>
  <c r="I34" i="8"/>
  <c r="J34" i="8" s="1"/>
  <c r="M265" i="30"/>
  <c r="F24" i="20"/>
  <c r="S15" i="6"/>
  <c r="R15" i="6"/>
  <c r="W12" i="24" s="1"/>
  <c r="M211" i="30"/>
  <c r="D20" i="20"/>
  <c r="M263" i="30"/>
  <c r="D24" i="20"/>
  <c r="L28" i="8"/>
  <c r="M243" i="30"/>
  <c r="J22" i="20"/>
  <c r="M250" i="30"/>
  <c r="D23" i="20"/>
  <c r="O10" i="24"/>
  <c r="O13" i="6"/>
  <c r="H10" i="24" s="1"/>
  <c r="M220" i="30"/>
  <c r="M20" i="20"/>
  <c r="I25" i="8"/>
  <c r="J25" i="8" s="1"/>
  <c r="M25" i="8" s="1"/>
  <c r="C30" i="30" s="1"/>
  <c r="E30" i="30" s="1"/>
  <c r="G30" i="30" s="1"/>
  <c r="M255" i="30"/>
  <c r="I23" i="20"/>
  <c r="M195" i="30"/>
  <c r="N13" i="20"/>
  <c r="M230" i="30"/>
  <c r="J21" i="20"/>
  <c r="M271" i="30"/>
  <c r="L24" i="20"/>
  <c r="M240" i="30"/>
  <c r="G22" i="20"/>
  <c r="H33" i="8"/>
  <c r="G33" i="8"/>
  <c r="M238" i="30"/>
  <c r="E22" i="20"/>
  <c r="J15" i="10"/>
  <c r="J16" i="10"/>
  <c r="J12" i="10"/>
  <c r="J13" i="10"/>
  <c r="J14" i="10"/>
  <c r="P8" i="12"/>
  <c r="S8" i="12" s="1"/>
  <c r="Q11" i="12"/>
  <c r="T11" i="12" s="1"/>
  <c r="M269" i="30"/>
  <c r="J24" i="20"/>
  <c r="I31" i="8"/>
  <c r="J31" i="8" s="1"/>
  <c r="Q12" i="12"/>
  <c r="T12" i="12" s="1"/>
  <c r="M12" i="10"/>
  <c r="M13" i="10"/>
  <c r="M14" i="10"/>
  <c r="M15" i="10"/>
  <c r="M16" i="10"/>
  <c r="I32" i="8"/>
  <c r="J32" i="8" s="1"/>
  <c r="M32" i="8" s="1"/>
  <c r="C44" i="30" s="1"/>
  <c r="E44" i="30" s="1"/>
  <c r="G44" i="30" s="1"/>
  <c r="I29" i="8"/>
  <c r="J29" i="8" s="1"/>
  <c r="M29" i="8" s="1"/>
  <c r="C38" i="30" s="1"/>
  <c r="E38" i="30" s="1"/>
  <c r="G38" i="30" s="1"/>
  <c r="P10" i="12"/>
  <c r="S10" i="12" s="1"/>
  <c r="M237" i="30"/>
  <c r="D22" i="20"/>
  <c r="I26" i="8"/>
  <c r="J26" i="8" s="1"/>
  <c r="F15" i="8"/>
  <c r="F13" i="8"/>
  <c r="M182" i="30"/>
  <c r="N12" i="20"/>
  <c r="M217" i="30"/>
  <c r="J20" i="20"/>
  <c r="M258" i="30"/>
  <c r="L23" i="20"/>
  <c r="M213" i="30"/>
  <c r="F20" i="20"/>
  <c r="O13" i="10"/>
  <c r="O14" i="10"/>
  <c r="O15" i="10"/>
  <c r="O16" i="10"/>
  <c r="O12" i="10"/>
  <c r="K33" i="8"/>
  <c r="M225" i="30"/>
  <c r="E21" i="20"/>
  <c r="I14" i="10"/>
  <c r="I15" i="10"/>
  <c r="I16" i="10"/>
  <c r="I12" i="10"/>
  <c r="I13" i="10"/>
  <c r="R12" i="12"/>
  <c r="K16" i="10"/>
  <c r="K12" i="10"/>
  <c r="K13" i="10"/>
  <c r="K14" i="10"/>
  <c r="K15" i="10"/>
  <c r="M245" i="30"/>
  <c r="L22" i="20"/>
  <c r="M212" i="30"/>
  <c r="E20" i="20"/>
  <c r="M270" i="30"/>
  <c r="K24" i="20"/>
  <c r="G13" i="10"/>
  <c r="G14" i="10"/>
  <c r="G15" i="10"/>
  <c r="G16" i="10"/>
  <c r="G12" i="10"/>
  <c r="I23" i="8"/>
  <c r="J23" i="8" s="1"/>
  <c r="P13" i="12"/>
  <c r="Q13" i="12"/>
  <c r="R16" i="6"/>
  <c r="W13" i="24" s="1"/>
  <c r="S13" i="6"/>
  <c r="M272" i="30"/>
  <c r="M24" i="20"/>
  <c r="M267" i="30"/>
  <c r="H24" i="20"/>
  <c r="M242" i="30"/>
  <c r="I22" i="20"/>
  <c r="S14" i="6"/>
  <c r="M219" i="30"/>
  <c r="L20" i="20"/>
  <c r="M239" i="30"/>
  <c r="F22" i="20"/>
  <c r="M227" i="30"/>
  <c r="G21" i="20"/>
  <c r="F16" i="8"/>
  <c r="M244" i="30"/>
  <c r="K22" i="20"/>
  <c r="N12" i="10"/>
  <c r="N13" i="10"/>
  <c r="N14" i="10"/>
  <c r="N15" i="10"/>
  <c r="N16" i="10"/>
  <c r="H27" i="8"/>
  <c r="G27" i="8"/>
  <c r="I27" i="8" s="1"/>
  <c r="J27" i="8" s="1"/>
  <c r="M27" i="8" s="1"/>
  <c r="C34" i="30" s="1"/>
  <c r="E34" i="30" s="1"/>
  <c r="G34" i="30" s="1"/>
  <c r="P14" i="12"/>
  <c r="S14" i="12" s="1"/>
  <c r="R10" i="12"/>
  <c r="M232" i="30"/>
  <c r="L21" i="20"/>
  <c r="K24" i="8"/>
  <c r="M259" i="30"/>
  <c r="M23" i="20"/>
  <c r="M254" i="30"/>
  <c r="H23" i="20"/>
  <c r="M229" i="30"/>
  <c r="I21" i="20"/>
  <c r="M169" i="30"/>
  <c r="N11" i="20"/>
  <c r="M226" i="30"/>
  <c r="F21" i="20"/>
  <c r="M214" i="30"/>
  <c r="G20" i="20"/>
  <c r="M30" i="8"/>
  <c r="C40" i="30" s="1"/>
  <c r="E40" i="30" s="1"/>
  <c r="G40" i="30" s="1"/>
  <c r="K30" i="8"/>
  <c r="M257" i="30"/>
  <c r="K23" i="20"/>
  <c r="K27" i="8"/>
  <c r="R9" i="12"/>
  <c r="E19" i="8" l="1"/>
  <c r="U10" i="12"/>
  <c r="S12" i="12"/>
  <c r="U12" i="12" s="1"/>
  <c r="S16" i="6"/>
  <c r="T13" i="12"/>
  <c r="M180" i="30"/>
  <c r="L12" i="20"/>
  <c r="M168" i="30"/>
  <c r="M11" i="20"/>
  <c r="M154" i="30"/>
  <c r="L10" i="20"/>
  <c r="M147" i="30"/>
  <c r="E10" i="20"/>
  <c r="M192" i="30"/>
  <c r="K13" i="20"/>
  <c r="C57" i="30"/>
  <c r="E57" i="30" s="1"/>
  <c r="G57" i="30" s="1"/>
  <c r="H34" i="12"/>
  <c r="G12" i="26" s="1"/>
  <c r="I34" i="12"/>
  <c r="M34" i="8"/>
  <c r="C48" i="30" s="1"/>
  <c r="E48" i="30" s="1"/>
  <c r="G48" i="30" s="1"/>
  <c r="L34" i="8"/>
  <c r="M165" i="30"/>
  <c r="J11" i="20"/>
  <c r="Q131" i="18"/>
  <c r="S131" i="18" s="1"/>
  <c r="T131" i="18" s="1"/>
  <c r="Q199" i="18"/>
  <c r="S199" i="18" s="1"/>
  <c r="T199" i="18" s="1"/>
  <c r="Q136" i="18"/>
  <c r="S136" i="18" s="1"/>
  <c r="T136" i="18" s="1"/>
  <c r="U136" i="18" s="1"/>
  <c r="V136" i="18" s="1"/>
  <c r="Q147" i="18"/>
  <c r="S147" i="18" s="1"/>
  <c r="T147" i="18" s="1"/>
  <c r="R193" i="18"/>
  <c r="Q193" i="18"/>
  <c r="S193" i="18" s="1"/>
  <c r="T193" i="18" s="1"/>
  <c r="Q200" i="18"/>
  <c r="S200" i="18" s="1"/>
  <c r="T200" i="18" s="1"/>
  <c r="S15" i="12"/>
  <c r="Q158" i="18"/>
  <c r="S158" i="18" s="1"/>
  <c r="T158" i="18" s="1"/>
  <c r="U158" i="18" s="1"/>
  <c r="V158" i="18" s="1"/>
  <c r="Q177" i="18"/>
  <c r="S177" i="18" s="1"/>
  <c r="T177" i="18" s="1"/>
  <c r="U177" i="18" s="1"/>
  <c r="V177" i="18" s="1"/>
  <c r="U8" i="12"/>
  <c r="Q153" i="18"/>
  <c r="S153" i="18" s="1"/>
  <c r="T153" i="18" s="1"/>
  <c r="Q214" i="18"/>
  <c r="S214" i="18" s="1"/>
  <c r="T214" i="18" s="1"/>
  <c r="R130" i="18"/>
  <c r="Q130" i="18"/>
  <c r="S130" i="18" s="1"/>
  <c r="T130" i="18" s="1"/>
  <c r="R154" i="18"/>
  <c r="Q154" i="18"/>
  <c r="S154" i="18" s="1"/>
  <c r="T154" i="18" s="1"/>
  <c r="Q121" i="18"/>
  <c r="S121" i="18" s="1"/>
  <c r="T121" i="18" s="1"/>
  <c r="M175" i="30"/>
  <c r="G12" i="20"/>
  <c r="M202" i="30"/>
  <c r="H14" i="20"/>
  <c r="M167" i="30"/>
  <c r="L11" i="20"/>
  <c r="C112" i="30"/>
  <c r="E112" i="30" s="1"/>
  <c r="G112" i="30" s="1"/>
  <c r="V14" i="12"/>
  <c r="M199" i="30"/>
  <c r="E14" i="20"/>
  <c r="M162" i="30"/>
  <c r="G11" i="20"/>
  <c r="F41" i="8"/>
  <c r="H41" i="8" s="1"/>
  <c r="I12" i="22" s="1"/>
  <c r="M26" i="8"/>
  <c r="C32" i="30" s="1"/>
  <c r="E32" i="30" s="1"/>
  <c r="G32" i="30" s="1"/>
  <c r="L26" i="8"/>
  <c r="M179" i="30"/>
  <c r="K12" i="20"/>
  <c r="C89" i="30"/>
  <c r="E89" i="30" s="1"/>
  <c r="G89" i="30" s="1"/>
  <c r="V8" i="12"/>
  <c r="I33" i="8"/>
  <c r="J33" i="8" s="1"/>
  <c r="M33" i="8" s="1"/>
  <c r="C46" i="30" s="1"/>
  <c r="E46" i="30" s="1"/>
  <c r="G46" i="30" s="1"/>
  <c r="L32" i="8"/>
  <c r="M152" i="30"/>
  <c r="J10" i="20"/>
  <c r="Q125" i="18"/>
  <c r="S125" i="18" s="1"/>
  <c r="T125" i="18" s="1"/>
  <c r="Q179" i="18"/>
  <c r="S179" i="18" s="1"/>
  <c r="T179" i="18" s="1"/>
  <c r="Q197" i="18"/>
  <c r="S197" i="18" s="1"/>
  <c r="T197" i="18" s="1"/>
  <c r="T14" i="12"/>
  <c r="Q211" i="18"/>
  <c r="S211" i="18" s="1"/>
  <c r="T211" i="18" s="1"/>
  <c r="Q169" i="18"/>
  <c r="S169" i="18" s="1"/>
  <c r="T169" i="18" s="1"/>
  <c r="U169" i="18" s="1"/>
  <c r="V169" i="18" s="1"/>
  <c r="Q212" i="18"/>
  <c r="S212" i="18" s="1"/>
  <c r="T212" i="18" s="1"/>
  <c r="Q155" i="18"/>
  <c r="S155" i="18" s="1"/>
  <c r="T155" i="18" s="1"/>
  <c r="U14" i="12"/>
  <c r="Q176" i="18"/>
  <c r="S176" i="18" s="1"/>
  <c r="T176" i="18" s="1"/>
  <c r="Q190" i="18"/>
  <c r="S190" i="18" s="1"/>
  <c r="T190" i="18" s="1"/>
  <c r="U190" i="18" s="1"/>
  <c r="V190" i="18" s="1"/>
  <c r="R150" i="18"/>
  <c r="Q150" i="18"/>
  <c r="S150" i="18" s="1"/>
  <c r="T150" i="18" s="1"/>
  <c r="U150" i="18" s="1"/>
  <c r="V150" i="18" s="1"/>
  <c r="S9" i="12"/>
  <c r="U9" i="12" s="1"/>
  <c r="Q194" i="18"/>
  <c r="S194" i="18" s="1"/>
  <c r="T194" i="18" s="1"/>
  <c r="Q135" i="18"/>
  <c r="S135" i="18" s="1"/>
  <c r="T135" i="18" s="1"/>
  <c r="U135" i="18" s="1"/>
  <c r="V135" i="18" s="1"/>
  <c r="Q157" i="18"/>
  <c r="S157" i="18" s="1"/>
  <c r="T157" i="18" s="1"/>
  <c r="Q128" i="18"/>
  <c r="S128" i="18" s="1"/>
  <c r="T128" i="18" s="1"/>
  <c r="U128" i="18" s="1"/>
  <c r="V128" i="18" s="1"/>
  <c r="Q140" i="18"/>
  <c r="S140" i="18" s="1"/>
  <c r="T140" i="18" s="1"/>
  <c r="S13" i="12"/>
  <c r="T13" i="6"/>
  <c r="U10" i="24" s="1"/>
  <c r="C13" i="16"/>
  <c r="M149" i="30"/>
  <c r="G10" i="20"/>
  <c r="M155" i="30"/>
  <c r="M10" i="20"/>
  <c r="M166" i="30"/>
  <c r="K11" i="20"/>
  <c r="M176" i="30"/>
  <c r="H12" i="20"/>
  <c r="S11" i="12"/>
  <c r="R127" i="18"/>
  <c r="Q127" i="18"/>
  <c r="S127" i="18" s="1"/>
  <c r="T127" i="18" s="1"/>
  <c r="Q161" i="18"/>
  <c r="S161" i="18" s="1"/>
  <c r="T161" i="18" s="1"/>
  <c r="U161" i="18" s="1"/>
  <c r="V161" i="18" s="1"/>
  <c r="Q119" i="18"/>
  <c r="S119" i="18" s="1"/>
  <c r="T119" i="18" s="1"/>
  <c r="U119" i="18" s="1"/>
  <c r="V119" i="18" s="1"/>
  <c r="Q181" i="18"/>
  <c r="S181" i="18" s="1"/>
  <c r="T181" i="18" s="1"/>
  <c r="Q202" i="18"/>
  <c r="S202" i="18" s="1"/>
  <c r="T202" i="18" s="1"/>
  <c r="U202" i="18" s="1"/>
  <c r="V202" i="18" s="1"/>
  <c r="Q144" i="18"/>
  <c r="S144" i="18" s="1"/>
  <c r="T144" i="18" s="1"/>
  <c r="U144" i="18" s="1"/>
  <c r="V144" i="18" s="1"/>
  <c r="Q195" i="18"/>
  <c r="S195" i="18" s="1"/>
  <c r="T195" i="18" s="1"/>
  <c r="U195" i="18" s="1"/>
  <c r="V195" i="18" s="1"/>
  <c r="R209" i="18"/>
  <c r="Q209" i="18"/>
  <c r="S209" i="18" s="1"/>
  <c r="T209" i="18" s="1"/>
  <c r="U209" i="18" s="1"/>
  <c r="V209" i="18" s="1"/>
  <c r="U143" i="18"/>
  <c r="V143" i="18" s="1"/>
  <c r="U121" i="18"/>
  <c r="V121" i="18" s="1"/>
  <c r="Q215" i="18"/>
  <c r="S215" i="18" s="1"/>
  <c r="T215" i="18" s="1"/>
  <c r="U215" i="18" s="1"/>
  <c r="V215" i="18" s="1"/>
  <c r="R213" i="18"/>
  <c r="Q213" i="18"/>
  <c r="S213" i="18" s="1"/>
  <c r="T213" i="18" s="1"/>
  <c r="U213" i="18" s="1"/>
  <c r="V213" i="18" s="1"/>
  <c r="Q124" i="18"/>
  <c r="S124" i="18" s="1"/>
  <c r="T124" i="18" s="1"/>
  <c r="U124" i="18" s="1"/>
  <c r="V124" i="18" s="1"/>
  <c r="Q175" i="18"/>
  <c r="S175" i="18" s="1"/>
  <c r="T175" i="18" s="1"/>
  <c r="U175" i="18" s="1"/>
  <c r="V175" i="18" s="1"/>
  <c r="Q216" i="18"/>
  <c r="S216" i="18" s="1"/>
  <c r="T216" i="18" s="1"/>
  <c r="R216" i="18"/>
  <c r="U134" i="18"/>
  <c r="V134" i="18" s="1"/>
  <c r="Q160" i="18"/>
  <c r="S160" i="18" s="1"/>
  <c r="T160" i="18" s="1"/>
  <c r="U160" i="18" s="1"/>
  <c r="V160" i="18" s="1"/>
  <c r="Q191" i="18"/>
  <c r="S191" i="18" s="1"/>
  <c r="T191" i="18" s="1"/>
  <c r="Q162" i="18"/>
  <c r="S162" i="18" s="1"/>
  <c r="T162" i="18" s="1"/>
  <c r="Q166" i="18"/>
  <c r="S166" i="18" s="1"/>
  <c r="T166" i="18" s="1"/>
  <c r="Q134" i="18"/>
  <c r="S134" i="18" s="1"/>
  <c r="T134" i="18" s="1"/>
  <c r="R134" i="18"/>
  <c r="U162" i="18"/>
  <c r="V162" i="18" s="1"/>
  <c r="R138" i="18"/>
  <c r="Q138" i="18"/>
  <c r="S138" i="18" s="1"/>
  <c r="T138" i="18" s="1"/>
  <c r="R143" i="18"/>
  <c r="Q143" i="18"/>
  <c r="S143" i="18" s="1"/>
  <c r="T143" i="18" s="1"/>
  <c r="Q139" i="18"/>
  <c r="S139" i="18" s="1"/>
  <c r="T139" i="18" s="1"/>
  <c r="U139" i="18" s="1"/>
  <c r="V139" i="18" s="1"/>
  <c r="Q146" i="18"/>
  <c r="S146" i="18" s="1"/>
  <c r="T146" i="18" s="1"/>
  <c r="U146" i="18" s="1"/>
  <c r="V146" i="18" s="1"/>
  <c r="F39" i="8"/>
  <c r="H39" i="8" s="1"/>
  <c r="I10" i="22" s="1"/>
  <c r="L27" i="8"/>
  <c r="L29" i="8"/>
  <c r="M186" i="30"/>
  <c r="E13" i="20"/>
  <c r="L25" i="8"/>
  <c r="C14" i="16"/>
  <c r="T14" i="6"/>
  <c r="U11" i="24" s="1"/>
  <c r="M173" i="30"/>
  <c r="E12" i="20"/>
  <c r="M190" i="30"/>
  <c r="I13" i="20"/>
  <c r="M201" i="30"/>
  <c r="G14" i="20"/>
  <c r="M207" i="30"/>
  <c r="M14" i="20"/>
  <c r="M153" i="30"/>
  <c r="K10" i="20"/>
  <c r="M163" i="30"/>
  <c r="H11" i="20"/>
  <c r="M161" i="30"/>
  <c r="F11" i="20"/>
  <c r="I24" i="8"/>
  <c r="J24" i="8" s="1"/>
  <c r="M24" i="8" s="1"/>
  <c r="C28" i="30" s="1"/>
  <c r="E28" i="30" s="1"/>
  <c r="G28" i="30" s="1"/>
  <c r="Q145" i="18"/>
  <c r="S145" i="18" s="1"/>
  <c r="T145" i="18" s="1"/>
  <c r="Q183" i="18"/>
  <c r="S183" i="18" s="1"/>
  <c r="T183" i="18" s="1"/>
  <c r="U183" i="18" s="1"/>
  <c r="V183" i="18" s="1"/>
  <c r="Q204" i="18"/>
  <c r="S204" i="18" s="1"/>
  <c r="T204" i="18" s="1"/>
  <c r="U204" i="18" s="1"/>
  <c r="V204" i="18" s="1"/>
  <c r="C92" i="30"/>
  <c r="E92" i="30" s="1"/>
  <c r="G92" i="30" s="1"/>
  <c r="H32" i="12"/>
  <c r="G10" i="26" s="1"/>
  <c r="H20" i="12"/>
  <c r="I32" i="12"/>
  <c r="Q118" i="18"/>
  <c r="S118" i="18" s="1"/>
  <c r="T118" i="18" s="1"/>
  <c r="U118" i="18" s="1"/>
  <c r="U214" i="18"/>
  <c r="V214" i="18" s="1"/>
  <c r="U199" i="18"/>
  <c r="V199" i="18" s="1"/>
  <c r="Q129" i="18"/>
  <c r="S129" i="18" s="1"/>
  <c r="T129" i="18" s="1"/>
  <c r="U129" i="18" s="1"/>
  <c r="V129" i="18" s="1"/>
  <c r="Q132" i="18"/>
  <c r="S132" i="18" s="1"/>
  <c r="T132" i="18" s="1"/>
  <c r="U132" i="18" s="1"/>
  <c r="V132" i="18" s="1"/>
  <c r="R149" i="18"/>
  <c r="Q149" i="18"/>
  <c r="S149" i="18" s="1"/>
  <c r="T149" i="18" s="1"/>
  <c r="Q120" i="18"/>
  <c r="S120" i="18" s="1"/>
  <c r="T120" i="18" s="1"/>
  <c r="U120" i="18" s="1"/>
  <c r="V120" i="18" s="1"/>
  <c r="Q151" i="18"/>
  <c r="S151" i="18" s="1"/>
  <c r="T151" i="18" s="1"/>
  <c r="U151" i="18" s="1"/>
  <c r="V151" i="18" s="1"/>
  <c r="Q164" i="18"/>
  <c r="S164" i="18" s="1"/>
  <c r="T164" i="18" s="1"/>
  <c r="U164" i="18" s="1"/>
  <c r="V164" i="18" s="1"/>
  <c r="Q159" i="18"/>
  <c r="S159" i="18" s="1"/>
  <c r="T159" i="18" s="1"/>
  <c r="U159" i="18" s="1"/>
  <c r="V159" i="18" s="1"/>
  <c r="C65" i="30"/>
  <c r="E65" i="30" s="1"/>
  <c r="G65" i="30" s="1"/>
  <c r="H36" i="12"/>
  <c r="G14" i="26" s="1"/>
  <c r="I36" i="12"/>
  <c r="F38" i="8"/>
  <c r="H38" i="8" s="1"/>
  <c r="I9" i="22" s="1"/>
  <c r="M206" i="30"/>
  <c r="L14" i="20"/>
  <c r="C16" i="16"/>
  <c r="T16" i="6"/>
  <c r="U13" i="24" s="1"/>
  <c r="M160" i="30"/>
  <c r="E11" i="20"/>
  <c r="M177" i="30"/>
  <c r="I12" i="20"/>
  <c r="M188" i="30"/>
  <c r="G13" i="20"/>
  <c r="M194" i="30"/>
  <c r="M13" i="20"/>
  <c r="C54" i="30"/>
  <c r="E54" i="30" s="1"/>
  <c r="G54" i="30" s="1"/>
  <c r="V10" i="12"/>
  <c r="C61" i="30"/>
  <c r="E61" i="30" s="1"/>
  <c r="G61" i="30" s="1"/>
  <c r="H35" i="12"/>
  <c r="G13" i="26" s="1"/>
  <c r="I35" i="12"/>
  <c r="M150" i="30"/>
  <c r="H10" i="20"/>
  <c r="M148" i="30"/>
  <c r="F10" i="20"/>
  <c r="C115" i="30"/>
  <c r="E115" i="30" s="1"/>
  <c r="G115" i="30" s="1"/>
  <c r="H38" i="12"/>
  <c r="G16" i="26" s="1"/>
  <c r="I38" i="12"/>
  <c r="H22" i="12"/>
  <c r="Q205" i="18"/>
  <c r="S205" i="18" s="1"/>
  <c r="T205" i="18" s="1"/>
  <c r="U205" i="18" s="1"/>
  <c r="V205" i="18" s="1"/>
  <c r="U166" i="18"/>
  <c r="V166" i="18" s="1"/>
  <c r="U216" i="18"/>
  <c r="V216" i="18" s="1"/>
  <c r="R172" i="18"/>
  <c r="Q172" i="18"/>
  <c r="S172" i="18" s="1"/>
  <c r="T172" i="18" s="1"/>
  <c r="U172" i="18" s="1"/>
  <c r="V172" i="18" s="1"/>
  <c r="U13" i="12"/>
  <c r="U193" i="18"/>
  <c r="V193" i="18" s="1"/>
  <c r="T8" i="12"/>
  <c r="Q187" i="18"/>
  <c r="S187" i="18" s="1"/>
  <c r="T187" i="18" s="1"/>
  <c r="U187" i="18" s="1"/>
  <c r="V187" i="18" s="1"/>
  <c r="U200" i="18"/>
  <c r="V200" i="18" s="1"/>
  <c r="Q182" i="18"/>
  <c r="S182" i="18" s="1"/>
  <c r="T182" i="18" s="1"/>
  <c r="U182" i="18" s="1"/>
  <c r="V182" i="18" s="1"/>
  <c r="Q192" i="18"/>
  <c r="S192" i="18" s="1"/>
  <c r="T192" i="18" s="1"/>
  <c r="U192" i="18" s="1"/>
  <c r="V192" i="18" s="1"/>
  <c r="R141" i="18"/>
  <c r="Q141" i="18"/>
  <c r="S141" i="18" s="1"/>
  <c r="T141" i="18" s="1"/>
  <c r="Q133" i="18"/>
  <c r="S133" i="18" s="1"/>
  <c r="T133" i="18" s="1"/>
  <c r="M193" i="30"/>
  <c r="L13" i="20"/>
  <c r="M164" i="30"/>
  <c r="I11" i="20"/>
  <c r="C15" i="16"/>
  <c r="T15" i="6"/>
  <c r="U12" i="24" s="1"/>
  <c r="U15" i="6"/>
  <c r="V12" i="24" s="1"/>
  <c r="T10" i="12"/>
  <c r="M200" i="30"/>
  <c r="F14" i="20"/>
  <c r="M204" i="30"/>
  <c r="J14" i="20"/>
  <c r="U141" i="18"/>
  <c r="V141" i="18" s="1"/>
  <c r="Q126" i="18"/>
  <c r="S126" i="18" s="1"/>
  <c r="T126" i="18" s="1"/>
  <c r="U126" i="18" s="1"/>
  <c r="V126" i="18" s="1"/>
  <c r="R185" i="18"/>
  <c r="Q185" i="18"/>
  <c r="S185" i="18" s="1"/>
  <c r="T185" i="18" s="1"/>
  <c r="U185" i="18" s="1"/>
  <c r="V185" i="18" s="1"/>
  <c r="Q198" i="18"/>
  <c r="S198" i="18" s="1"/>
  <c r="T198" i="18" s="1"/>
  <c r="U198" i="18" s="1"/>
  <c r="V198" i="18" s="1"/>
  <c r="U194" i="18"/>
  <c r="V194" i="18" s="1"/>
  <c r="U140" i="18"/>
  <c r="V140" i="18" s="1"/>
  <c r="U15" i="12"/>
  <c r="Q206" i="18"/>
  <c r="S206" i="18" s="1"/>
  <c r="T206" i="18" s="1"/>
  <c r="U206" i="18" s="1"/>
  <c r="V206" i="18" s="1"/>
  <c r="Q203" i="18"/>
  <c r="S203" i="18" s="1"/>
  <c r="T203" i="18" s="1"/>
  <c r="U203" i="18" s="1"/>
  <c r="V203" i="18" s="1"/>
  <c r="R203" i="18"/>
  <c r="Q208" i="18"/>
  <c r="S208" i="18" s="1"/>
  <c r="T208" i="18" s="1"/>
  <c r="U208" i="18" s="1"/>
  <c r="V208" i="18" s="1"/>
  <c r="Q163" i="18"/>
  <c r="S163" i="18" s="1"/>
  <c r="T163" i="18" s="1"/>
  <c r="U163" i="18" s="1"/>
  <c r="V163" i="18" s="1"/>
  <c r="Q188" i="18"/>
  <c r="S188" i="18" s="1"/>
  <c r="T188" i="18" s="1"/>
  <c r="U188" i="18" s="1"/>
  <c r="V188" i="18" s="1"/>
  <c r="U197" i="18"/>
  <c r="V197" i="18" s="1"/>
  <c r="Q210" i="18"/>
  <c r="S210" i="18" s="1"/>
  <c r="T210" i="18" s="1"/>
  <c r="U210" i="18" s="1"/>
  <c r="V210" i="18" s="1"/>
  <c r="Q180" i="18"/>
  <c r="S180" i="18" s="1"/>
  <c r="T180" i="18" s="1"/>
  <c r="U180" i="18" s="1"/>
  <c r="V180" i="18" s="1"/>
  <c r="U11" i="12"/>
  <c r="U130" i="18"/>
  <c r="V130" i="18" s="1"/>
  <c r="Q217" i="18"/>
  <c r="S217" i="18" s="1"/>
  <c r="T217" i="18" s="1"/>
  <c r="U217" i="18" s="1"/>
  <c r="V217" i="18" s="1"/>
  <c r="Q148" i="18"/>
  <c r="S148" i="18" s="1"/>
  <c r="T148" i="18" s="1"/>
  <c r="U148" i="18" s="1"/>
  <c r="V148" i="18" s="1"/>
  <c r="Q142" i="18"/>
  <c r="S142" i="18" s="1"/>
  <c r="T142" i="18" s="1"/>
  <c r="U147" i="18"/>
  <c r="V147" i="18" s="1"/>
  <c r="Q167" i="18"/>
  <c r="S167" i="18" s="1"/>
  <c r="T167" i="18" s="1"/>
  <c r="U167" i="18" s="1"/>
  <c r="V167" i="18" s="1"/>
  <c r="U138" i="18"/>
  <c r="V138" i="18" s="1"/>
  <c r="F40" i="8"/>
  <c r="H40" i="8" s="1"/>
  <c r="I11" i="22" s="1"/>
  <c r="L30" i="8"/>
  <c r="M181" i="30"/>
  <c r="M12" i="20"/>
  <c r="M189" i="30"/>
  <c r="H13" i="20"/>
  <c r="C35" i="30"/>
  <c r="E35" i="30" s="1"/>
  <c r="G35" i="30" s="1"/>
  <c r="E39" i="8"/>
  <c r="E10" i="22" s="1"/>
  <c r="C62" i="30"/>
  <c r="E62" i="30" s="1"/>
  <c r="G62" i="30" s="1"/>
  <c r="V12" i="12"/>
  <c r="M187" i="30"/>
  <c r="F13" i="20"/>
  <c r="M191" i="30"/>
  <c r="J13" i="20"/>
  <c r="R178" i="18"/>
  <c r="Q178" i="18"/>
  <c r="S178" i="18" s="1"/>
  <c r="T178" i="18" s="1"/>
  <c r="U178" i="18" s="1"/>
  <c r="V178" i="18" s="1"/>
  <c r="Q184" i="18"/>
  <c r="S184" i="18" s="1"/>
  <c r="T184" i="18" s="1"/>
  <c r="U184" i="18" s="1"/>
  <c r="V184" i="18" s="1"/>
  <c r="Q196" i="18"/>
  <c r="S196" i="18" s="1"/>
  <c r="T196" i="18" s="1"/>
  <c r="U196" i="18" s="1"/>
  <c r="V196" i="18" s="1"/>
  <c r="R196" i="18"/>
  <c r="Q168" i="18"/>
  <c r="S168" i="18" s="1"/>
  <c r="T168" i="18" s="1"/>
  <c r="U168" i="18" s="1"/>
  <c r="V168" i="18" s="1"/>
  <c r="U157" i="18"/>
  <c r="V157" i="18" s="1"/>
  <c r="Q171" i="18"/>
  <c r="S171" i="18" s="1"/>
  <c r="T171" i="18" s="1"/>
  <c r="U171" i="18" s="1"/>
  <c r="V171" i="18" s="1"/>
  <c r="U212" i="18"/>
  <c r="V212" i="18" s="1"/>
  <c r="Q173" i="18"/>
  <c r="S173" i="18" s="1"/>
  <c r="T173" i="18" s="1"/>
  <c r="U173" i="18" s="1"/>
  <c r="V173" i="18" s="1"/>
  <c r="Q189" i="18"/>
  <c r="S189" i="18" s="1"/>
  <c r="T189" i="18" s="1"/>
  <c r="U189" i="18" s="1"/>
  <c r="V189" i="18" s="1"/>
  <c r="U186" i="18"/>
  <c r="V186" i="18" s="1"/>
  <c r="U211" i="18"/>
  <c r="V211" i="18" s="1"/>
  <c r="Q152" i="18"/>
  <c r="S152" i="18" s="1"/>
  <c r="T152" i="18" s="1"/>
  <c r="U152" i="18" s="1"/>
  <c r="V152" i="18" s="1"/>
  <c r="Q201" i="18"/>
  <c r="S201" i="18" s="1"/>
  <c r="T201" i="18" s="1"/>
  <c r="U201" i="18" s="1"/>
  <c r="V201" i="18" s="1"/>
  <c r="U142" i="18"/>
  <c r="V142" i="18" s="1"/>
  <c r="Q122" i="18"/>
  <c r="S122" i="18" s="1"/>
  <c r="T122" i="18" s="1"/>
  <c r="U122" i="18" s="1"/>
  <c r="V122" i="18" s="1"/>
  <c r="U154" i="18"/>
  <c r="V154" i="18" s="1"/>
  <c r="R137" i="18"/>
  <c r="Q137" i="18"/>
  <c r="S137" i="18" s="1"/>
  <c r="T137" i="18" s="1"/>
  <c r="U137" i="18" s="1"/>
  <c r="V137" i="18" s="1"/>
  <c r="Q165" i="18"/>
  <c r="S165" i="18" s="1"/>
  <c r="T165" i="18" s="1"/>
  <c r="U165" i="18" s="1"/>
  <c r="V165" i="18" s="1"/>
  <c r="U149" i="18"/>
  <c r="V149" i="18" s="1"/>
  <c r="M31" i="8"/>
  <c r="C42" i="30" s="1"/>
  <c r="E42" i="30" s="1"/>
  <c r="G42" i="30" s="1"/>
  <c r="L31" i="8"/>
  <c r="M151" i="30"/>
  <c r="I10" i="20"/>
  <c r="M23" i="8"/>
  <c r="C26" i="30" s="1"/>
  <c r="E26" i="30" s="1"/>
  <c r="G26" i="30" s="1"/>
  <c r="L23" i="8"/>
  <c r="M203" i="30"/>
  <c r="I14" i="20"/>
  <c r="C24" i="30"/>
  <c r="E24" i="30" s="1"/>
  <c r="G24" i="30" s="1"/>
  <c r="F19" i="8"/>
  <c r="M205" i="30"/>
  <c r="K14" i="20"/>
  <c r="M174" i="30"/>
  <c r="F12" i="20"/>
  <c r="M178" i="30"/>
  <c r="J12" i="20"/>
  <c r="U133" i="18"/>
  <c r="V133" i="18" s="1"/>
  <c r="U176" i="18"/>
  <c r="V176" i="18" s="1"/>
  <c r="U127" i="18"/>
  <c r="V127" i="18" s="1"/>
  <c r="U179" i="18"/>
  <c r="V179" i="18" s="1"/>
  <c r="U191" i="18"/>
  <c r="V191" i="18" s="1"/>
  <c r="Q186" i="18"/>
  <c r="S186" i="18" s="1"/>
  <c r="T186" i="18" s="1"/>
  <c r="Q207" i="18"/>
  <c r="S207" i="18" s="1"/>
  <c r="T207" i="18" s="1"/>
  <c r="U207" i="18" s="1"/>
  <c r="V207" i="18" s="1"/>
  <c r="Q156" i="18"/>
  <c r="S156" i="18" s="1"/>
  <c r="T156" i="18" s="1"/>
  <c r="U156" i="18" s="1"/>
  <c r="V156" i="18" s="1"/>
  <c r="U131" i="18"/>
  <c r="V131" i="18" s="1"/>
  <c r="Q174" i="18"/>
  <c r="S174" i="18" s="1"/>
  <c r="T174" i="18" s="1"/>
  <c r="U174" i="18" s="1"/>
  <c r="V174" i="18" s="1"/>
  <c r="U181" i="18"/>
  <c r="V181" i="18" s="1"/>
  <c r="Q123" i="18"/>
  <c r="S123" i="18" s="1"/>
  <c r="T123" i="18" s="1"/>
  <c r="U123" i="18" s="1"/>
  <c r="V123" i="18" s="1"/>
  <c r="U153" i="18"/>
  <c r="V153" i="18" s="1"/>
  <c r="U145" i="18"/>
  <c r="V145" i="18" s="1"/>
  <c r="Q170" i="18"/>
  <c r="S170" i="18" s="1"/>
  <c r="T170" i="18" s="1"/>
  <c r="U170" i="18" s="1"/>
  <c r="V170" i="18" s="1"/>
  <c r="U125" i="18"/>
  <c r="V125" i="18" s="1"/>
  <c r="U155" i="18"/>
  <c r="V155" i="18" s="1"/>
  <c r="R208" i="18" l="1"/>
  <c r="R144" i="18"/>
  <c r="R169" i="18"/>
  <c r="R168" i="18"/>
  <c r="R210" i="18"/>
  <c r="R198" i="18"/>
  <c r="R183" i="18"/>
  <c r="R135" i="18"/>
  <c r="R190" i="18"/>
  <c r="R177" i="18"/>
  <c r="R147" i="18"/>
  <c r="R174" i="18"/>
  <c r="R189" i="18"/>
  <c r="R142" i="18"/>
  <c r="R182" i="18"/>
  <c r="R120" i="18"/>
  <c r="R194" i="18"/>
  <c r="R173" i="18"/>
  <c r="R188" i="18"/>
  <c r="R206" i="18"/>
  <c r="R166" i="18"/>
  <c r="R119" i="18"/>
  <c r="R214" i="18"/>
  <c r="R199" i="18"/>
  <c r="R133" i="18"/>
  <c r="R155" i="18"/>
  <c r="R179" i="18"/>
  <c r="R200" i="18"/>
  <c r="R152" i="18"/>
  <c r="R163" i="18"/>
  <c r="R161" i="18"/>
  <c r="V118" i="18"/>
  <c r="F7" i="18"/>
  <c r="R129" i="18"/>
  <c r="R191" i="18"/>
  <c r="R167" i="18"/>
  <c r="R217" i="18"/>
  <c r="L24" i="8"/>
  <c r="R164" i="18"/>
  <c r="R145" i="18"/>
  <c r="U14" i="6"/>
  <c r="V11" i="24" s="1"/>
  <c r="R160" i="18"/>
  <c r="R175" i="18"/>
  <c r="R202" i="18"/>
  <c r="R140" i="18"/>
  <c r="C111" i="30"/>
  <c r="E111" i="30" s="1"/>
  <c r="G111" i="30" s="1"/>
  <c r="H37" i="12"/>
  <c r="G15" i="26" s="1"/>
  <c r="I37" i="12"/>
  <c r="H21" i="12"/>
  <c r="R121" i="18"/>
  <c r="R156" i="18"/>
  <c r="R165" i="18"/>
  <c r="C41" i="30"/>
  <c r="E41" i="30" s="1"/>
  <c r="G41" i="30" s="1"/>
  <c r="E40" i="8"/>
  <c r="E11" i="22" s="1"/>
  <c r="S15" i="16"/>
  <c r="AO12" i="24" s="1"/>
  <c r="P15" i="16"/>
  <c r="AJ12" i="24" s="1"/>
  <c r="D15" i="16"/>
  <c r="C52" i="30"/>
  <c r="E52" i="30" s="1"/>
  <c r="G52" i="30" s="1"/>
  <c r="H26" i="12"/>
  <c r="G26" i="12"/>
  <c r="F18" i="14"/>
  <c r="R204" i="18"/>
  <c r="R124" i="18"/>
  <c r="R128" i="18"/>
  <c r="R212" i="18"/>
  <c r="R197" i="18"/>
  <c r="C43" i="30"/>
  <c r="E43" i="30" s="1"/>
  <c r="G43" i="30" s="1"/>
  <c r="C41" i="8"/>
  <c r="C12" i="22" s="1"/>
  <c r="L33" i="8"/>
  <c r="C47" i="30"/>
  <c r="E47" i="30" s="1"/>
  <c r="G47" i="30" s="1"/>
  <c r="E41" i="8"/>
  <c r="E12" i="22" s="1"/>
  <c r="C145" i="30"/>
  <c r="G145" i="30" s="1"/>
  <c r="R170" i="18"/>
  <c r="R122" i="18"/>
  <c r="H14" i="26"/>
  <c r="L36" i="12"/>
  <c r="K14" i="26" s="1"/>
  <c r="K36" i="12"/>
  <c r="J14" i="26" s="1"/>
  <c r="J36" i="12"/>
  <c r="I14" i="26" s="1"/>
  <c r="P14" i="16"/>
  <c r="AJ11" i="24" s="1"/>
  <c r="D14" i="16"/>
  <c r="S14" i="16"/>
  <c r="AO11" i="24" s="1"/>
  <c r="C58" i="30"/>
  <c r="E58" i="30" s="1"/>
  <c r="G58" i="30" s="1"/>
  <c r="V11" i="12"/>
  <c r="H10" i="26"/>
  <c r="L32" i="12"/>
  <c r="K10" i="26" s="1"/>
  <c r="K32" i="12"/>
  <c r="J10" i="26" s="1"/>
  <c r="J32" i="12"/>
  <c r="I10" i="26" s="1"/>
  <c r="C25" i="30"/>
  <c r="E25" i="30" s="1"/>
  <c r="G25" i="30" s="1"/>
  <c r="C38" i="8"/>
  <c r="C9" i="22" s="1"/>
  <c r="R186" i="18"/>
  <c r="R171" i="18"/>
  <c r="U16" i="6"/>
  <c r="V13" i="24" s="1"/>
  <c r="R151" i="18"/>
  <c r="R132" i="18"/>
  <c r="R118" i="18"/>
  <c r="C29" i="30"/>
  <c r="E29" i="30" s="1"/>
  <c r="G29" i="30" s="1"/>
  <c r="E38" i="8"/>
  <c r="E9" i="22" s="1"/>
  <c r="R146" i="18"/>
  <c r="R162" i="18"/>
  <c r="R195" i="18"/>
  <c r="R181" i="18"/>
  <c r="U13" i="6"/>
  <c r="V10" i="24" s="1"/>
  <c r="C87" i="30"/>
  <c r="E87" i="30" s="1"/>
  <c r="G87" i="30" s="1"/>
  <c r="Q9" i="14"/>
  <c r="R9" i="14" s="1"/>
  <c r="F16" i="14"/>
  <c r="G19" i="12"/>
  <c r="R153" i="18"/>
  <c r="R158" i="18"/>
  <c r="R131" i="18"/>
  <c r="H12" i="26"/>
  <c r="L34" i="12"/>
  <c r="K12" i="26" s="1"/>
  <c r="K34" i="12"/>
  <c r="J12" i="26" s="1"/>
  <c r="J34" i="12"/>
  <c r="I12" i="26" s="1"/>
  <c r="D13" i="16"/>
  <c r="P13" i="16"/>
  <c r="AJ10" i="24" s="1"/>
  <c r="S13" i="16"/>
  <c r="AO10" i="24" s="1"/>
  <c r="C93" i="30"/>
  <c r="E93" i="30" s="1"/>
  <c r="G93" i="30" s="1"/>
  <c r="V9" i="12"/>
  <c r="R184" i="18"/>
  <c r="R180" i="18"/>
  <c r="R192" i="18"/>
  <c r="R205" i="18"/>
  <c r="D16" i="16"/>
  <c r="S16" i="16"/>
  <c r="AO13" i="24" s="1"/>
  <c r="P16" i="16"/>
  <c r="AJ13" i="24" s="1"/>
  <c r="R139" i="18"/>
  <c r="R157" i="18"/>
  <c r="R176" i="18"/>
  <c r="C116" i="30"/>
  <c r="E116" i="30" s="1"/>
  <c r="G116" i="30" s="1"/>
  <c r="V15" i="12"/>
  <c r="C60" i="30"/>
  <c r="E60" i="30" s="1"/>
  <c r="G60" i="30" s="1"/>
  <c r="I26" i="12"/>
  <c r="J26" i="12"/>
  <c r="F20" i="14"/>
  <c r="R123" i="18"/>
  <c r="R207" i="18"/>
  <c r="R201" i="18"/>
  <c r="R148" i="18"/>
  <c r="R126" i="18"/>
  <c r="C53" i="30"/>
  <c r="E53" i="30" s="1"/>
  <c r="G53" i="30" s="1"/>
  <c r="H33" i="12"/>
  <c r="G11" i="26" s="1"/>
  <c r="I33" i="12"/>
  <c r="R187" i="18"/>
  <c r="H13" i="26"/>
  <c r="L35" i="12"/>
  <c r="K13" i="26" s="1"/>
  <c r="K35" i="12"/>
  <c r="J13" i="26" s="1"/>
  <c r="J35" i="12"/>
  <c r="I13" i="26" s="1"/>
  <c r="R159" i="18"/>
  <c r="C37" i="30"/>
  <c r="E37" i="30" s="1"/>
  <c r="G37" i="30" s="1"/>
  <c r="C40" i="8"/>
  <c r="C11" i="22" s="1"/>
  <c r="R215" i="18"/>
  <c r="C66" i="30"/>
  <c r="E66" i="30" s="1"/>
  <c r="G66" i="30" s="1"/>
  <c r="V13" i="12"/>
  <c r="R211" i="18"/>
  <c r="R125" i="18"/>
  <c r="R136" i="18"/>
  <c r="C39" i="30"/>
  <c r="E39" i="30" s="1"/>
  <c r="G39" i="30" s="1"/>
  <c r="D40" i="8"/>
  <c r="D11" i="22" s="1"/>
  <c r="C88" i="30"/>
  <c r="E88" i="30" s="1"/>
  <c r="G88" i="30" s="1"/>
  <c r="H31" i="12"/>
  <c r="G9" i="26" s="1"/>
  <c r="H19" i="12"/>
  <c r="I31" i="12"/>
  <c r="H16" i="26"/>
  <c r="L38" i="12"/>
  <c r="K38" i="12"/>
  <c r="J16" i="26" s="1"/>
  <c r="J38" i="12"/>
  <c r="I16" i="26" s="1"/>
  <c r="C33" i="30"/>
  <c r="E33" i="30" s="1"/>
  <c r="G33" i="30" s="1"/>
  <c r="D39" i="8"/>
  <c r="D10" i="22" s="1"/>
  <c r="C31" i="30"/>
  <c r="E31" i="30" s="1"/>
  <c r="G31" i="30" s="1"/>
  <c r="C39" i="8"/>
  <c r="C10" i="22" s="1"/>
  <c r="C110" i="30"/>
  <c r="E110" i="30" s="1"/>
  <c r="G110" i="30" s="1"/>
  <c r="Q10" i="14"/>
  <c r="R10" i="14" s="1"/>
  <c r="F22" i="14"/>
  <c r="G21" i="12"/>
  <c r="C64" i="30" l="1"/>
  <c r="E64" i="30" s="1"/>
  <c r="G64" i="30" s="1"/>
  <c r="F21" i="14"/>
  <c r="J27" i="12"/>
  <c r="I27" i="12"/>
  <c r="J21" i="12"/>
  <c r="I21" i="12"/>
  <c r="D16" i="28"/>
  <c r="F16" i="28"/>
  <c r="C79" i="30"/>
  <c r="E79" i="30" s="1"/>
  <c r="G79" i="30" s="1"/>
  <c r="C45" i="30"/>
  <c r="E45" i="30" s="1"/>
  <c r="G45" i="30" s="1"/>
  <c r="D41" i="8"/>
  <c r="D12" i="22" s="1"/>
  <c r="C27" i="30"/>
  <c r="E27" i="30" s="1"/>
  <c r="G27" i="30" s="1"/>
  <c r="D38" i="8"/>
  <c r="D9" i="22" s="1"/>
  <c r="C91" i="30"/>
  <c r="E91" i="30" s="1"/>
  <c r="G91" i="30" s="1"/>
  <c r="F17" i="14"/>
  <c r="G20" i="12"/>
  <c r="E16" i="28"/>
  <c r="C16" i="28"/>
  <c r="C76" i="30"/>
  <c r="E76" i="30" s="1"/>
  <c r="G76" i="30" s="1"/>
  <c r="D27" i="14"/>
  <c r="C84" i="30"/>
  <c r="E84" i="30" s="1"/>
  <c r="G84" i="30" s="1"/>
  <c r="G55" i="14"/>
  <c r="F29" i="14"/>
  <c r="G57" i="14"/>
  <c r="G16" i="14"/>
  <c r="H16" i="14" s="1"/>
  <c r="G58" i="14"/>
  <c r="E41" i="14"/>
  <c r="F30" i="14"/>
  <c r="E40" i="14"/>
  <c r="G17" i="14"/>
  <c r="E43" i="14"/>
  <c r="E42" i="14"/>
  <c r="G56" i="14"/>
  <c r="S9" i="14"/>
  <c r="F14" i="16"/>
  <c r="G14" i="16" s="1"/>
  <c r="H14" i="16" s="1"/>
  <c r="C107" i="30"/>
  <c r="E107" i="30" s="1"/>
  <c r="G107" i="30" s="1"/>
  <c r="G61" i="14"/>
  <c r="F31" i="14"/>
  <c r="S10" i="14"/>
  <c r="E45" i="14"/>
  <c r="G60" i="14"/>
  <c r="E44" i="14"/>
  <c r="G62" i="14"/>
  <c r="G59" i="14"/>
  <c r="E47" i="14"/>
  <c r="G23" i="14"/>
  <c r="E46" i="14"/>
  <c r="F32" i="14"/>
  <c r="G22" i="14"/>
  <c r="H22" i="14" s="1"/>
  <c r="F16" i="16"/>
  <c r="G16" i="16" s="1"/>
  <c r="H16" i="16" s="1"/>
  <c r="H11" i="26"/>
  <c r="J33" i="12"/>
  <c r="I11" i="26" s="1"/>
  <c r="L33" i="12"/>
  <c r="K11" i="26" s="1"/>
  <c r="K33" i="12"/>
  <c r="J11" i="26" s="1"/>
  <c r="K16" i="26"/>
  <c r="H16" i="28"/>
  <c r="C78" i="30"/>
  <c r="E78" i="30" s="1"/>
  <c r="G78" i="30" s="1"/>
  <c r="C56" i="30"/>
  <c r="E56" i="30" s="1"/>
  <c r="G56" i="30" s="1"/>
  <c r="G27" i="12"/>
  <c r="H27" i="12"/>
  <c r="F19" i="14"/>
  <c r="G16" i="28"/>
  <c r="C77" i="30"/>
  <c r="E77" i="30" s="1"/>
  <c r="G77" i="30" s="1"/>
  <c r="K26" i="12"/>
  <c r="I16" i="28" s="1"/>
  <c r="H9" i="26"/>
  <c r="L31" i="12"/>
  <c r="K9" i="26" s="1"/>
  <c r="K31" i="12"/>
  <c r="J9" i="26" s="1"/>
  <c r="J31" i="12"/>
  <c r="I9" i="26" s="1"/>
  <c r="C114" i="30"/>
  <c r="E114" i="30" s="1"/>
  <c r="G114" i="30" s="1"/>
  <c r="F23" i="14"/>
  <c r="H23" i="14" s="1"/>
  <c r="G22" i="12"/>
  <c r="G13" i="16"/>
  <c r="H13" i="16" s="1"/>
  <c r="F13" i="16"/>
  <c r="J19" i="12"/>
  <c r="I19" i="12"/>
  <c r="Q8" i="14"/>
  <c r="R8" i="14" s="1"/>
  <c r="F15" i="16"/>
  <c r="G15" i="16" s="1"/>
  <c r="H15" i="16" s="1"/>
  <c r="H15" i="26"/>
  <c r="J37" i="12"/>
  <c r="I15" i="26" s="1"/>
  <c r="L37" i="12"/>
  <c r="K15" i="26" s="1"/>
  <c r="K37" i="12"/>
  <c r="J15" i="26" s="1"/>
  <c r="C130" i="30"/>
  <c r="E130" i="30" s="1"/>
  <c r="G130" i="30" s="1"/>
  <c r="F8" i="18"/>
  <c r="C131" i="30" s="1"/>
  <c r="E131" i="30" s="1"/>
  <c r="G131" i="30" s="1"/>
  <c r="F12" i="18"/>
  <c r="G162" i="30" s="1"/>
  <c r="F10" i="18"/>
  <c r="C90" i="30" l="1"/>
  <c r="E90" i="30" s="1"/>
  <c r="G90" i="30" s="1"/>
  <c r="I16" i="14"/>
  <c r="C113" i="30"/>
  <c r="E113" i="30" s="1"/>
  <c r="G113" i="30" s="1"/>
  <c r="I22" i="14"/>
  <c r="AT10" i="24"/>
  <c r="I13" i="16"/>
  <c r="AP10" i="24" s="1"/>
  <c r="D32" i="28"/>
  <c r="H62" i="14"/>
  <c r="H60" i="14"/>
  <c r="D30" i="28"/>
  <c r="D28" i="28"/>
  <c r="H58" i="14"/>
  <c r="D11" i="28"/>
  <c r="C127" i="30"/>
  <c r="E127" i="30" s="1"/>
  <c r="G127" i="30" s="1"/>
  <c r="L21" i="12"/>
  <c r="F11" i="28" s="1"/>
  <c r="AT13" i="24"/>
  <c r="I16" i="16"/>
  <c r="AP13" i="24" s="1"/>
  <c r="C126" i="30"/>
  <c r="E126" i="30" s="1"/>
  <c r="G126" i="30" s="1"/>
  <c r="C11" i="28"/>
  <c r="D31" i="14"/>
  <c r="G31" i="14" s="1"/>
  <c r="K21" i="12"/>
  <c r="E11" i="28" s="1"/>
  <c r="C117" i="30"/>
  <c r="E117" i="30" s="1"/>
  <c r="G117" i="30" s="1"/>
  <c r="I23" i="14"/>
  <c r="D26" i="28"/>
  <c r="H56" i="14"/>
  <c r="D27" i="28"/>
  <c r="H57" i="14"/>
  <c r="J20" i="12"/>
  <c r="I20" i="12"/>
  <c r="C82" i="30"/>
  <c r="E82" i="30" s="1"/>
  <c r="G82" i="30" s="1"/>
  <c r="H17" i="28"/>
  <c r="C49" i="30"/>
  <c r="E49" i="30" s="1"/>
  <c r="G49" i="30" s="1"/>
  <c r="G53" i="14"/>
  <c r="G20" i="14"/>
  <c r="H20" i="14" s="1"/>
  <c r="G18" i="14"/>
  <c r="H18" i="14" s="1"/>
  <c r="S8" i="14"/>
  <c r="F27" i="14"/>
  <c r="G27" i="14" s="1"/>
  <c r="E37" i="14"/>
  <c r="G19" i="14"/>
  <c r="H19" i="14" s="1"/>
  <c r="G52" i="14"/>
  <c r="E36" i="14"/>
  <c r="F28" i="14"/>
  <c r="G21" i="14"/>
  <c r="H21" i="14" s="1"/>
  <c r="E39" i="14"/>
  <c r="G54" i="14"/>
  <c r="G51" i="14"/>
  <c r="E38" i="14"/>
  <c r="C81" i="30"/>
  <c r="E81" i="30" s="1"/>
  <c r="G81" i="30" s="1"/>
  <c r="G17" i="28"/>
  <c r="K27" i="12"/>
  <c r="I17" i="28" s="1"/>
  <c r="H17" i="14"/>
  <c r="F17" i="28"/>
  <c r="D17" i="28"/>
  <c r="C83" i="30"/>
  <c r="E83" i="30" s="1"/>
  <c r="G83" i="30" s="1"/>
  <c r="AT11" i="24"/>
  <c r="I14" i="16"/>
  <c r="AP11" i="24" s="1"/>
  <c r="C103" i="30"/>
  <c r="E103" i="30" s="1"/>
  <c r="G103" i="30" s="1"/>
  <c r="C9" i="28"/>
  <c r="D29" i="14"/>
  <c r="G29" i="14" s="1"/>
  <c r="K19" i="12"/>
  <c r="C80" i="30"/>
  <c r="E80" i="30" s="1"/>
  <c r="G80" i="30" s="1"/>
  <c r="E17" i="28"/>
  <c r="C17" i="28"/>
  <c r="D28" i="14"/>
  <c r="D31" i="28"/>
  <c r="H61" i="14"/>
  <c r="D25" i="28"/>
  <c r="H55" i="14"/>
  <c r="AT12" i="24"/>
  <c r="I15" i="16"/>
  <c r="AP12" i="24" s="1"/>
  <c r="I22" i="12"/>
  <c r="J22" i="12"/>
  <c r="C104" i="30"/>
  <c r="E104" i="30" s="1"/>
  <c r="G104" i="30" s="1"/>
  <c r="D9" i="28"/>
  <c r="L19" i="12"/>
  <c r="F9" i="28" s="1"/>
  <c r="D29" i="28"/>
  <c r="H59" i="14"/>
  <c r="G28" i="14" l="1"/>
  <c r="C67" i="30"/>
  <c r="E67" i="30" s="1"/>
  <c r="G67" i="30" s="1"/>
  <c r="I21" i="14"/>
  <c r="C59" i="30"/>
  <c r="E59" i="30" s="1"/>
  <c r="G59" i="30" s="1"/>
  <c r="I19" i="14"/>
  <c r="E29" i="28"/>
  <c r="J59" i="14"/>
  <c r="D21" i="28"/>
  <c r="H51" i="14"/>
  <c r="D24" i="28"/>
  <c r="H54" i="14"/>
  <c r="C10" i="28"/>
  <c r="C105" i="30"/>
  <c r="E105" i="30" s="1"/>
  <c r="G105" i="30" s="1"/>
  <c r="D30" i="14"/>
  <c r="G30" i="14" s="1"/>
  <c r="K20" i="12"/>
  <c r="E10" i="28" s="1"/>
  <c r="E32" i="28"/>
  <c r="J62" i="14"/>
  <c r="D23" i="28"/>
  <c r="H53" i="14"/>
  <c r="E25" i="28"/>
  <c r="J55" i="14"/>
  <c r="C55" i="30"/>
  <c r="E55" i="30" s="1"/>
  <c r="G55" i="30" s="1"/>
  <c r="I18" i="14"/>
  <c r="E28" i="28"/>
  <c r="J58" i="14"/>
  <c r="C128" i="30"/>
  <c r="E128" i="30" s="1"/>
  <c r="G128" i="30" s="1"/>
  <c r="C12" i="28"/>
  <c r="D32" i="14"/>
  <c r="G32" i="14" s="1"/>
  <c r="K22" i="12"/>
  <c r="E12" i="28" s="1"/>
  <c r="D22" i="28"/>
  <c r="H52" i="14"/>
  <c r="E9" i="28"/>
  <c r="C106" i="30"/>
  <c r="E106" i="30" s="1"/>
  <c r="G106" i="30" s="1"/>
  <c r="D10" i="28"/>
  <c r="L20" i="12"/>
  <c r="F10" i="28" s="1"/>
  <c r="C94" i="30"/>
  <c r="E94" i="30" s="1"/>
  <c r="G94" i="30" s="1"/>
  <c r="I17" i="14"/>
  <c r="E27" i="28"/>
  <c r="J57" i="14"/>
  <c r="E31" i="28"/>
  <c r="J61" i="14"/>
  <c r="C63" i="30"/>
  <c r="E63" i="30" s="1"/>
  <c r="G63" i="30" s="1"/>
  <c r="I20" i="14"/>
  <c r="E26" i="28"/>
  <c r="J56" i="14"/>
  <c r="E30" i="28"/>
  <c r="J60" i="14"/>
  <c r="C129" i="30"/>
  <c r="E129" i="30" s="1"/>
  <c r="G129" i="30" s="1"/>
  <c r="D12" i="28"/>
  <c r="L22" i="12"/>
  <c r="F12" i="28" s="1"/>
  <c r="F28" i="28" l="1"/>
  <c r="C102" i="30"/>
  <c r="E102" i="30" s="1"/>
  <c r="G102" i="30" s="1"/>
  <c r="K58" i="14"/>
  <c r="C125" i="30"/>
  <c r="E125" i="30" s="1"/>
  <c r="G125" i="30" s="1"/>
  <c r="F32" i="28"/>
  <c r="K62" i="14"/>
  <c r="E21" i="28"/>
  <c r="J51" i="14"/>
  <c r="E22" i="28"/>
  <c r="J52" i="14"/>
  <c r="C119" i="30"/>
  <c r="E119" i="30" s="1"/>
  <c r="G119" i="30" s="1"/>
  <c r="F29" i="28"/>
  <c r="K59" i="14"/>
  <c r="C121" i="30"/>
  <c r="E121" i="30" s="1"/>
  <c r="G121" i="30" s="1"/>
  <c r="F30" i="28"/>
  <c r="K60" i="14"/>
  <c r="F27" i="28"/>
  <c r="C100" i="30"/>
  <c r="E100" i="30" s="1"/>
  <c r="G100" i="30" s="1"/>
  <c r="K57" i="14"/>
  <c r="C98" i="30"/>
  <c r="E98" i="30" s="1"/>
  <c r="G98" i="30" s="1"/>
  <c r="F26" i="28"/>
  <c r="K56" i="14"/>
  <c r="C96" i="30"/>
  <c r="E96" i="30" s="1"/>
  <c r="G96" i="30" s="1"/>
  <c r="F25" i="28"/>
  <c r="K55" i="14"/>
  <c r="E23" i="28"/>
  <c r="J53" i="14"/>
  <c r="E24" i="28"/>
  <c r="J54" i="14"/>
  <c r="C123" i="30"/>
  <c r="E123" i="30" s="1"/>
  <c r="G123" i="30" s="1"/>
  <c r="F31" i="28"/>
  <c r="K61" i="14"/>
  <c r="F21" i="28" l="1"/>
  <c r="C69" i="30"/>
  <c r="E69" i="30" s="1"/>
  <c r="G69" i="30" s="1"/>
  <c r="K51" i="14"/>
  <c r="G161" i="30"/>
  <c r="C75" i="30"/>
  <c r="E75" i="30" s="1"/>
  <c r="G75" i="30" s="1"/>
  <c r="F24" i="28"/>
  <c r="K54" i="14"/>
  <c r="C73" i="30"/>
  <c r="E73" i="30" s="1"/>
  <c r="G73" i="30" s="1"/>
  <c r="F23" i="28"/>
  <c r="K53" i="14"/>
  <c r="C71" i="30"/>
  <c r="E71" i="30" s="1"/>
  <c r="G71" i="30" s="1"/>
  <c r="F22" i="28"/>
  <c r="K52" i="14"/>
  <c r="C164" i="30" l="1"/>
  <c r="G164" i="30"/>
  <c r="C8" i="1" l="1"/>
</calcChain>
</file>

<file path=xl/sharedStrings.xml><?xml version="1.0" encoding="utf-8"?>
<sst xmlns="http://schemas.openxmlformats.org/spreadsheetml/2006/main" count="2322" uniqueCount="1585">
  <si>
    <t>B4 Pedestrian Bridge - Geometry and CAD Tables</t>
  </si>
  <si>
    <t>Geometry authority</t>
  </si>
  <si>
    <t>Colab geometry notebook Bridge_Geometry_2 Beam_V2.ipynb (CONFIG + BridgeModel). This workbook reproduces its equations in Excel; the CAD model and these CAD tables are built from it, never the reverse.</t>
  </si>
  <si>
    <t>Beam design data</t>
  </si>
  <si>
    <t>Saved results of the two registered Mathcad runs (Span 1, Span 2). Mathcad was not recalculated.</t>
  </si>
  <si>
    <t>Template methods</t>
  </si>
  <si>
    <t>Where the notebook is silent (Table of Beam Variables bar dimensions, Dim L/R, build-up case, beveled plates) the BCC example workbook's formulas are used and flagged on the Method tabs.</t>
  </si>
  <si>
    <t>QC status</t>
  </si>
  <si>
    <t>Rebuild</t>
  </si>
  <si>
    <t>C:\github\D2MPDB\.venv\Scripts\python.exe scripts\build_geometry_cad_tables.py   (rebuilds, recalculates in Excel, verifies)</t>
  </si>
  <si>
    <t>Build fingerprint</t>
  </si>
  <si>
    <t>7c2bc2fb909d765c0208</t>
  </si>
  <si>
    <t>Generator version</t>
  </si>
  <si>
    <t>1.0.0</t>
  </si>
  <si>
    <t>Built</t>
  </si>
  <si>
    <t>2026-10-16 09:32</t>
  </si>
  <si>
    <t>Notebook model ID</t>
  </si>
  <si>
    <t>4d5b58a9ac</t>
  </si>
  <si>
    <t>Sources</t>
  </si>
  <si>
    <t>Geometry notebook</t>
  </si>
  <si>
    <t>Bridge_Geometry_2 Beam_V2.ipynb (lf_text)   SHA-256 f222fe4cd0d695786101295736928be11f07b0b70eba55493a30cfaea4644400</t>
  </si>
  <si>
    <t>Roadway XML</t>
  </si>
  <si>
    <t>Geometry Report.xml   SHA-256 9880ef7adeeac4228666146f5d5bb4dd17ef93f66ffeaf465a2c813eb69489e4</t>
  </si>
  <si>
    <t>Mathcad Span 1</t>
  </si>
  <si>
    <t>project_current/mathcad/PrestressedBeamV6.2_Pedestrian_2Beam_Span1.xmcd   SHA-256 a6b0f967d271c193591d477e219ac66f98b72309d19958a04c6cd08e575a8dcd</t>
  </si>
  <si>
    <t>Mathcad Span 2</t>
  </si>
  <si>
    <t>project_current/mathcad/PrestressedBeamV6.2_Pedestrian_2Beam_Span2.xmcd   SHA-256 182e3471f169d3a379c437ad12f359d567813bd4631bcc0b82e78ad860fa91b8</t>
  </si>
  <si>
    <t>Tabs</t>
  </si>
  <si>
    <t>Inputs</t>
  </si>
  <si>
    <t>All inputs with provenance (notebook CONFIG, Mathcad saved results, designer/template constants).</t>
  </si>
  <si>
    <t>Inputs Method</t>
  </si>
  <si>
    <t>Method for Inputs: equations, explanation and schematics.</t>
  </si>
  <si>
    <t>Profile &amp; Deck</t>
  </si>
  <si>
    <t>PGL grades, deck edges, beam offsets and haunch check points.</t>
  </si>
  <si>
    <t>Profile &amp; Deck Method</t>
  </si>
  <si>
    <t>Method for Profile &amp; Deck: equations, explanation and schematics.</t>
  </si>
  <si>
    <t>Beam Geometry</t>
  </si>
  <si>
    <t>Physical beam ends, bearings, chords; Dims J, K, P, L and shortening R.</t>
  </si>
  <si>
    <t>Beam Geometry Method</t>
  </si>
  <si>
    <t>Method for Beam Geometry: equations, explanation and schematics.</t>
  </si>
  <si>
    <t>Camber &amp; Haunch</t>
  </si>
  <si>
    <t>Common support drop D, build-up Dims B/C/D, minimum haunch, Mathcad deflections.</t>
  </si>
  <si>
    <t>Camber &amp; Haunch Method</t>
  </si>
  <si>
    <t>Method for Camber &amp; Haunch: equations, explanation and schematics.</t>
  </si>
  <si>
    <t>FGE</t>
  </si>
  <si>
    <t>Finished grade elevations at every line and station.</t>
  </si>
  <si>
    <t>FGE Method</t>
  </si>
  <si>
    <t>Method for FGE: equations, explanation and schematics.</t>
  </si>
  <si>
    <t>Bearing Seats</t>
  </si>
  <si>
    <t>Seat planes, slopes, pedestal tops and corners, bearing plate data.</t>
  </si>
  <si>
    <t>Bearing Seats Method</t>
  </si>
  <si>
    <t>Method for Bearing Seats: equations, explanation and schematics.</t>
  </si>
  <si>
    <t>Substructure</t>
  </si>
  <si>
    <t>Cap tops, pedestal heights, cap corners and pile cutoffs.</t>
  </si>
  <si>
    <t>Substructure Method</t>
  </si>
  <si>
    <t>Method for Substructure: equations, explanation and schematics.</t>
  </si>
  <si>
    <t>Beam Data</t>
  </si>
  <si>
    <t>Bars 5K zones from Mathcad and FIB standard bar dimensions.</t>
  </si>
  <si>
    <t>Beam Data Method</t>
  </si>
  <si>
    <t>Method for Beam Data: equations, explanation and schematics.</t>
  </si>
  <si>
    <t>Clearance</t>
  </si>
  <si>
    <t>Exact minimum vertical clearance under the beams.</t>
  </si>
  <si>
    <t>Clearance Method</t>
  </si>
  <si>
    <t>Method for Clearance: equations, explanation and schematics.</t>
  </si>
  <si>
    <t>CAD FGE</t>
  </si>
  <si>
    <t>CAD table: Finish Grade Elevations by span.</t>
  </si>
  <si>
    <t>CAD FGE Method</t>
  </si>
  <si>
    <t>Method for CAD FGE: equations, explanation and schematics.</t>
  </si>
  <si>
    <t>CAD Build-Up</t>
  </si>
  <si>
    <t>CAD table: Build-Up &amp; Deflection Data.</t>
  </si>
  <si>
    <t>CAD Build-Up Method</t>
  </si>
  <si>
    <t>Method for CAD Build-Up: equations, explanation and schematics.</t>
  </si>
  <si>
    <t>CAD Beam Variables</t>
  </si>
  <si>
    <t>CAD table: Florida-I Beam Table of Beam Variables.</t>
  </si>
  <si>
    <t>CAD Beam Variables Method</t>
  </si>
  <si>
    <t>Method for CAD Beam Variables: equations, explanation and schematics.</t>
  </si>
  <si>
    <t>CAD Bearing Plates</t>
  </si>
  <si>
    <t>CAD table: Bearing Plate Data, Type 2.</t>
  </si>
  <si>
    <t>CAD Bearing Plates Method</t>
  </si>
  <si>
    <t>Method for CAD Bearing Plates: equations, explanation and schematics.</t>
  </si>
  <si>
    <t>CAD Pedestal Elevs</t>
  </si>
  <si>
    <t>CAD tables: top of pedestal, cap and pile cutoff elevations.</t>
  </si>
  <si>
    <t>CAD Pedestal Elevs Method</t>
  </si>
  <si>
    <t>Method for CAD Pedestal Elevs: equations, explanation and schematics.</t>
  </si>
  <si>
    <t>QC</t>
  </si>
  <si>
    <t>Every key result compared with the notebook; validity checks.</t>
  </si>
  <si>
    <t>QC Method</t>
  </si>
  <si>
    <t>Method for QC: equations, explanation and schematics.</t>
  </si>
  <si>
    <t>Cell legend</t>
  </si>
  <si>
    <t>Input (generated from notebook / Mathcad)</t>
  </si>
  <si>
    <t>Calculated in this tab</t>
  </si>
  <si>
    <t>Linked from another tab</t>
  </si>
  <si>
    <t>PASS</t>
  </si>
  <si>
    <t>FAIL</t>
  </si>
  <si>
    <t>CHECK / review</t>
  </si>
  <si>
    <t>Open items</t>
  </si>
  <si>
    <t>- End-bent caps and cheek walls (D-026/D-027/D-033) are being added to the notebook in a separate task; rebuild this workbook afterwards.</t>
  </si>
  <si>
    <t>- Deck barrier (D-031, 12 ft clear) is not in the notebook, so no barrier-face FGE line is tabulated.</t>
  </si>
  <si>
    <t>- Job number, calculated/checked by and dates are blank on the Inputs tab.</t>
  </si>
  <si>
    <t>- Strand pattern type, concrete class and pad type are designer assignments (Inputs tab).</t>
  </si>
  <si>
    <t>- Dim L includes R per the BCC template - confirm against the FDOT Table of Beam Variables instructions.</t>
  </si>
  <si>
    <t>- Mathcad .dat inputs are missing from the project record; values are the worksheets' saved results.</t>
  </si>
  <si>
    <t>- The roadway XML ends about 5 ft before End Bent 2, so clearance is reported for the covered region only.</t>
  </si>
  <si>
    <t>Blue values on yellow are inputs. Every geometry input is generated from the Colab geometry notebook CONFIG (the geometry authority); beam-design inputs come from the saved Mathcad runs. Edit the notebook and rebuild rather than editing these cells; QC flags any drift.</t>
  </si>
  <si>
    <t>Title block (fill in)</t>
  </si>
  <si>
    <t>Parameter</t>
  </si>
  <si>
    <t>Symbol</t>
  </si>
  <si>
    <t>Value</t>
  </si>
  <si>
    <t>Unit</t>
  </si>
  <si>
    <t>Workbook name</t>
  </si>
  <si>
    <t>Source / note</t>
  </si>
  <si>
    <t>Project</t>
  </si>
  <si>
    <t>D2 I-95 Pedestrian Bridge</t>
  </si>
  <si>
    <t>TB_Project</t>
  </si>
  <si>
    <t>Project journal name; edit as needed</t>
  </si>
  <si>
    <t>Structure</t>
  </si>
  <si>
    <t>B4 pedestrian bridge - 2 x FIB-36, two simple spans</t>
  </si>
  <si>
    <t>TB_Structure</t>
  </si>
  <si>
    <t>FreeCAD model / Mathcad beam type; edit as needed</t>
  </si>
  <si>
    <t>Job No.</t>
  </si>
  <si>
    <t>TB_JobNo</t>
  </si>
  <si>
    <t>Not in project sources - enter</t>
  </si>
  <si>
    <t>Calculated by</t>
  </si>
  <si>
    <t>TB_CalcBy</t>
  </si>
  <si>
    <t>Enter</t>
  </si>
  <si>
    <t>Date (calculated)</t>
  </si>
  <si>
    <t>TB_CalcDate</t>
  </si>
  <si>
    <t>Checked by</t>
  </si>
  <si>
    <t>TB_CheckBy</t>
  </si>
  <si>
    <t>Date (checked)</t>
  </si>
  <si>
    <t>TB_CheckDate</t>
  </si>
  <si>
    <t>Profile - CONFIG['profile']</t>
  </si>
  <si>
    <t>Profile mode (brokeback or parabolic)</t>
  </si>
  <si>
    <t>mode</t>
  </si>
  <si>
    <t>brokeback</t>
  </si>
  <si>
    <t>Prof_Mode</t>
  </si>
  <si>
    <t>Notebook CONFIG profile.mode</t>
  </si>
  <si>
    <t>Profile start station (FFBW End Bent 1)</t>
  </si>
  <si>
    <t>s0</t>
  </si>
  <si>
    <t>ft</t>
  </si>
  <si>
    <t>Prof_Sta0</t>
  </si>
  <si>
    <t>Notebook CONFIG profile.start_sta_ft</t>
  </si>
  <si>
    <t>Profile end station (FFBW End Bent 2)</t>
  </si>
  <si>
    <t>s1</t>
  </si>
  <si>
    <t>Prof_Sta1</t>
  </si>
  <si>
    <t>Notebook CONFIG profile.end_sta_ft</t>
  </si>
  <si>
    <t>Start elevation</t>
  </si>
  <si>
    <t>z0</t>
  </si>
  <si>
    <t>Prof_Z0</t>
  </si>
  <si>
    <t>Notebook CONFIG profile.start_elev_ft</t>
  </si>
  <si>
    <t>End elevation</t>
  </si>
  <si>
    <t>z1</t>
  </si>
  <si>
    <t>Prof_Z1</t>
  </si>
  <si>
    <t>Notebook CONFIG profile.end_elev_ft</t>
  </si>
  <si>
    <t>Tangent intersection station (PI)</t>
  </si>
  <si>
    <t>sPI</t>
  </si>
  <si>
    <t>Prof_PISta</t>
  </si>
  <si>
    <t>Notebook CONFIG profile.intersection_sta_ft</t>
  </si>
  <si>
    <t>Nominal tangent grade (brokeback)</t>
  </si>
  <si>
    <t>g</t>
  </si>
  <si>
    <t>ft/ft</t>
  </si>
  <si>
    <t>Prof_Gnom</t>
  </si>
  <si>
    <t>Notebook CONFIG profile.nominal_grade</t>
  </si>
  <si>
    <t>Grade change (parabolic mode only)</t>
  </si>
  <si>
    <t>dg</t>
  </si>
  <si>
    <t>Prof_dG</t>
  </si>
  <si>
    <t>Notebook CONFIG profile.parabolic_grade_change</t>
  </si>
  <si>
    <t>Deck - CONFIG['deck']</t>
  </si>
  <si>
    <t>Deck mode (crowned or uniform)</t>
  </si>
  <si>
    <t>crowned</t>
  </si>
  <si>
    <t>Deck_Mode</t>
  </si>
  <si>
    <t>Notebook CONFIG deck.mode. Transition mode is not implemented in this workbook (QC fails).</t>
  </si>
  <si>
    <t>Deck width</t>
  </si>
  <si>
    <t>W</t>
  </si>
  <si>
    <t>Deck_W</t>
  </si>
  <si>
    <t>Notebook CONFIG deck.width_ft (13 ft 7 in from DXF *D5380)</t>
  </si>
  <si>
    <t>Deck center offset from PGL</t>
  </si>
  <si>
    <t>yc</t>
  </si>
  <si>
    <t>Deck_C</t>
  </si>
  <si>
    <t>Notebook CONFIG deck.center_offset_ft</t>
  </si>
  <si>
    <t>Deck thickness</t>
  </si>
  <si>
    <t>td</t>
  </si>
  <si>
    <t>Deck_T</t>
  </si>
  <si>
    <t>Notebook CONFIG deck.thickness_ft</t>
  </si>
  <si>
    <t>Crown slope (each side, away from PGL)</t>
  </si>
  <si>
    <t>sc</t>
  </si>
  <si>
    <t>Deck_Crown</t>
  </si>
  <si>
    <t>Notebook CONFIG deck.crown_slope</t>
  </si>
  <si>
    <t>Uniform cross slope (uniform mode only)</t>
  </si>
  <si>
    <t>su</t>
  </si>
  <si>
    <t>Deck_Uni</t>
  </si>
  <si>
    <t>Notebook CONFIG deck.uniform_slope</t>
  </si>
  <si>
    <t>Beams - CONFIG['beams']</t>
  </si>
  <si>
    <t>Beam type</t>
  </si>
  <si>
    <t>FIB-36</t>
  </si>
  <si>
    <t>Bm_Type</t>
  </si>
  <si>
    <t>Mathcad BeamType (notebook models the FIB-36 outline)</t>
  </si>
  <si>
    <t>Number of beams</t>
  </si>
  <si>
    <t>N</t>
  </si>
  <si>
    <t>Bm_N</t>
  </si>
  <si>
    <t>Notebook CONFIG beams.count (table layout is generated for this count)</t>
  </si>
  <si>
    <t>Beam spacing</t>
  </si>
  <si>
    <t>S</t>
  </si>
  <si>
    <t>Bm_S</t>
  </si>
  <si>
    <t>Notebook CONFIG beams.spacing_ft</t>
  </si>
  <si>
    <t>First beam offset (blank = centered on PGL)</t>
  </si>
  <si>
    <t>y1</t>
  </si>
  <si>
    <t>Bm_First</t>
  </si>
  <si>
    <t>Notebook CONFIG beams.first_offset_ft</t>
  </si>
  <si>
    <t>Beam depth</t>
  </si>
  <si>
    <t>db</t>
  </si>
  <si>
    <t>Bm_D</t>
  </si>
  <si>
    <t>Notebook CONFIG beams.depth_ft</t>
  </si>
  <si>
    <t>Top flange width</t>
  </si>
  <si>
    <t>bf</t>
  </si>
  <si>
    <t>in</t>
  </si>
  <si>
    <t>Bm_Bf</t>
  </si>
  <si>
    <t>Notebook CONFIG beams.top_flange_width_in</t>
  </si>
  <si>
    <t>Minimum haunch (at any flange point)</t>
  </si>
  <si>
    <t>hmin</t>
  </si>
  <si>
    <t>Bm_Hmin</t>
  </si>
  <si>
    <t>Notebook CONFIG beams.minimum_haunch_in</t>
  </si>
  <si>
    <t>Beam 1 vertical raise</t>
  </si>
  <si>
    <t>r1</t>
  </si>
  <si>
    <t>Bm1_Raise</t>
  </si>
  <si>
    <t>Notebook CONFIG beams.raise_in</t>
  </si>
  <si>
    <t>Beam 2 vertical raise</t>
  </si>
  <si>
    <t>r2</t>
  </si>
  <si>
    <t>Bm2_Raise</t>
  </si>
  <si>
    <t>Gap beam 1 to 2</t>
  </si>
  <si>
    <t>Bm_Gap1</t>
  </si>
  <si>
    <t>Equal spacing (CONFIG gaps_ft = None)</t>
  </si>
  <si>
    <t>Spans and cambers - CONFIG['spans'] (camber = Mathcad saved NetCamber)</t>
  </si>
  <si>
    <t>Span 1 start station (datum)</t>
  </si>
  <si>
    <t>Sp1_Sta0</t>
  </si>
  <si>
    <t>Notebook CONFIG spans[0].start_ft</t>
  </si>
  <si>
    <t>Span 1 end station (datum)</t>
  </si>
  <si>
    <t>Sp1_Sta1</t>
  </si>
  <si>
    <t>Notebook CONFIG spans[0].end_ft</t>
  </si>
  <si>
    <t>Span 1 net camber at 120 days</t>
  </si>
  <si>
    <t>C</t>
  </si>
  <si>
    <t>Sp1_C</t>
  </si>
  <si>
    <t>Notebook CONFIG spans[0].camber_in; basis NetCamber = max(Defl_120day) + min(Defl_dl.nc) + min(Defl_dl.c)</t>
  </si>
  <si>
    <t>Span 2 start station (datum)</t>
  </si>
  <si>
    <t>Sp2_Sta0</t>
  </si>
  <si>
    <t>Notebook CONFIG spans[1].start_ft</t>
  </si>
  <si>
    <t>Span 2 end station (datum)</t>
  </si>
  <si>
    <t>Sp2_Sta1</t>
  </si>
  <si>
    <t>Notebook CONFIG spans[1].end_ft</t>
  </si>
  <si>
    <t>Span 2 net camber at 120 days</t>
  </si>
  <si>
    <t>Sp2_C</t>
  </si>
  <si>
    <t>Notebook CONFIG spans[1].camber_in; basis NetCamber = max(Defl_120day) + min(Defl_dl.nc) + min(Defl_dl.c)</t>
  </si>
  <si>
    <t>Physical beam / bearing geometry - CONFIG['physical_geometry']</t>
  </si>
  <si>
    <t>Beam end clearance to FFBW</t>
  </si>
  <si>
    <t>Phys_EndClr</t>
  </si>
  <si>
    <t>Notebook CONFIG physical_geometry.beam_end_clear_in</t>
  </si>
  <si>
    <t>Pier beam gap (total, beam end to beam end)</t>
  </si>
  <si>
    <t>Phys_PierGap</t>
  </si>
  <si>
    <t>Notebook CONFIG physical_geometry.pier_beam_gap_in</t>
  </si>
  <si>
    <t>Bearing setback (beam end to CL bearing)</t>
  </si>
  <si>
    <t>Phys_Setback</t>
  </si>
  <si>
    <t>Notebook CONFIG physical_geometry.bearing_setback_in</t>
  </si>
  <si>
    <t>Deck end clearance to FFBW</t>
  </si>
  <si>
    <t>Phys_DeckClr</t>
  </si>
  <si>
    <t>Notebook CONFIG physical_geometry.deck_end_clear_in</t>
  </si>
  <si>
    <t>Trial pile length (stored)</t>
  </si>
  <si>
    <t>Phys_TrialPile</t>
  </si>
  <si>
    <t>Notebook CONFIG physical_geometry.trial_pile_length_ft (trial only)</t>
  </si>
  <si>
    <t>Pier - CONFIG['pier']</t>
  </si>
  <si>
    <t>Pier station (CL pier)</t>
  </si>
  <si>
    <t>Pier_Sta</t>
  </si>
  <si>
    <t>Notebook CONFIG pier.station_ft</t>
  </si>
  <si>
    <t>Bearing pad thickness</t>
  </si>
  <si>
    <t>Pier_Pad</t>
  </si>
  <si>
    <t>Notebook CONFIG pier.pad_height_in</t>
  </si>
  <si>
    <t>Bearing pad length (longitudinal)</t>
  </si>
  <si>
    <t>Pier_PadL</t>
  </si>
  <si>
    <t>Notebook CONFIG pier.pad_length_in</t>
  </si>
  <si>
    <t>Bearing pad width (transverse)</t>
  </si>
  <si>
    <t>Pier_PadW</t>
  </si>
  <si>
    <t>Notebook CONFIG pier.pad_width_in</t>
  </si>
  <si>
    <t>Cap depth</t>
  </si>
  <si>
    <t>Pier_Depth</t>
  </si>
  <si>
    <t>Notebook CONFIG pier.depth_ft</t>
  </si>
  <si>
    <t>Cap width (longitudinal)</t>
  </si>
  <si>
    <t>Pier_Width</t>
  </si>
  <si>
    <t>Notebook CONFIG pier.width_ft</t>
  </si>
  <si>
    <t>Fixed cap length (blank = derive from piles)</t>
  </si>
  <si>
    <t>Pier_LenFix</t>
  </si>
  <si>
    <t>Notebook CONFIG pier.length_ft</t>
  </si>
  <si>
    <t>Pile count</t>
  </si>
  <si>
    <t>Pier_NPile</t>
  </si>
  <si>
    <t>Notebook CONFIG pier.pile_count</t>
  </si>
  <si>
    <t>Pile diameter</t>
  </si>
  <si>
    <t>Pier_PileD</t>
  </si>
  <si>
    <t>Notebook CONFIG pier.pile_diameter_in (hollow pipe)</t>
  </si>
  <si>
    <t>Pipe wall thickness</t>
  </si>
  <si>
    <t>Pier_PileWall</t>
  </si>
  <si>
    <t>Notebook CONFIG pier.pile_wall_in</t>
  </si>
  <si>
    <t>Pile spacing in diameters</t>
  </si>
  <si>
    <t>Pier_PileSpD</t>
  </si>
  <si>
    <t>Notebook CONFIG pier.pile_spacing_diameters</t>
  </si>
  <si>
    <t>Clear distance, outer pile face to cap end</t>
  </si>
  <si>
    <t>Pier_PileClr</t>
  </si>
  <si>
    <t>Notebook CONFIG pier.pile_end_clear_in</t>
  </si>
  <si>
    <t>Pile embedment above cap underside</t>
  </si>
  <si>
    <t>Pier_Emb</t>
  </si>
  <si>
    <t>Notebook CONFIG pier.pile_embedment_in</t>
  </si>
  <si>
    <t>Minimum pedestal height at CL bearing</t>
  </si>
  <si>
    <t>Pier_Reveal</t>
  </si>
  <si>
    <t>Notebook CONFIG pier.minimum_pedestal_cl_in</t>
  </si>
  <si>
    <t>Fixed cap top (blank = pedestal rule)</t>
  </si>
  <si>
    <t>Pier_TopFix</t>
  </si>
  <si>
    <t>Notebook CONFIG pier.top_center_ft</t>
  </si>
  <si>
    <t>Cap center offset</t>
  </si>
  <si>
    <t>Pier_Ctr</t>
  </si>
  <si>
    <t>Notebook CONFIG pier.center_offset_ft</t>
  </si>
  <si>
    <t>Cap cross slope</t>
  </si>
  <si>
    <t>Pier_Slope</t>
  </si>
  <si>
    <t>Notebook CONFIG pier.cross_slope</t>
  </si>
  <si>
    <t>Pedestal width (transverse)</t>
  </si>
  <si>
    <t>Pier_PedW</t>
  </si>
  <si>
    <t>Notebook CONFIG pier.pedestal_width_in</t>
  </si>
  <si>
    <t>Pedestal length (longitudinal)</t>
  </si>
  <si>
    <t>Pier_PedL</t>
  </si>
  <si>
    <t>Notebook CONFIG pier.pedestal_length_in</t>
  </si>
  <si>
    <t>Pedestal top transverse chamfer</t>
  </si>
  <si>
    <t>Pier_Chamf</t>
  </si>
  <si>
    <t>Notebook CONFIG pier.pedestal_chamfer_in</t>
  </si>
  <si>
    <t>End Bent 1 - CONFIG['end_bents']['start']</t>
  </si>
  <si>
    <t>EB1_Width</t>
  </si>
  <si>
    <t>Notebook CONFIG end_bents.start.width_ft</t>
  </si>
  <si>
    <t>EB1_Depth</t>
  </si>
  <si>
    <t>Notebook CONFIG end_bents.start.depth_ft</t>
  </si>
  <si>
    <t>EB1_LenFix</t>
  </si>
  <si>
    <t>Notebook CONFIG end_bents.start.length_ft. CAD adopted a 235-in cap body under D-026; the notebook (governing) is being updated in a separate task.</t>
  </si>
  <si>
    <t>EB1_NPile</t>
  </si>
  <si>
    <t>Notebook CONFIG end_bents.start.pile_count</t>
  </si>
  <si>
    <t>Square pile width</t>
  </si>
  <si>
    <t>EB1_PileW</t>
  </si>
  <si>
    <t>Notebook CONFIG end_bents.start.pile_width_in</t>
  </si>
  <si>
    <t>Pile spacing</t>
  </si>
  <si>
    <t>EB1_PileSp</t>
  </si>
  <si>
    <t>Notebook CONFIG end_bents.start.pile_spacing_in</t>
  </si>
  <si>
    <t>EB1_PileClr</t>
  </si>
  <si>
    <t>Notebook CONFIG end_bents.start.pile_end_clear_in</t>
  </si>
  <si>
    <t>EB1_Emb</t>
  </si>
  <si>
    <t>Notebook CONFIG end_bents.start.pile_embedment_in</t>
  </si>
  <si>
    <t>EB1_Pad</t>
  </si>
  <si>
    <t>Notebook CONFIG end_bents.start.pad_height_in</t>
  </si>
  <si>
    <t>EB1_PadL</t>
  </si>
  <si>
    <t>Notebook CONFIG end_bents.start.pad_length_in</t>
  </si>
  <si>
    <t>EB1_PadW</t>
  </si>
  <si>
    <t>Notebook CONFIG end_bents.start.pad_width_in</t>
  </si>
  <si>
    <t>EB1_Reveal</t>
  </si>
  <si>
    <t>Notebook CONFIG end_bents.start.minimum_pedestal_cl_in</t>
  </si>
  <si>
    <t>EB1_TopFix</t>
  </si>
  <si>
    <t>Notebook CONFIG end_bents.start.top_center_ft</t>
  </si>
  <si>
    <t>EB1_Ctr</t>
  </si>
  <si>
    <t>Notebook CONFIG end_bents.start.center_offset_ft</t>
  </si>
  <si>
    <t>EB1_Slope</t>
  </si>
  <si>
    <t>Notebook CONFIG end_bents.start.cross_slope</t>
  </si>
  <si>
    <t>EB1_PedW</t>
  </si>
  <si>
    <t>Notebook CONFIG end_bents.start.pedestal_width_in</t>
  </si>
  <si>
    <t>Pedestal length (longitudinal, from FFBW)</t>
  </si>
  <si>
    <t>EB1_PedL</t>
  </si>
  <si>
    <t>Notebook CONFIG end_bents.start.pedestal_length_in</t>
  </si>
  <si>
    <t>EB1_Chamf</t>
  </si>
  <si>
    <t>Notebook CONFIG end_bents.start.pedestal_chamfer_in</t>
  </si>
  <si>
    <t>Backwall thickness</t>
  </si>
  <si>
    <t>EB1_BW</t>
  </si>
  <si>
    <t>Notebook CONFIG end_bents.start.backwall_thickness_in</t>
  </si>
  <si>
    <t>Backwall rear-face inset</t>
  </si>
  <si>
    <t>EB1_Inset</t>
  </si>
  <si>
    <t>Notebook CONFIG end_bents.start.rear_face_inset_in</t>
  </si>
  <si>
    <t>Beam end clearance (end-bent record)</t>
  </si>
  <si>
    <t>EB1_BmClr</t>
  </si>
  <si>
    <t>Notebook CONFIG end_bents.start.beam_end_clear_in (QC: equals physical value)</t>
  </si>
  <si>
    <t>Beam end to CL bearing (end-bent record)</t>
  </si>
  <si>
    <t>EB1_BmBrg</t>
  </si>
  <si>
    <t>Notebook CONFIG end_bents.start.beam_end_to_bearing_in (QC: equals physical value)</t>
  </si>
  <si>
    <t>End Bent 2 - CONFIG['end_bents']['end']</t>
  </si>
  <si>
    <t>EB2_Width</t>
  </si>
  <si>
    <t>Notebook CONFIG end_bents.end.width_ft</t>
  </si>
  <si>
    <t>EB2_Depth</t>
  </si>
  <si>
    <t>Notebook CONFIG end_bents.end.depth_ft</t>
  </si>
  <si>
    <t>EB2_LenFix</t>
  </si>
  <si>
    <t>Notebook CONFIG end_bents.end.length_ft. CAD adopted a 235-in cap body under D-026; the notebook (governing) is being updated in a separate task.</t>
  </si>
  <si>
    <t>EB2_NPile</t>
  </si>
  <si>
    <t>Notebook CONFIG end_bents.end.pile_count</t>
  </si>
  <si>
    <t>EB2_PileW</t>
  </si>
  <si>
    <t>Notebook CONFIG end_bents.end.pile_width_in</t>
  </si>
  <si>
    <t>EB2_PileSp</t>
  </si>
  <si>
    <t>Notebook CONFIG end_bents.end.pile_spacing_in</t>
  </si>
  <si>
    <t>EB2_PileClr</t>
  </si>
  <si>
    <t>Notebook CONFIG end_bents.end.pile_end_clear_in</t>
  </si>
  <si>
    <t>EB2_Emb</t>
  </si>
  <si>
    <t>Notebook CONFIG end_bents.end.pile_embedment_in</t>
  </si>
  <si>
    <t>EB2_Pad</t>
  </si>
  <si>
    <t>Notebook CONFIG end_bents.end.pad_height_in</t>
  </si>
  <si>
    <t>EB2_PadL</t>
  </si>
  <si>
    <t>Notebook CONFIG end_bents.end.pad_length_in</t>
  </si>
  <si>
    <t>EB2_PadW</t>
  </si>
  <si>
    <t>Notebook CONFIG end_bents.end.pad_width_in</t>
  </si>
  <si>
    <t>EB2_Reveal</t>
  </si>
  <si>
    <t>Notebook CONFIG end_bents.end.minimum_pedestal_cl_in</t>
  </si>
  <si>
    <t>EB2_TopFix</t>
  </si>
  <si>
    <t>Notebook CONFIG end_bents.end.top_center_ft</t>
  </si>
  <si>
    <t>EB2_Ctr</t>
  </si>
  <si>
    <t>Notebook CONFIG end_bents.end.center_offset_ft</t>
  </si>
  <si>
    <t>EB2_Slope</t>
  </si>
  <si>
    <t>Notebook CONFIG end_bents.end.cross_slope</t>
  </si>
  <si>
    <t>EB2_PedW</t>
  </si>
  <si>
    <t>Notebook CONFIG end_bents.end.pedestal_width_in</t>
  </si>
  <si>
    <t>EB2_PedL</t>
  </si>
  <si>
    <t>Notebook CONFIG end_bents.end.pedestal_length_in</t>
  </si>
  <si>
    <t>EB2_Chamf</t>
  </si>
  <si>
    <t>Notebook CONFIG end_bents.end.pedestal_chamfer_in</t>
  </si>
  <si>
    <t>EB2_BW</t>
  </si>
  <si>
    <t>Notebook CONFIG end_bents.end.backwall_thickness_in</t>
  </si>
  <si>
    <t>EB2_Inset</t>
  </si>
  <si>
    <t>Notebook CONFIG end_bents.end.rear_face_inset_in</t>
  </si>
  <si>
    <t>EB2_BmClr</t>
  </si>
  <si>
    <t>Notebook CONFIG end_bents.end.beam_end_clear_in (QC: equals physical value)</t>
  </si>
  <si>
    <t>EB2_BmBrg</t>
  </si>
  <si>
    <t>Notebook CONFIG end_bents.end.beam_end_to_bearing_in (QC: equals physical value)</t>
  </si>
  <si>
    <t>Roadway / clearance - CONFIG['roadway']</t>
  </si>
  <si>
    <t>Required vertical clearance</t>
  </si>
  <si>
    <t>Rd_Req</t>
  </si>
  <si>
    <t>Notebook CONFIG roadway.clearance_required_ft</t>
  </si>
  <si>
    <t>Bridge station at XML station 0</t>
  </si>
  <si>
    <t>Rd_Shift</t>
  </si>
  <si>
    <t>Notebook CONFIG roadway.bridge_station_at_xml_zero_ft (explicit project assumption)</t>
  </si>
  <si>
    <t>Roadway XML file</t>
  </si>
  <si>
    <t>Geometry Report.xml</t>
  </si>
  <si>
    <t>Rd_File</t>
  </si>
  <si>
    <t>SHA-256 9880ef7adeeac4228666146f5d5bb4dd17ef93f66ffeaf465a2c813eb69489e4</t>
  </si>
  <si>
    <t>Beam design - Mathcad saved results (no Mathcad recalculation)</t>
  </si>
  <si>
    <t>Mathcad variable</t>
  </si>
  <si>
    <t>Span 1</t>
  </si>
  <si>
    <t>Span 2</t>
  </si>
  <si>
    <t>Workbook names</t>
  </si>
  <si>
    <t>Input data file named in worksheet</t>
  </si>
  <si>
    <t>InputDataFile</t>
  </si>
  <si>
    <t>PedestrianBridge2Beam_Span1.dat</t>
  </si>
  <si>
    <t>PedestrianBridge2Beam_Span2.dat</t>
  </si>
  <si>
    <t>MC1_File, MC2_File</t>
  </si>
  <si>
    <t>BeamType</t>
  </si>
  <si>
    <t>FIB36</t>
  </si>
  <si>
    <t>MC1_Type, MC2_Type</t>
  </si>
  <si>
    <t>Beam length</t>
  </si>
  <si>
    <t>L.beam</t>
  </si>
  <si>
    <t>MC1_Lbeam, MC2_Lbeam</t>
  </si>
  <si>
    <t>Bearing distance (beam end to CL bearing)</t>
  </si>
  <si>
    <t>BearingDistance</t>
  </si>
  <si>
    <t>MC1_BrgDist, MC2_BrgDist</t>
  </si>
  <si>
    <t>Pad width (longitudinal)</t>
  </si>
  <si>
    <t>PadWidth</t>
  </si>
  <si>
    <t>MC1_PadW, MC2_PadW</t>
  </si>
  <si>
    <t>BeamSpacing</t>
  </si>
  <si>
    <t>MC1_Spacing, MC2_Spacing</t>
  </si>
  <si>
    <t>t.deck</t>
  </si>
  <si>
    <t>MC1_Tdeck, MC2_Tdeck</t>
  </si>
  <si>
    <t>Design build-up</t>
  </si>
  <si>
    <t>h.buildup</t>
  </si>
  <si>
    <t>MC1_Hbu, MC2_Hbu</t>
  </si>
  <si>
    <t>Skew</t>
  </si>
  <si>
    <t>deg</t>
  </si>
  <si>
    <t>MC1_Skew, MC2_Skew</t>
  </si>
  <si>
    <t>Beam f'c (28 day)</t>
  </si>
  <si>
    <t>f.c.beam</t>
  </si>
  <si>
    <t>ksi</t>
  </si>
  <si>
    <t>MC1_fc, MC2_fc</t>
  </si>
  <si>
    <t>Beam f'ci (release)</t>
  </si>
  <si>
    <t>f.ci.beam</t>
  </si>
  <si>
    <t>MC1_fci, MC2_fci</t>
  </si>
  <si>
    <t>Eci</t>
  </si>
  <si>
    <t>E.ci</t>
  </si>
  <si>
    <t>MC1_Eci, MC2_Eci</t>
  </si>
  <si>
    <t>Ec</t>
  </si>
  <si>
    <t>E.c</t>
  </si>
  <si>
    <t>MC1_Ec, MC2_Ec</t>
  </si>
  <si>
    <t>Relative humidity</t>
  </si>
  <si>
    <t>H</t>
  </si>
  <si>
    <t>%</t>
  </si>
  <si>
    <t>MC1_H, MC2_H</t>
  </si>
  <si>
    <t>Environment</t>
  </si>
  <si>
    <t>Moderately</t>
  </si>
  <si>
    <t>MC1_Env, MC2_Env</t>
  </si>
  <si>
    <t>Strand type</t>
  </si>
  <si>
    <t>StrandType</t>
  </si>
  <si>
    <t>Carbon Steel - Low Lax</t>
  </si>
  <si>
    <t>MC1_StrType, MC2_StrType</t>
  </si>
  <si>
    <t>Strand area</t>
  </si>
  <si>
    <t>A.strand</t>
  </si>
  <si>
    <t>in2</t>
  </si>
  <si>
    <t>MC1_Astr, MC2_Astr</t>
  </si>
  <si>
    <t>Number of strands</t>
  </si>
  <si>
    <t>#Strands</t>
  </si>
  <si>
    <t>MC1_NStr, MC2_NStr</t>
  </si>
  <si>
    <t>Number of debonded strands</t>
  </si>
  <si>
    <t>NumberOfDebondedTendons</t>
  </si>
  <si>
    <t>MC1_NDeb, MC2_NDeb</t>
  </si>
  <si>
    <t>Jacking force per strand</t>
  </si>
  <si>
    <t>JackingForce.per.strand</t>
  </si>
  <si>
    <t>kip</t>
  </si>
  <si>
    <t>MC1_Pj, MC2_Pj</t>
  </si>
  <si>
    <t>Top (partial) strands</t>
  </si>
  <si>
    <t>NoStrands.partial.ps</t>
  </si>
  <si>
    <t>MC1_NTop, MC2_NTop</t>
  </si>
  <si>
    <t>Top strand force each</t>
  </si>
  <si>
    <t>Force.strand.partial.ps</t>
  </si>
  <si>
    <t>MC1_PTop, MC2_PTop</t>
  </si>
  <si>
    <t>Top strand diameter</t>
  </si>
  <si>
    <t>Dia.strand.partial.ps</t>
  </si>
  <si>
    <t>MC1_DTop, MC2_DTop</t>
  </si>
  <si>
    <t>Creep coefficient at 120 days</t>
  </si>
  <si>
    <t>Cr.120day</t>
  </si>
  <si>
    <t>MC1_Psi, MC2_Psi</t>
  </si>
  <si>
    <t>Shrinkage strain at 120 days</t>
  </si>
  <si>
    <t>eps.sh.120</t>
  </si>
  <si>
    <t>MC1_Esh, MC2_Esh</t>
  </si>
  <si>
    <t>Release deflection, max</t>
  </si>
  <si>
    <t>max(Defl.release)</t>
  </si>
  <si>
    <t>MC1_Drel, MC2_Drel</t>
  </si>
  <si>
    <t>120-day deflection, max</t>
  </si>
  <si>
    <t>max(Defl.120day)</t>
  </si>
  <si>
    <t>MC1_D120, MC2_D120</t>
  </si>
  <si>
    <t>Non-composite DL deflection, min</t>
  </si>
  <si>
    <t>min(Defl.dl.nc)</t>
  </si>
  <si>
    <t>MC1_Dnc, MC2_Dnc</t>
  </si>
  <si>
    <t>Composite DL deflection, min</t>
  </si>
  <si>
    <t>min(Defl.dl.c)</t>
  </si>
  <si>
    <t>MC1_Dc, MC2_Dc</t>
  </si>
  <si>
    <t>Net camber at 120 days</t>
  </si>
  <si>
    <t>NetCamber</t>
  </si>
  <si>
    <t>MC1_Net, MC2_Net</t>
  </si>
  <si>
    <t>First stirrup from beam end</t>
  </si>
  <si>
    <t>EndSpace</t>
  </si>
  <si>
    <t>MC1_EndSp, MC2_EndSp</t>
  </si>
  <si>
    <t>Stirrup zone A1 spacing</t>
  </si>
  <si>
    <t>StirrupSpacing.A1</t>
  </si>
  <si>
    <t>MC1_A1_s, MC2_A1_s</t>
  </si>
  <si>
    <t>Stirrup zone A1 spaces</t>
  </si>
  <si>
    <t>NumberOfStirrupSpaces.A1</t>
  </si>
  <si>
    <t>MC1_A1_n, MC2_A1_n</t>
  </si>
  <si>
    <t>Stirrup zone A1 Av</t>
  </si>
  <si>
    <t>StirrupArea.A1</t>
  </si>
  <si>
    <t>MC1_A1_A, MC2_A1_A</t>
  </si>
  <si>
    <t>Stirrup zone A2 spacing</t>
  </si>
  <si>
    <t>StirrupSpacing.A2</t>
  </si>
  <si>
    <t>MC1_A2_s, MC2_A2_s</t>
  </si>
  <si>
    <t>Stirrup zone A2 spaces</t>
  </si>
  <si>
    <t>NumberOfStirrupSpaces.A2</t>
  </si>
  <si>
    <t>MC1_A2_n, MC2_A2_n</t>
  </si>
  <si>
    <t>Stirrup zone A2 Av</t>
  </si>
  <si>
    <t>StirrupArea.A2</t>
  </si>
  <si>
    <t>MC1_A2_A, MC2_A2_A</t>
  </si>
  <si>
    <t>Stirrup zone A3 spacing</t>
  </si>
  <si>
    <t>StirrupSpacing.A3</t>
  </si>
  <si>
    <t>MC1_A3_s, MC2_A3_s</t>
  </si>
  <si>
    <t>Stirrup zone A3 spaces</t>
  </si>
  <si>
    <t>NumberOfStirrupSpaces.A3</t>
  </si>
  <si>
    <t>MC1_A3_n, MC2_A3_n</t>
  </si>
  <si>
    <t>Stirrup zone A3 Av</t>
  </si>
  <si>
    <t>StirrupArea.A3</t>
  </si>
  <si>
    <t>MC1_A3_A, MC2_A3_A</t>
  </si>
  <si>
    <t>Stirrup zone S1 spacing</t>
  </si>
  <si>
    <t>StirrupSpacing.S1</t>
  </si>
  <si>
    <t>MC1_S1_s, MC2_S1_s</t>
  </si>
  <si>
    <t>Stirrup zone S1 spaces</t>
  </si>
  <si>
    <t>NumberOfStirrupSpaces.S1</t>
  </si>
  <si>
    <t>MC1_S1_n, MC2_S1_n</t>
  </si>
  <si>
    <t>Stirrup zone S1 Av</t>
  </si>
  <si>
    <t>StirrupArea.S1</t>
  </si>
  <si>
    <t>MC1_S1_A, MC2_S1_A</t>
  </si>
  <si>
    <t>Stirrup zone S2 spacing</t>
  </si>
  <si>
    <t>StirrupSpacing.S2</t>
  </si>
  <si>
    <t>MC1_S2_s, MC2_S2_s</t>
  </si>
  <si>
    <t>Stirrup zone S2 spaces</t>
  </si>
  <si>
    <t>NumberOfStirrupSpaces.S2</t>
  </si>
  <si>
    <t>MC1_S2_n, MC2_S2_n</t>
  </si>
  <si>
    <t>Stirrup zone S2 Av</t>
  </si>
  <si>
    <t>StirrupArea.S2</t>
  </si>
  <si>
    <t>MC1_S2_A, MC2_S2_A</t>
  </si>
  <si>
    <t>Stirrup zone S3 spacing</t>
  </si>
  <si>
    <t>StirrupSpacing.S3</t>
  </si>
  <si>
    <t>MC1_S3_s, MC2_S3_s</t>
  </si>
  <si>
    <t>Stirrup zone S3 spaces</t>
  </si>
  <si>
    <t>NumberOfStirrupSpaces.S3</t>
  </si>
  <si>
    <t>MC1_S3_n, MC2_S3_n</t>
  </si>
  <si>
    <t>Stirrup zone S3 Av</t>
  </si>
  <si>
    <t>StirrupArea.S3</t>
  </si>
  <si>
    <t>MC1_S3_A, MC2_S3_A</t>
  </si>
  <si>
    <t>Stirrup zone S4 spacing</t>
  </si>
  <si>
    <t>StirrupSpacing.S4</t>
  </si>
  <si>
    <t>MC1_S4_s, MC2_S4_s</t>
  </si>
  <si>
    <t>Stirrup zone S4 spaces</t>
  </si>
  <si>
    <t>NumberOfStirrupSpaces.S4</t>
  </si>
  <si>
    <t>MC1_S4_n, MC2_S4_n</t>
  </si>
  <si>
    <t>Stirrup zone S4 Av</t>
  </si>
  <si>
    <t>StirrupArea.S4</t>
  </si>
  <si>
    <t>MC1_S4_A, MC2_S4_A</t>
  </si>
  <si>
    <t>Span 1 source: project_current/mathcad/PrestressedBeamV6.2_Pedestrian_2Beam_Span1.xmcd</t>
  </si>
  <si>
    <t>SHA-256 a6b0f967d271c193591d477e219ac66f98b72309d19958a04c6cd08e575a8dcd</t>
  </si>
  <si>
    <t>Span 2 source: project_current/mathcad/PrestressedBeamV6.2_Pedestrian_2Beam_Span2.xmcd</t>
  </si>
  <si>
    <t>SHA-256 182e3471f169d3a379c437ad12f359d567813bd4631bcc0b82e78ad860fa91b8</t>
  </si>
  <si>
    <t>Designer assignments and BCC-template method constants (not in the notebook or Mathcad)</t>
  </si>
  <si>
    <t>Concrete class (beam)</t>
  </si>
  <si>
    <t>VI</t>
  </si>
  <si>
    <t>Des_ConcClass</t>
  </si>
  <si>
    <t>Designer input: FDOT Class VI for f'c = 8.5 ksi</t>
  </si>
  <si>
    <t>Standard strand pattern type (table)</t>
  </si>
  <si>
    <t>Des_Pattern</t>
  </si>
  <si>
    <t>Designer input: strand-pattern detail number shown on the plans (Mathcad: 39 strands, 8 debonded)</t>
  </si>
  <si>
    <t>Plan view case (zero skew)</t>
  </si>
  <si>
    <t>Des_PlanCase</t>
  </si>
  <si>
    <t>Template convention: Case 1 = square end (notebook supports are normal to the tangent alignment)</t>
  </si>
  <si>
    <t>Bearing pad type</t>
  </si>
  <si>
    <t>F</t>
  </si>
  <si>
    <t>Des_PadType</t>
  </si>
  <si>
    <t>Notebook CONFIG comment: "Type F pads: 10 x 32 x 2-9/16 in" (QC checks the dimensions)</t>
  </si>
  <si>
    <t>Beveled bearing plate limit |slope| &gt;</t>
  </si>
  <si>
    <t>Des_BevelLimit</t>
  </si>
  <si>
    <t>BCC template rule</t>
  </si>
  <si>
    <t>Dim P threshold (|grade x depth| below this -&gt; 0)</t>
  </si>
  <si>
    <t>Des_DimP</t>
  </si>
  <si>
    <t>FIB-36 gross section area</t>
  </si>
  <si>
    <t>Bm_Area</t>
  </si>
  <si>
    <t>FDOT FIB-36 section property (BCC template BeamProp table)</t>
  </si>
  <si>
    <t>FGE increments between CL bearings</t>
  </si>
  <si>
    <t>Des_FGEInc</t>
  </si>
  <si>
    <t>Generator constant (sets the table column count)</t>
  </si>
  <si>
    <t>Bar 3C1/3C2 dimension C (square end)</t>
  </si>
  <si>
    <t>Bar_C</t>
  </si>
  <si>
    <t>BCC template Reinforcing formulas (FIB standard bar bending)</t>
  </si>
  <si>
    <t>Bar 3D1/3D2 dimension A (square end)</t>
  </si>
  <si>
    <t>Bar_DA</t>
  </si>
  <si>
    <t>BCC template Reinforcing formulas</t>
  </si>
  <si>
    <t>Bar 3D1/3D2 dimension B (square end)</t>
  </si>
  <si>
    <t>Bar_DB</t>
  </si>
  <si>
    <t>Bar 4M1/4M2 dimension D (square end)</t>
  </si>
  <si>
    <t>Bar_MD</t>
  </si>
  <si>
    <t>Bar 3D3 spacing</t>
  </si>
  <si>
    <t>Bar_D3s</t>
  </si>
  <si>
    <t>FIB-36 4M3 constant (template BeamProp column H)</t>
  </si>
  <si>
    <t>Bar_Mk</t>
  </si>
  <si>
    <t>BCC template BeamProp (FIB 36 -&gt; 6)</t>
  </si>
  <si>
    <t>Reference: FDOT composite elastomeric bearing pad types (BCC template BeamProp)</t>
  </si>
  <si>
    <t>Pad type</t>
  </si>
  <si>
    <t>L (in)</t>
  </si>
  <si>
    <t>W (in)</t>
  </si>
  <si>
    <t>T (in)</t>
  </si>
  <si>
    <t>D</t>
  </si>
  <si>
    <t>E</t>
  </si>
  <si>
    <t>G</t>
  </si>
  <si>
    <t>J</t>
  </si>
  <si>
    <t>K</t>
  </si>
  <si>
    <t>Inputs - Method</t>
  </si>
  <si>
    <t>Where every input comes from and how the workbook is kept consistent with the notebook</t>
  </si>
  <si>
    <t>1. Authority and data flow</t>
  </si>
  <si>
    <t>The Colab geometry notebook (Bridge_Geometry_2 Beam_V2.ipynb) is the source of truth for all bridge geometry. Its CONFIG dictionary and BridgeModel equations define the profile, deck, beam layout, bearings, caps, pedestals and piles. The FreeCAD model and these CAD tables are built from the notebook, never the reverse. The generator executes the notebook cells, writes CONFIG into this tab, and writes every calculation as an Excel formula.</t>
  </si>
  <si>
    <t>Figure 1. Source-to-table flow. Each arrow is a formula chain you can trace with Excel "Trace Precedents".</t>
  </si>
  <si>
    <t>2. Sign conventions and units</t>
  </si>
  <si>
    <t>•  Stations s increase from End Bent 1 to End Bent 2 (ft). Offsets y are measured from the PGL, positive to the right looking up-station (ft).</t>
  </si>
  <si>
    <t>•  Elevations z are in feet on the project datum. Inputs ending in "in" are inches; slopes and grades are ft/ft.</t>
  </si>
  <si>
    <t>•  Deflections and camber are in inches, positive upward (Mathcad convention). The camber C is the peak upward value at midspan.</t>
  </si>
  <si>
    <t>•  Workbook names (Formulas &gt; Name Manager) mirror the notebook keys, for example Prof_Sta0 = CONFIG["profile"]["start_sta_ft"].</t>
  </si>
  <si>
    <t>3. Mathcad beam-design values</t>
  </si>
  <si>
    <t>Beam-design inputs are the saved results stored in the two registered Mathcad runs. The generator parses the worksheet XML and reads each result by variable name; Mathcad is not recalculated. The notebook camber input equals the Mathcad NetCamber:</t>
  </si>
  <si>
    <t>Span 1: C = 0.124593 in;  Span 2: C = 0.567171 in.  QC confirms the deflection sum, the Mathcad NetCamber and the notebook CONFIG camber agree.</t>
  </si>
  <si>
    <t>Meaning</t>
  </si>
  <si>
    <t>Workbook name / location</t>
  </si>
  <si>
    <t>Units / value</t>
  </si>
  <si>
    <t>Net camber at 120 days after all dead load</t>
  </si>
  <si>
    <t>Sp1_C, Sp2_C (Inputs)</t>
  </si>
  <si>
    <t>Δ120</t>
  </si>
  <si>
    <t>120-day prestress + beam weight deflection (max)</t>
  </si>
  <si>
    <t>ΔDL,nc</t>
  </si>
  <si>
    <t>Non-composite dead load (deck pour) deflection (min)</t>
  </si>
  <si>
    <t>ΔDL,c</t>
  </si>
  <si>
    <t>Composite dead load (barrier) deflection (min)</t>
  </si>
  <si>
    <t>ψ, εsh</t>
  </si>
  <si>
    <t>Creep coefficient and shrinkage strain at 120 days</t>
  </si>
  <si>
    <t>MC1_Psi, MC1_Esh ...</t>
  </si>
  <si>
    <t>-</t>
  </si>
  <si>
    <t>4. Designer assignments and template constants</t>
  </si>
  <si>
    <t>A few table entries are not geometry and are not in Mathcad: concrete class, strand pattern number, plan view case and pad type. They are explicit inputs at the bottom of the Inputs tab. Standard bar-bending constants for the Table of Beam Variables are taken from the BCC example workbook formulas so the tables are produced the same way as before.</t>
  </si>
  <si>
    <t>5. Keeping it current</t>
  </si>
  <si>
    <t>•  Change geometry in the notebook CONFIG, then run: .venv\Scripts\python.exe scripts\build_geometry_cad_tables.py</t>
  </si>
  <si>
    <t>•  The script rebuilds every tab, has Excel recalculate, and verifies the results against the notebook before saving.</t>
  </si>
  <si>
    <t>•  Editing a blue input here recalculates the workbook, but the QC tab will then flag the difference from the notebook.</t>
  </si>
  <si>
    <t>•  Build fingerprint 7c2bc2fb909d765c0208; notebook model ID 4d5b58a9ac. The regression test fails if any source or the generator changes without a rebuild.</t>
  </si>
  <si>
    <t>PGL profile, deck cross slope, beam offsets and haunch check points</t>
  </si>
  <si>
    <t>Calc. by / date</t>
  </si>
  <si>
    <t>Check. by / date</t>
  </si>
  <si>
    <t>Profile constants</t>
  </si>
  <si>
    <t>Profile length</t>
  </si>
  <si>
    <t>L</t>
  </si>
  <si>
    <t>Prof_L</t>
  </si>
  <si>
    <t>s1 - s0</t>
  </si>
  <si>
    <t>PI elevation (brokeback)</t>
  </si>
  <si>
    <t>zPI</t>
  </si>
  <si>
    <t>Prof_PIZ</t>
  </si>
  <si>
    <t>Average of the two tangents projected to the PI</t>
  </si>
  <si>
    <t>Grade 1 (entering)</t>
  </si>
  <si>
    <t>g1</t>
  </si>
  <si>
    <t>Prof_G1</t>
  </si>
  <si>
    <t>Notebook BridgeModel.__init__</t>
  </si>
  <si>
    <t>Grade 2 (leaving)</t>
  </si>
  <si>
    <t>g2</t>
  </si>
  <si>
    <t>Prof_G2</t>
  </si>
  <si>
    <t>Parabolic coefficient (0 for brokeback)</t>
  </si>
  <si>
    <t>kq</t>
  </si>
  <si>
    <t>1/ft</t>
  </si>
  <si>
    <t>Prof_Kq</t>
  </si>
  <si>
    <t>z = z0 + g1 x + kq x^2</t>
  </si>
  <si>
    <t>PGL at control stations</t>
  </si>
  <si>
    <t>Control point</t>
  </si>
  <si>
    <t>Station (ft)</t>
  </si>
  <si>
    <t>PGL (ft)</t>
  </si>
  <si>
    <t>Station label</t>
  </si>
  <si>
    <t>FFBW End Bent 1 (profile start)</t>
  </si>
  <si>
    <t>Tangent intersection (PI)</t>
  </si>
  <si>
    <t>FFBW End Bent 2 (profile end)</t>
  </si>
  <si>
    <t>Deck edges</t>
  </si>
  <si>
    <t>Left deck edge (coping) offset</t>
  </si>
  <si>
    <t>Deck_YL</t>
  </si>
  <si>
    <t>Offsets measured from the PGL, + to the right looking up-station</t>
  </si>
  <si>
    <t>Right deck edge (coping) offset</t>
  </si>
  <si>
    <t>Deck_YR</t>
  </si>
  <si>
    <t>Deck cross-slope drop at left edge</t>
  </si>
  <si>
    <t>Deck_dL</t>
  </si>
  <si>
    <t>delta(y)</t>
  </si>
  <si>
    <t>Deck cross-slope drop at right edge</t>
  </si>
  <si>
    <t>Deck_dR</t>
  </si>
  <si>
    <t>Beam lines and haunch check points (flange edges, CL and any crown point on the flange)</t>
  </si>
  <si>
    <t>Beam</t>
  </si>
  <si>
    <t>Offset y (ft)</t>
  </si>
  <si>
    <t>Left flange edge</t>
  </si>
  <si>
    <t>CL</t>
  </si>
  <si>
    <t>Right flange edge</t>
  </si>
  <si>
    <t>Crown point on flange</t>
  </si>
  <si>
    <t>delta left (ft)</t>
  </si>
  <si>
    <t>delta CL (ft)</t>
  </si>
  <si>
    <t>delta right (ft)</t>
  </si>
  <si>
    <t>delta crown pt (ft)</t>
  </si>
  <si>
    <t>delta min (ft)</t>
  </si>
  <si>
    <t>Beam 1</t>
  </si>
  <si>
    <t>Beam 2</t>
  </si>
  <si>
    <t>Layout checks</t>
  </si>
  <si>
    <t>Beam flanges inside the deck width</t>
  </si>
  <si>
    <t>Flanges do not overlap</t>
  </si>
  <si>
    <t>Deck mode implemented (crowned or uniform)</t>
  </si>
  <si>
    <t>Profile mode implemented (brokeback or parabolic)</t>
  </si>
  <si>
    <t>PI inside the profile</t>
  </si>
  <si>
    <t>Profile &amp; Deck - Method</t>
  </si>
  <si>
    <t>Profile grade line, deck cross slope, beam offsets and haunch check points</t>
  </si>
  <si>
    <t>1. Profile grade line (PGL)</t>
  </si>
  <si>
    <t>The notebook profile mode is "brokeback". In brokeback mode the PGL is two straight tangents of nominal grade g that meet at the tangent intersection station. The PI elevation averages the two tangents projected to the PI, which preserves both end elevations:</t>
  </si>
  <si>
    <t>Current values: g1 = +0.499884%, g2 = -0.500119%, z_PI = 48.197625 ft at 17+00.57.</t>
  </si>
  <si>
    <t>Parabolic mode (also in the notebook) keeps both end elevations and the entered grade change Δg, with x = s - s0 and L = s1 - s0:</t>
  </si>
  <si>
    <t>Figure 1. Profile along the bridge (vertical scale exaggerated).</t>
  </si>
  <si>
    <t>2. Deck surface</t>
  </si>
  <si>
    <t>The deck top at offset y adds a cross-slope term to the PGL. Crowned mode slopes both sides away from the PGL; uniform mode applies one slope across the deck. (The notebook transition mode is not implemented in this workbook; QC fails if it is selected.)</t>
  </si>
  <si>
    <t>Figure 2. Typical section and haunch check points.</t>
  </si>
  <si>
    <t>3. Beam offsets and haunch check points</t>
  </si>
  <si>
    <t>The haunch is checked at four transverse points on each top flange: both flange edges, the beam centerline, and the crown point clipped onto the flange (it captures a crown break that falls on the flange). The lowest deck point over the flange governs:</t>
  </si>
  <si>
    <t>s0, s1, sPI</t>
  </si>
  <si>
    <t>Profile start, end and tangent-intersection stations</t>
  </si>
  <si>
    <t>Prof_Sta0, Prof_Sta1, Prof_PISta</t>
  </si>
  <si>
    <t>z0, z1</t>
  </si>
  <si>
    <t>Profile end elevations</t>
  </si>
  <si>
    <t>Prof_Z0, Prof_Z1</t>
  </si>
  <si>
    <t>g1, g2</t>
  </si>
  <si>
    <t>Tangent grades</t>
  </si>
  <si>
    <t>Prof_G1, Prof_G2</t>
  </si>
  <si>
    <t>Parabolic coefficient (0 in brokeback mode)</t>
  </si>
  <si>
    <t>sc, su</t>
  </si>
  <si>
    <t>Crown slope, uniform slope</t>
  </si>
  <si>
    <t>Deck_Crown, Deck_Uni</t>
  </si>
  <si>
    <t>yk</t>
  </si>
  <si>
    <t>Beam k centerline offset</t>
  </si>
  <si>
    <t>Bm1_Off, Bm2_Off</t>
  </si>
  <si>
    <t>δmin,k</t>
  </si>
  <si>
    <t>Lowest cross-slope drop over beam k flange</t>
  </si>
  <si>
    <t>Bm1_dMin, Bm2_dMin</t>
  </si>
  <si>
    <t>Physical beam ends, bearings, deck limits, bearing chords and Table of Beam Variables dimensions</t>
  </si>
  <si>
    <t>Span layout (stations in ft)</t>
  </si>
  <si>
    <t>Span</t>
  </si>
  <si>
    <t>Datum start</t>
  </si>
  <si>
    <t>Datum end</t>
  </si>
  <si>
    <t>Start support</t>
  </si>
  <si>
    <t>End support</t>
  </si>
  <si>
    <t>Beam start</t>
  </si>
  <si>
    <t>Beam end</t>
  </si>
  <si>
    <t>CL brg A (start)</t>
  </si>
  <si>
    <t>CL brg B (end)</t>
  </si>
  <si>
    <t>Deck start</t>
  </si>
  <si>
    <t>Deck end</t>
  </si>
  <si>
    <t>Brg span Lb</t>
  </si>
  <si>
    <t>Brg midpoint</t>
  </si>
  <si>
    <t>PGL at A</t>
  </si>
  <si>
    <t>PGL at B</t>
  </si>
  <si>
    <t>Chord grade</t>
  </si>
  <si>
    <t>Layout check</t>
  </si>
  <si>
    <t>Mathcad L.beam</t>
  </si>
  <si>
    <t>Beam length - Mathcad</t>
  </si>
  <si>
    <t>End Bent 1</t>
  </si>
  <si>
    <t>Pier</t>
  </si>
  <si>
    <t>End Bent 2</t>
  </si>
  <si>
    <t>Beam dimensions for the Table of Beam Variables (template method, notebook geometry)</t>
  </si>
  <si>
    <t>Offset (ft)</t>
  </si>
  <si>
    <t>Raise (in)</t>
  </si>
  <si>
    <t>Horizontal length (ft)</t>
  </si>
  <si>
    <t>Sloped length Ls (ft)</t>
  </si>
  <si>
    <t>Skew (deg)</t>
  </si>
  <si>
    <t>Angle phi End 1</t>
  </si>
  <si>
    <t>Angle phi End 2</t>
  </si>
  <si>
    <t>Dim J (in)</t>
  </si>
  <si>
    <t>Dim K1 (in)</t>
  </si>
  <si>
    <t>Dim K2 (in)</t>
  </si>
  <si>
    <t>Dim P (in)</t>
  </si>
  <si>
    <t>End elev. cond.</t>
  </si>
  <si>
    <t>Prestress P (kip)</t>
  </si>
  <si>
    <t>Creep factor C1</t>
  </si>
  <si>
    <t>Shortening R (in)</t>
  </si>
  <si>
    <t>Dim L incl. R (ft)</t>
  </si>
  <si>
    <t>Dim L ft</t>
  </si>
  <si>
    <t>Dim L in</t>
  </si>
  <si>
    <t>1-1</t>
  </si>
  <si>
    <t>1-2</t>
  </si>
  <si>
    <t>2-1</t>
  </si>
  <si>
    <t>2-2</t>
  </si>
  <si>
    <t>Dim L follows the BCC template (sloped beam length + shortening R). Confirm against the current FDOT instructions for the Table of Beam Variables before issue; the sloped length without R is column G.</t>
  </si>
  <si>
    <t>Beam Geometry - Method</t>
  </si>
  <si>
    <t>Physical beam ends, bearings and the Table of Beam Variables dimensions</t>
  </si>
  <si>
    <t>1. Physical beam ends and bearings</t>
  </si>
  <si>
    <t>Spans run between datums: the front face of backwall (FFBW) at end bents and the pier centerline. Beams stop short of each datum by the beam-end clearance e at an end bent, or by half the pier gap g at the pier. Bearings sit a setback j inside each beam end. The deck stops a clearance cd inside each FFBW and is continuous over the pier:</t>
  </si>
  <si>
    <t>Current: e = 3 in, g = 3 in, j = 9 in, cd = 3 in. Span 1 bearings 15+94.22 to 16+99.70; Span 2 bearings 17+01.44 to 18+04.47.</t>
  </si>
  <si>
    <t>Figure 1. Beam-end, bearing and pier-joint dimensions (elevation).</t>
  </si>
  <si>
    <t>2. Bearing chord and sloped length</t>
  </si>
  <si>
    <t>The beam soffit chord between bearings is parallel to the PGL chord (the notebook drops all bearings by the same D; see Camber &amp; Haunch). QC compares the horizontal beam length with the Mathcad L.beam.</t>
  </si>
  <si>
    <t>3. Table of Beam Variables dimensions (BCC template method)</t>
  </si>
  <si>
    <t>Elastic plus time-dependent shortening R uses the template expression with the Mathcad prestress, creep and shrinkage values:</t>
  </si>
  <si>
    <t>Dim L adds R to the sloped length, exactly as the BCC template did. Confirm against the current FDOT Table of Beam Variables instructions before issue; the sloped length without R is shown in the Ls column.</t>
  </si>
  <si>
    <t>Figure 2. End-of-beam dimensions used in the Table of Beam Variables.</t>
  </si>
  <si>
    <t>sa, sb</t>
  </si>
  <si>
    <t>Span datum stations (FFBW or CL pier)</t>
  </si>
  <si>
    <t>Sp1_Sta0, Sp1_Sta1 ...</t>
  </si>
  <si>
    <t>sA, sB</t>
  </si>
  <si>
    <t>Bearing stations</t>
  </si>
  <si>
    <t>Sp1_BrgA, Sp1_BrgB ...</t>
  </si>
  <si>
    <t>Lb, gc</t>
  </si>
  <si>
    <t>Bearing span and chord grade</t>
  </si>
  <si>
    <t>Sp1_Lb, Sp1_Gc ...</t>
  </si>
  <si>
    <t>ft, ft/ft</t>
  </si>
  <si>
    <t>P</t>
  </si>
  <si>
    <t>Total prestress force at jacking</t>
  </si>
  <si>
    <t>Beam Geometry col P</t>
  </si>
  <si>
    <t>Ag, Eci</t>
  </si>
  <si>
    <t>FIB-36 gross area; release modulus (Mathcad)</t>
  </si>
  <si>
    <t>Bm_Area, MC1_Eci</t>
  </si>
  <si>
    <t>in2, ksi</t>
  </si>
  <si>
    <t>Common support drop, build-up (Dims B, C, D) and minimum flange haunch</t>
  </si>
  <si>
    <t>A. Haunch shape per span: h(t) = K - m t(1-t), with t = (s - brg A)/Lb</t>
  </si>
  <si>
    <t>Camber C (in)</t>
  </si>
  <si>
    <t>Lb (ft)</t>
  </si>
  <si>
    <t>t at beam start</t>
  </si>
  <si>
    <t>t at beam end</t>
  </si>
  <si>
    <t>m (ft)</t>
  </si>
  <si>
    <t>max of m t(1-t) on beam</t>
  </si>
  <si>
    <t>Mathcad NetCamber (in)</t>
  </si>
  <si>
    <t>C - Mathcad (in)</t>
  </si>
  <si>
    <t>B. Minimum uncorrected haunch per beam and the common support drop D</t>
  </si>
  <si>
    <t>Min haunch with D = 0 (ft)</t>
  </si>
  <si>
    <t>Min flange haunch (in)</t>
  </si>
  <si>
    <t>Common support drop D (ft)</t>
  </si>
  <si>
    <t>D = h_min,req - min over every beam and flange point of the haunch with D = 0</t>
  </si>
  <si>
    <t>Minimum flange haunch, whole bridge (in)</t>
  </si>
  <si>
    <t>C. Haunch over each beam at the bearings and midspan</t>
  </si>
  <si>
    <t>Location</t>
  </si>
  <si>
    <t>Station s (ft)</t>
  </si>
  <si>
    <t>t</t>
  </si>
  <si>
    <t>Chord (ft)</t>
  </si>
  <si>
    <t>Camber (ft)</t>
  </si>
  <si>
    <t>Beam bottom (ft)</t>
  </si>
  <si>
    <t>Beam top (ft)</t>
  </si>
  <si>
    <t>Deck @ CL beam (ft)</t>
  </si>
  <si>
    <t>Haunch @ CL (in)</t>
  </si>
  <si>
    <t>Begin brg</t>
  </si>
  <si>
    <t>Midspan</t>
  </si>
  <si>
    <t>End brg</t>
  </si>
  <si>
    <t>D. Build-up summary (FDOT Build-Up &amp; Deflection table)</t>
  </si>
  <si>
    <t>Dim B begin (in)</t>
  </si>
  <si>
    <t>Dim C CL span (in)</t>
  </si>
  <si>
    <t>Dim D end (in)</t>
  </si>
  <si>
    <t>Mid-ordinate R (in)</t>
  </si>
  <si>
    <t>Net camber C (in)</t>
  </si>
  <si>
    <t>Build-up case</t>
  </si>
  <si>
    <t>E. Mathcad deflections by span (in, + up)</t>
  </si>
  <si>
    <t>Release (max)</t>
  </si>
  <si>
    <t>120 day (max)</t>
  </si>
  <si>
    <t>Non-comp. DL (min)</t>
  </si>
  <si>
    <t>Composite DL (min)</t>
  </si>
  <si>
    <t>Sum = NetCamber</t>
  </si>
  <si>
    <t>Mathcad NetCamber</t>
  </si>
  <si>
    <t>CONFIG camber</t>
  </si>
  <si>
    <t>Check</t>
  </si>
  <si>
    <t>Camber &amp; Haunch - Method</t>
  </si>
  <si>
    <t>Common support drop D, build-up dimensions and the minimum haunch</t>
  </si>
  <si>
    <t>1. Beam soffit with camber</t>
  </si>
  <si>
    <t>Within a span, t runs from 0 at bearing A to 1 at bearing B. The soffit follows the PGL chord between bearings, dropped by one common distance D for every support, plus the Mathcad camber as an upward parabola and any entered beam raise r:</t>
  </si>
  <si>
    <t>2. Haunch and the exact minimum</t>
  </si>
  <si>
    <t>Because the PGL is straight (brokeback) or a single parabola over each beam, z_PGL - q is itself -k_q L_b^2 t(1-t). The haunch over a beam is therefore an exact quadratic in t, and its minimum on the beam (t from t_lo to t_hi) has a closed form:</t>
  </si>
  <si>
    <t>t = 1/2 always lies on the beam, so m/4 covers upward camber; the end terms cover a net sag. The notebook finds the same minimum by locating every quadratic extremum between breakpoints. One common drop then enforces the required minimum haunch everywhere:</t>
  </si>
  <si>
    <t>Current: D = 3.7147642886 ft. The minimum flange haunch 0.500000 in (required 0.5 in) occurs on beam 1 at 17+52.96.</t>
  </si>
  <si>
    <t>Figure 1. Span 2 (larger camber, governs D). Vertical scale exaggerated about the bearing chord.</t>
  </si>
  <si>
    <t>Figure 2. Span 1 has less camber, so with the common drop its midspan haunch is larger.</t>
  </si>
  <si>
    <t>3. Build-up dimensions and case</t>
  </si>
  <si>
    <t>Dims B, C and D are the haunch over the beam centerline at the begin bearing, midspan and end bearing. The build-up case follows the BCC template rule using the vertical-curve mid-ordinate of the FGE over the beam centerline:</t>
  </si>
  <si>
    <t>A straight PGL in each span gives R_m = 0, so every beam is Case 1.</t>
  </si>
  <si>
    <t>Net camber (Mathcad NetCamber)</t>
  </si>
  <si>
    <t>Sp1_C, Sp2_C</t>
  </si>
  <si>
    <t>Common support drop</t>
  </si>
  <si>
    <t>Sup_Drop</t>
  </si>
  <si>
    <t>td, db, hreq</t>
  </si>
  <si>
    <t>Deck thickness, beam depth, minimum haunch</t>
  </si>
  <si>
    <t>Deck_T, Bm_D, Bm_Hmin</t>
  </si>
  <si>
    <t>ft, ft, in</t>
  </si>
  <si>
    <t>m, W</t>
  </si>
  <si>
    <t>Haunch curvature term and its maximum on the beam</t>
  </si>
  <si>
    <t>Sp1_m, Sp1_W ...</t>
  </si>
  <si>
    <t>B, C, D dims</t>
  </si>
  <si>
    <t>Build-up over CL beam at begin, mid, end</t>
  </si>
  <si>
    <t>Camber &amp; Haunch section D</t>
  </si>
  <si>
    <t>Finished Grade Elevations</t>
  </si>
  <si>
    <t>FGE = PGL(s) + delta(y) at every line and station (top of deck)</t>
  </si>
  <si>
    <t>delta(y) (ft)</t>
  </si>
  <si>
    <t>FFBW EB 1</t>
  </si>
  <si>
    <t>CL Brg</t>
  </si>
  <si>
    <t>1</t>
  </si>
  <si>
    <t>2</t>
  </si>
  <si>
    <t>3</t>
  </si>
  <si>
    <t>4</t>
  </si>
  <si>
    <t>5</t>
  </si>
  <si>
    <t>6</t>
  </si>
  <si>
    <t>7</t>
  </si>
  <si>
    <t>8</t>
  </si>
  <si>
    <t>9</t>
  </si>
  <si>
    <t>CL Pier</t>
  </si>
  <si>
    <t>Deck present?</t>
  </si>
  <si>
    <t>PGL elevation (ft)</t>
  </si>
  <si>
    <t>Left coping (deck edge)</t>
  </si>
  <si>
    <t>CL Beam 1-1</t>
  </si>
  <si>
    <t>PGL</t>
  </si>
  <si>
    <t>CL Beam 1-2</t>
  </si>
  <si>
    <t>Right coping (deck edge)</t>
  </si>
  <si>
    <t>Increment (ft)</t>
  </si>
  <si>
    <t>FFBW EB 2</t>
  </si>
  <si>
    <t>CL Beam 2-1</t>
  </si>
  <si>
    <t>CL Beam 2-2</t>
  </si>
  <si>
    <t>FGE - Method</t>
  </si>
  <si>
    <t>Finished grade elevations at every line and station</t>
  </si>
  <si>
    <t>1. Stations</t>
  </si>
  <si>
    <t>Each span lists its datum, the two CL bearings and equal increments between bearings (tenth points with the default 10 increments):</t>
  </si>
  <si>
    <t>2. Elevations</t>
  </si>
  <si>
    <t>Lines are the two deck edges (copings) at y = yc +/- W/2, each beam centerline and the PGL. The FFBW columns are the PGL extended: the deck itself ends 3 in inside each FFBW (row "Deck present?"). Station labels use the notebook format (hundredths, e.g. 16+46.96).</t>
  </si>
  <si>
    <t>Figure 1. FGE grid for Span 1 in plan.</t>
  </si>
  <si>
    <t>A barrier-face (gutter) line is not tabulated: the notebook does not define the barrier. Add the barrier to the notebook CONFIG first if that line is wanted.</t>
  </si>
  <si>
    <t>Increments between bearings</t>
  </si>
  <si>
    <t>10</t>
  </si>
  <si>
    <t>W, yc</t>
  </si>
  <si>
    <t>Deck width and center offset</t>
  </si>
  <si>
    <t>Deck_W, Deck_C</t>
  </si>
  <si>
    <t>δ(y)</t>
  </si>
  <si>
    <t>Cross-slope drop at the line offset</t>
  </si>
  <si>
    <t>FGE column D</t>
  </si>
  <si>
    <t>Pad-top planes, bearing slopes, pedestal tops and pedestal corner elevations</t>
  </si>
  <si>
    <t>A. Seat plane at each bearing (soffit chord over the pad length)</t>
  </si>
  <si>
    <t>Support</t>
  </si>
  <si>
    <t>Face</t>
  </si>
  <si>
    <t>Beam ID</t>
  </si>
  <si>
    <t>CL brg s (ft)</t>
  </si>
  <si>
    <t>Pad L (in)</t>
  </si>
  <si>
    <t>Pad T (in)</t>
  </si>
  <si>
    <t>s lo (ft)</t>
  </si>
  <si>
    <t>s hi (ft)</t>
  </si>
  <si>
    <t>t lo</t>
  </si>
  <si>
    <t>t hi</t>
  </si>
  <si>
    <t>t brg</t>
  </si>
  <si>
    <t>Soffit @ s lo</t>
  </si>
  <si>
    <t>Soffit @ s hi</t>
  </si>
  <si>
    <t>Soffit @ CL brg</t>
  </si>
  <si>
    <t>Pad-top plane (ft)</t>
  </si>
  <si>
    <t>Bearing slope</t>
  </si>
  <si>
    <t>Chord gap (in)</t>
  </si>
  <si>
    <t>Pedestal top @ CL brg (ft)</t>
  </si>
  <si>
    <t>Pad on beam</t>
  </si>
  <si>
    <t>Start</t>
  </si>
  <si>
    <t>End</t>
  </si>
  <si>
    <t>B. End-bent pedestal tops: plane of the seat, level transversely (A/C back edge at FFBW, B/D span-side edge)</t>
  </si>
  <si>
    <t>Back edge s (ft)</t>
  </si>
  <si>
    <t>Front edge s (ft)</t>
  </si>
  <si>
    <t>Ped. top @ CL brg</t>
  </si>
  <si>
    <t>Slope</t>
  </si>
  <si>
    <t>EL A</t>
  </si>
  <si>
    <t>EL B</t>
  </si>
  <si>
    <t>EL C</t>
  </si>
  <si>
    <t>EL D</t>
  </si>
  <si>
    <t>Pad inside pedestal</t>
  </si>
  <si>
    <t>C. Pier pedestal tops: Span 1 seat plane, straight transition between pad ends (E to F), Span 2 seat plane</t>
  </si>
  <si>
    <t>s A/C face (ft)</t>
  </si>
  <si>
    <t>s E pad end (ft)</t>
  </si>
  <si>
    <t>s F pad start (ft)</t>
  </si>
  <si>
    <t>s B/D face (ft)</t>
  </si>
  <si>
    <t>EL A = EL C</t>
  </si>
  <si>
    <t>EL E</t>
  </si>
  <si>
    <t>EL F</t>
  </si>
  <si>
    <t>EL B = EL D</t>
  </si>
  <si>
    <t>EL @ CL pier</t>
  </si>
  <si>
    <t>Order check</t>
  </si>
  <si>
    <t>Beam line 1</t>
  </si>
  <si>
    <t>Beam line 2</t>
  </si>
  <si>
    <t>D. Bearing plate data (template method; slope from the notebook seat plane)</t>
  </si>
  <si>
    <t>Brg plate mark</t>
  </si>
  <si>
    <t>Plan view case</t>
  </si>
  <si>
    <t>Slope (%)</t>
  </si>
  <si>
    <t>Beveled plate req.</t>
  </si>
  <si>
    <t>C (in)</t>
  </si>
  <si>
    <t>X (in)</t>
  </si>
  <si>
    <t>Y (in)</t>
  </si>
  <si>
    <t>Pad dims match type</t>
  </si>
  <si>
    <t>1-1-1</t>
  </si>
  <si>
    <t>1-2-1</t>
  </si>
  <si>
    <t>1-1-2</t>
  </si>
  <si>
    <t>1-2-2</t>
  </si>
  <si>
    <t>2-1-1</t>
  </si>
  <si>
    <t>2-2-1</t>
  </si>
  <si>
    <t>2-1-2</t>
  </si>
  <si>
    <t>2-2-2</t>
  </si>
  <si>
    <t>Bearing Seats - Method</t>
  </si>
  <si>
    <t>Seat planes, bearing slopes, pedestal tops and bearing plate data</t>
  </si>
  <si>
    <t>1. Seat plane over the pad</t>
  </si>
  <si>
    <t>The pad top is the chord of the cambered soffit between the pad ends, so the pad bears on a plane rather than a point. The chord gap at the bearing centerline is reported (it is a few millionths of an inch):</t>
  </si>
  <si>
    <t>Figure 1. Pad-top plane chords the soffit (curvature exaggerated).</t>
  </si>
  <si>
    <t>2. Pedestal tops</t>
  </si>
  <si>
    <t>Each pedestal top is the seat plane extended longitudinally and level transversely (3/4 in bevels at the transverse edges). End-bent pedestals run from the FFBW (corners A, C) to the span-side face (corners B, D). The pier carries one pedestal per beam line: Span 1 seat plane up to the Span 1 pad end (E), a straight transition to the Span 2 pad start (F), then the Span 2 seat plane.</t>
  </si>
  <si>
    <t>Figure 2. Corner letters used in the CAD pedestal tables.</t>
  </si>
  <si>
    <t>Figure 3. Pier pedestal top along a beam line from the notebook model.</t>
  </si>
  <si>
    <t>3. Bearing plate data (BCC template rule)</t>
  </si>
  <si>
    <t>Difference from the BCC template: the template levels seats when |slope| &lt; 0.5%. The notebook slopes every seat to the actual soffit chord, so the pedestal tops here follow the notebook. All current slopes are well below the 2% beveled-plate limit.</t>
  </si>
  <si>
    <t>Lp, tp</t>
  </si>
  <si>
    <t>Pad length and thickness</t>
  </si>
  <si>
    <t>EB1_PadL, EB1_Pad, Pier_PadL, Pier_Pad</t>
  </si>
  <si>
    <t>β</t>
  </si>
  <si>
    <t>Bearing (seat) slope, + up-station</t>
  </si>
  <si>
    <t>Bearing Seats col T</t>
  </si>
  <si>
    <t>zped</t>
  </si>
  <si>
    <t>Pedestal top at CL bearing</t>
  </si>
  <si>
    <t>Bearing Seats col V</t>
  </si>
  <si>
    <t>Cap tops from the lowest pedestal, pedestal heights, cap corners and pile cutoffs</t>
  </si>
  <si>
    <t>A. Cap placement</t>
  </si>
  <si>
    <t>Datum station</t>
  </si>
  <si>
    <t>Cap CL station</t>
  </si>
  <si>
    <t>Cap width (ft)</t>
  </si>
  <si>
    <t>Cap depth (ft)</t>
  </si>
  <si>
    <t>Piles</t>
  </si>
  <si>
    <t>Pile size (in)</t>
  </si>
  <si>
    <t>Pile spacing (ft)</t>
  </si>
  <si>
    <t>Pile end clear (in)</t>
  </si>
  <si>
    <t>Cap length (ft)</t>
  </si>
  <si>
    <t>Length check</t>
  </si>
  <si>
    <t>Center offset</t>
  </si>
  <si>
    <t>Cross slope</t>
  </si>
  <si>
    <t>Min ped. (in)</t>
  </si>
  <si>
    <t>Fixed top</t>
  </si>
  <si>
    <t>Lowest seat basis (ft)</t>
  </si>
  <si>
    <t>Cap top (ft)</t>
  </si>
  <si>
    <t>Cap underside (ft)</t>
  </si>
  <si>
    <t>Cap volume (ft3)</t>
  </si>
  <si>
    <t>Embedment (in)</t>
  </si>
  <si>
    <t>Embedment check</t>
  </si>
  <si>
    <t>CAD note: the FreeCAD model adopted a 235-in end-cap body (251 in with two 8-in cheeks) under D-026/D-027. The notebook still derives the end-cap length from its pile layout; a separate task is bringing the end caps and cheek walls into the notebook. Elevations are unaffected while caps are level.</t>
  </si>
  <si>
    <t>B. Pedestal heights at CL bearing</t>
  </si>
  <si>
    <t>Local cap top</t>
  </si>
  <si>
    <t>Pedestal height (in)</t>
  </si>
  <si>
    <t>&gt;= minimum</t>
  </si>
  <si>
    <t>C. Pedestal bevel and footprint checks</t>
  </si>
  <si>
    <t>Lowest pedestal top (ft)</t>
  </si>
  <si>
    <t>Chamfer (in)</t>
  </si>
  <si>
    <t>Cap top at pedestal edge</t>
  </si>
  <si>
    <t>Bevel clears cap</t>
  </si>
  <si>
    <t>Pedestal within cap length</t>
  </si>
  <si>
    <t>D. Cap corner elevations (transverse section)</t>
  </si>
  <si>
    <t>Corner</t>
  </si>
  <si>
    <t>Elevation (ft)</t>
  </si>
  <si>
    <t>TL</t>
  </si>
  <si>
    <t>TR</t>
  </si>
  <si>
    <t>BR</t>
  </si>
  <si>
    <t>BL</t>
  </si>
  <si>
    <t>E. Pile layout and cutoff elevations (cutoff = local cap top - cap depth + embedment)</t>
  </si>
  <si>
    <t>Pile</t>
  </si>
  <si>
    <t>Size (in)</t>
  </si>
  <si>
    <t>Shape</t>
  </si>
  <si>
    <t>Cap underside</t>
  </si>
  <si>
    <t>Pile cutoff (ft)</t>
  </si>
  <si>
    <t>Trial tip (ft)</t>
  </si>
  <si>
    <t>pipe</t>
  </si>
  <si>
    <t>square</t>
  </si>
  <si>
    <t>Substructure - Method</t>
  </si>
  <si>
    <t>Cap placement, pedestal heights, cap corners and pile cutoffs</t>
  </si>
  <si>
    <t>1. Cap location and length</t>
  </si>
  <si>
    <t>2. Cap top from the lowest pedestal</t>
  </si>
  <si>
    <t>Unless a fixed cap top is entered, the cap top is set so the lowest pedestal (measured at its CL bearing) has the minimum height:</t>
  </si>
  <si>
    <t>3. Piles</t>
  </si>
  <si>
    <t>Figure 1. End Bent 1 transverse section from the notebook model.</t>
  </si>
  <si>
    <t>Figure 2. Pier transverse section from the notebook model.</t>
  </si>
  <si>
    <t>CAD adopted a 235-in end-cap body (251 in with two 8-in cheeks) under D-026/D-027. The notebook, which governs, still derives the end-cap length from its pile layout. A separate task is bringing the end caps and cheek walls into the notebook; rebuild this workbook afterwards. Elevations are unaffected while the caps are level.</t>
  </si>
  <si>
    <t>σ, yc</t>
  </si>
  <si>
    <t>Cap cross slope and center offset</t>
  </si>
  <si>
    <t>Pier_Slope, Pier_Ctr ...</t>
  </si>
  <si>
    <t>ft/ft, ft</t>
  </si>
  <si>
    <t>hped,min</t>
  </si>
  <si>
    <t>Pier_Reveal, EB1_Reveal</t>
  </si>
  <si>
    <t>n, p, dp, c</t>
  </si>
  <si>
    <t>Pile count, spacing, size and end clearance</t>
  </si>
  <si>
    <t>Substructure section A</t>
  </si>
  <si>
    <t>-, ft, in, in</t>
  </si>
  <si>
    <t>eemb</t>
  </si>
  <si>
    <t>Pile embedment above the cap underside</t>
  </si>
  <si>
    <t>Pier_Emb, EB1_Emb</t>
  </si>
  <si>
    <t>Bars 5K spacing zones (Mathcad stirrup layout) and FIB standard bar dimensions (template method)</t>
  </si>
  <si>
    <t>A. Bars 5K zones by span: Mathcad stirrup zones mapped to the FDOT S*, Sj, S1-S4 notation</t>
  </si>
  <si>
    <t>S* spaces</t>
  </si>
  <si>
    <t>V* (in)</t>
  </si>
  <si>
    <t>Sj spaces</t>
  </si>
  <si>
    <t>Vj (in)</t>
  </si>
  <si>
    <t>S1</t>
  </si>
  <si>
    <t>V1 (in)</t>
  </si>
  <si>
    <t>S2</t>
  </si>
  <si>
    <t>V2 (in)</t>
  </si>
  <si>
    <t>S3</t>
  </si>
  <si>
    <t>V3 (in)</t>
  </si>
  <si>
    <t>V4 (in)</t>
  </si>
  <si>
    <t>First bar from end (in)</t>
  </si>
  <si>
    <t>A1/A2 spacing equal</t>
  </si>
  <si>
    <t>B. Per beam: S4 count, total Bars 5K and standard bar dimensions (square ends)</t>
  </si>
  <si>
    <t>Dim L (ft)</t>
  </si>
  <si>
    <t>Half length (in)</t>
  </si>
  <si>
    <t>Zones S*..S3 (in)</t>
  </si>
  <si>
    <t>S4 spaces</t>
  </si>
  <si>
    <t>Center space (in)</t>
  </si>
  <si>
    <t>Center &lt;= V4</t>
  </si>
  <si>
    <t>Total 5K</t>
  </si>
  <si>
    <t>3C1 C (in)</t>
  </si>
  <si>
    <t>3C2 C (in)</t>
  </si>
  <si>
    <t>3D1 A (in)</t>
  </si>
  <si>
    <t>3D1 B (in)</t>
  </si>
  <si>
    <t>3D2 A (in)</t>
  </si>
  <si>
    <t>3D2 B (in)</t>
  </si>
  <si>
    <t>3D3 No.</t>
  </si>
  <si>
    <t>4M1 D (in)</t>
  </si>
  <si>
    <t>4M2 D (in)</t>
  </si>
  <si>
    <t>4M3 No.</t>
  </si>
  <si>
    <t>Beam Data - Method</t>
  </si>
  <si>
    <t>Bars 5K spacing zones and FIB standard bar dimensions</t>
  </si>
  <si>
    <t>1. Mapping the Mathcad stirrup layout to FDOT notation</t>
  </si>
  <si>
    <t>The Mathcad stirrup design gives zones A1-A3 and S1-S4 for half the beam. They map to the FIB Bars 5K table columns as follows; zones A1 and A2 share the 3.5 in spacing and together form S*, and A3 forms Sj (FIB-36 standard: S* = 4, Sj = 12):</t>
  </si>
  <si>
    <t>S*, V*</t>
  </si>
  <si>
    <t>A1 + A2 spaces at the A1 spacing</t>
  </si>
  <si>
    <t>MC1_A1_n + MC1_A2_n, MC1_A1_s</t>
  </si>
  <si>
    <t>4 @ 3.5 in</t>
  </si>
  <si>
    <t>Sj, Vj</t>
  </si>
  <si>
    <t>A3 spaces and spacing</t>
  </si>
  <si>
    <t>MC1_A3_n, MC1_A3_s</t>
  </si>
  <si>
    <t>12 @ 3 in</t>
  </si>
  <si>
    <t>S1-S3, V1-V3</t>
  </si>
  <si>
    <t>Mathcad zones S1-S3</t>
  </si>
  <si>
    <t>MC1_S1_n ... MC1_S3_s</t>
  </si>
  <si>
    <t>30@6, 20@9, 5@12 in</t>
  </si>
  <si>
    <t>S4, V4</t>
  </si>
  <si>
    <t>Remaining spaces to midspan at V4</t>
  </si>
  <si>
    <t>computed here</t>
  </si>
  <si>
    <t>@ 18 in</t>
  </si>
  <si>
    <t>es</t>
  </si>
  <si>
    <t>Beam end to first stirrup (Mathcad EndSpace)</t>
  </si>
  <si>
    <t>MC1_EndSp</t>
  </si>
  <si>
    <t>3 in</t>
  </si>
  <si>
    <t>Figure 1. Bars 5K zones along one half of a Span 1 beam (S4 shown for the current beam length).</t>
  </si>
  <si>
    <t>2. Standard bar dimensions (BCC template constants, square ends)</t>
  </si>
  <si>
    <t>These constants and counts reproduce the BCC example workbook formulas (FIB standard bar bending). The template used a 2.5 in end distance; this workbook uses the Mathcad EndSpace. Verify against the current FDOT FIB standard plans before issue.</t>
  </si>
  <si>
    <t>Vertical Clearance</t>
  </si>
  <si>
    <t>Beam bottom minus roadway profile, minimized exactly on every roadway segment under a beam</t>
  </si>
  <si>
    <t>A. Result</t>
  </si>
  <si>
    <t>Minimum vertical clearance (ft)</t>
  </si>
  <si>
    <t>Coverage note: the XML profile ends before the bridge does; the notebook reports "Covered region only" and never extrapolates. Clearance is evaluated only where a beam exists.</t>
  </si>
  <si>
    <t>Station of minimum (ft)</t>
  </si>
  <si>
    <t>Required clearance (ft)</t>
  </si>
  <si>
    <t>Margin (ft)</t>
  </si>
  <si>
    <t>Roadway coverage of the bridge length (ft)</t>
  </si>
  <si>
    <t>Status</t>
  </si>
  <si>
    <t>B. Roadway segments from Geometry Report.xml (as parsed by the notebook)</t>
  </si>
  <si>
    <t>Seg</t>
  </si>
  <si>
    <t>XML start</t>
  </si>
  <si>
    <t>XML end</t>
  </si>
  <si>
    <t>Bridge start (ft)</t>
  </si>
  <si>
    <t>Bridge end (ft)</t>
  </si>
  <si>
    <t>z start (ft)</t>
  </si>
  <si>
    <t>Grade</t>
  </si>
  <si>
    <t>Quad (1/ft)</t>
  </si>
  <si>
    <t>Overlap with bridge (ft)</t>
  </si>
  <si>
    <t>C. Clearance on each roadway segment piece under a beam (exact minimum of a quadratic)</t>
  </si>
  <si>
    <t>Piece</t>
  </si>
  <si>
    <t>s a</t>
  </si>
  <si>
    <t>s b</t>
  </si>
  <si>
    <t>s mid</t>
  </si>
  <si>
    <t>road a</t>
  </si>
  <si>
    <t>road mid</t>
  </si>
  <si>
    <t>road b</t>
  </si>
  <si>
    <t>bottom a</t>
  </si>
  <si>
    <t>bottom mid</t>
  </si>
  <si>
    <t>bottom b</t>
  </si>
  <si>
    <t>c a</t>
  </si>
  <si>
    <t>c mid</t>
  </si>
  <si>
    <t>c b</t>
  </si>
  <si>
    <t>A</t>
  </si>
  <si>
    <t>B</t>
  </si>
  <si>
    <t>t*</t>
  </si>
  <si>
    <t>c*</t>
  </si>
  <si>
    <t>c min (ft)</t>
  </si>
  <si>
    <t>s at min (ft)</t>
  </si>
  <si>
    <t>Clearance - Method</t>
  </si>
  <si>
    <t>Minimum vertical clearance between the beam bottoms and the roadway profile</t>
  </si>
  <si>
    <t>Clearance is the beam bottom minus the roadway elevation directly below, evaluated only where a beam exists (beam ends and the open pier joint are excluded). The roadway comes from Geometry Report.xml, mapped to bridge stations by the notebook assumption (bridge station at XML zero = Rd_Shift).</t>
  </si>
  <si>
    <t>On every roadway segment piece under a beam both terms are quadratic, so c is quadratic. Fitting it through the piece ends and midpoint gives the exact minimum:</t>
  </si>
  <si>
    <t>Figure 1. Beam bottoms, roadway profile and the clearance envelope.</t>
  </si>
  <si>
    <t>Current: minimum 18.3616 ft at 16+99.46 (required 17 ft). The XML covers 207.232 of 212.250 ft, so the status is "Covered region only" (no extrapolation).</t>
  </si>
  <si>
    <t>FINISH GRADE ELEVATIONS</t>
  </si>
  <si>
    <t>Place these tables into CADD. Elevations in feet at top of deck.</t>
  </si>
  <si>
    <t>FINISH GRADE ELEVATIONS - SPAN 1</t>
  </si>
  <si>
    <t>LOCATION</t>
  </si>
  <si>
    <t>INCR. DIST (ft)</t>
  </si>
  <si>
    <t>CL BRG</t>
  </si>
  <si>
    <t>CL PIER</t>
  </si>
  <si>
    <t>STATION</t>
  </si>
  <si>
    <t>LEFT COPING (DECK EDGE)</t>
  </si>
  <si>
    <t>CL BEAM 1-1</t>
  </si>
  <si>
    <t>CL BEAM 1-2</t>
  </si>
  <si>
    <t>RIGHT COPING (DECK EDGE)</t>
  </si>
  <si>
    <t>FFBW columns are the PGL extended; the deck ends 3 in inside each FFBW.</t>
  </si>
  <si>
    <t>FINISH GRADE ELEVATIONS - SPAN 2</t>
  </si>
  <si>
    <t>CL BEAM 2-1</t>
  </si>
  <si>
    <t>CL BEAM 2-2</t>
  </si>
  <si>
    <t>CAD FGE - Method</t>
  </si>
  <si>
    <t>Finish Grade Elevations table for CADD</t>
  </si>
  <si>
    <t>Each span table lists the increment distance, the station labels and the finished grade elevation of every line, linked directly to the FGE tab. Values keep full precision and display to 0.001 ft. Line names follow the template (copings, CL beams, PGL).</t>
  </si>
  <si>
    <t>Figure 1. Span 2 FGE grid in plan.</t>
  </si>
  <si>
    <t>•  INCR. DIST = (CL brg B - CL brg A)/10.</t>
  </si>
  <si>
    <t>•  FFBW columns are the PGL extended; the deck ends 3 in inside each FFBW.</t>
  </si>
  <si>
    <t>•  The barrier face is not in the notebook, so no gutter/barrier line is listed.</t>
  </si>
  <si>
    <t>BUILD-UP &amp; DEFLECTION DATA TABLE FOR PRESTRESSED I-BEAMS</t>
  </si>
  <si>
    <t>Inches. Build-up over CL beam; deflections + up (Mathcad).</t>
  </si>
  <si>
    <t>TABLE DATE 07/01/17</t>
  </si>
  <si>
    <t>REQUIRED THEORETICAL BUILD-UP OVER CL BEAM</t>
  </si>
  <si>
    <t>NET BEAM CAMBER (PRESTRESS - DEAD LOAD OF BEAM) @ RELEASE</t>
  </si>
  <si>
    <t>NET BEAM CAMBER (PRESTRESS - DEAD LOAD OF BEAM) @ 120 DAYS</t>
  </si>
  <si>
    <t>DEAD LOAD DEFLECTION DURING DECK POUR @ 120 DAYS DIM A</t>
  </si>
  <si>
    <t>BUILD-UP CASE NO.</t>
  </si>
  <si>
    <t>SPAN NO.</t>
  </si>
  <si>
    <t>BEAM NO.</t>
  </si>
  <si>
    <t>AT BEGIN SPAN DIM B</t>
  </si>
  <si>
    <t>AT CL SPAN DIM C</t>
  </si>
  <si>
    <t>AT END SPAN DIM D</t>
  </si>
  <si>
    <t>Dim A is the non-composite (deck pour) deflection. The build-up uses the Mathcad NetCamber = 120-day camber + non-composite DL + composite DL (barrier) deflections, so G - H differs from the camber used by the composite DL deflection.</t>
  </si>
  <si>
    <t>CAD Build-Up - Method</t>
  </si>
  <si>
    <t>Build-Up &amp; Deflection Data Table for prestressed I-beams</t>
  </si>
  <si>
    <t>Dim B, C, D</t>
  </si>
  <si>
    <t>Required theoretical build-up over the CL beam at begin bearing, midspan, end bearing</t>
  </si>
  <si>
    <t>Release</t>
  </si>
  <si>
    <t>Net beam camber (prestress - beam weight) at release: Mathcad max(Defl.release)</t>
  </si>
  <si>
    <t>120 days</t>
  </si>
  <si>
    <t>Net beam camber (prestress - beam weight) at 120 days: Mathcad max(Defl.120day)</t>
  </si>
  <si>
    <t>Dim A</t>
  </si>
  <si>
    <t>Dead load deflection during deck pour: |Mathcad min(Defl.dl.nc)|</t>
  </si>
  <si>
    <t>Case</t>
  </si>
  <si>
    <t>Build-up case from the mid-ordinate rule</t>
  </si>
  <si>
    <t>Camber &amp; Haunch col H</t>
  </si>
  <si>
    <t>The build-up uses the Mathcad NetCamber C, which also subtracts the composite (barrier) dead-load deflection. That is why the 120-day camber minus Dim A is larger than C by the composite deflection.</t>
  </si>
  <si>
    <t>Figure 1. Dims B, C and D over the CL beam (Span 2).</t>
  </si>
  <si>
    <t>FLORIDA-I BEAM - TABLE OF BEAM VARIABLES</t>
  </si>
  <si>
    <t>Dimensions: ft-in split as feet text + inches, as in the BCC template.</t>
  </si>
  <si>
    <t>TABLE DATE 01-01-16</t>
  </si>
  <si>
    <t>BEAM TYPE</t>
  </si>
  <si>
    <t>CONCRETE PROPERTIES</t>
  </si>
  <si>
    <t>STND. PTRN. TYPE</t>
  </si>
  <si>
    <t>END ELEV. COND.</t>
  </si>
  <si>
    <t>PLAN VIEW CASE</t>
  </si>
  <si>
    <t>BRG. PLATE MARK</t>
  </si>
  <si>
    <t>END OF BEAM &amp; BEARING DIMENSIONS</t>
  </si>
  <si>
    <t>BEAM DIMENSIONS</t>
  </si>
  <si>
    <t>REINFORCING STEEL</t>
  </si>
  <si>
    <t>CLASS</t>
  </si>
  <si>
    <t>STRENGTHS (psi)</t>
  </si>
  <si>
    <t>END 1</t>
  </si>
  <si>
    <t>END 2</t>
  </si>
  <si>
    <t>ANGLE PHI</t>
  </si>
  <si>
    <t>DIM P</t>
  </si>
  <si>
    <t>DIM J</t>
  </si>
  <si>
    <t>DIM K1</t>
  </si>
  <si>
    <t>DIM K2</t>
  </si>
  <si>
    <t>DIM L</t>
  </si>
  <si>
    <t>DIM R</t>
  </si>
  <si>
    <t>3C1</t>
  </si>
  <si>
    <t>3C2</t>
  </si>
  <si>
    <t>3D1</t>
  </si>
  <si>
    <t>3D2</t>
  </si>
  <si>
    <t>3D3</t>
  </si>
  <si>
    <t>4M1</t>
  </si>
  <si>
    <t>4M2</t>
  </si>
  <si>
    <t>4M3</t>
  </si>
  <si>
    <t>5K</t>
  </si>
  <si>
    <t>NO. OF SPACES BARS 5K</t>
  </si>
  <si>
    <t>SP. BARS 5K</t>
  </si>
  <si>
    <t>28 DAY</t>
  </si>
  <si>
    <t>RELEASE</t>
  </si>
  <si>
    <t>NO.</t>
  </si>
  <si>
    <t>S4</t>
  </si>
  <si>
    <t>V1</t>
  </si>
  <si>
    <t>Dim L = sloped beam length + shortening R (BCC template rule) - confirm against the current FDOT instructions before issue.</t>
  </si>
  <si>
    <t>Bar dimensions use the BCC template constants for square ends; 3D3 and S4 use the Mathcad first-stirrup distance (EndSpace).</t>
  </si>
  <si>
    <t>Strand pattern type and concrete class are designer assignments on the Inputs tab.</t>
  </si>
  <si>
    <t>CAD Beam Variables - Method</t>
  </si>
  <si>
    <t>Florida-I Beam Table of Beam Variables</t>
  </si>
  <si>
    <t>Beam type, class</t>
  </si>
  <si>
    <t>FIB-36 (Mathcad); concrete class designer input</t>
  </si>
  <si>
    <t>Bm_Type, Des_ConcClass</t>
  </si>
  <si>
    <t>f'c, f'ci</t>
  </si>
  <si>
    <t>Mathcad beam strengths x 1000</t>
  </si>
  <si>
    <t>MC1_fc, MC1_fci</t>
  </si>
  <si>
    <t>psi</t>
  </si>
  <si>
    <t>Stnd. ptrn. type</t>
  </si>
  <si>
    <t>Designer strand-pattern number</t>
  </si>
  <si>
    <t>1 if Dim P = 0, 2 if P &lt; 0, 3 if P &gt; 0</t>
  </si>
  <si>
    <t>Beam Geometry col O</t>
  </si>
  <si>
    <t>Case 1 = square end (zero skew)</t>
  </si>
  <si>
    <t>Brg. plate mark</t>
  </si>
  <si>
    <t>span-beam-end (end 1 = begin, end 2 = end)</t>
  </si>
  <si>
    <t>Angle phi</t>
  </si>
  <si>
    <t>90 deg - skew</t>
  </si>
  <si>
    <t>Beam Geometry cols I, J</t>
  </si>
  <si>
    <t>Dim P, J, K1, K2</t>
  </si>
  <si>
    <t>See Beam Geometry Method</t>
  </si>
  <si>
    <t>Beam Geometry cols K-N</t>
  </si>
  <si>
    <t>in, ft-in</t>
  </si>
  <si>
    <t>Dim L, R</t>
  </si>
  <si>
    <t>Sloped length + R (template) and shortening R</t>
  </si>
  <si>
    <t>Beam Geometry cols R-U</t>
  </si>
  <si>
    <t>ft-in, in</t>
  </si>
  <si>
    <t>3C1 ... 4M3</t>
  </si>
  <si>
    <t>Standard bar dimensions and counts</t>
  </si>
  <si>
    <t>Beam Data section B</t>
  </si>
  <si>
    <t>ft-in, no.</t>
  </si>
  <si>
    <t>5K, S1-S4, V1</t>
  </si>
  <si>
    <t>Total Bars 5K, spaces per zone, V1 spacing</t>
  </si>
  <si>
    <t>Beam Data sections A-B</t>
  </si>
  <si>
    <t>no., in</t>
  </si>
  <si>
    <t>Figure 1. End-of-beam dimensions.</t>
  </si>
  <si>
    <t>Feet-inch values are split into a feet text cell ("1'-") and an inches number, as in the BCC template, so the table pastes into the existing CADD cell layout.</t>
  </si>
  <si>
    <t>BEARING PLATE DATA TABLE - TYPE 2</t>
  </si>
  <si>
    <t>Slope (%) is the notebook seat-plane slope, + up-station.</t>
  </si>
  <si>
    <t>TABLE DATE 07-01-13</t>
  </si>
  <si>
    <t>GENERAL BEARING PLATE DATA</t>
  </si>
  <si>
    <t>BEVELED PLATE REQUIRED (Yes/No)</t>
  </si>
  <si>
    <t>BEVELED PLATE DIMENSIONS (PLATE B) (inches)</t>
  </si>
  <si>
    <t>SPAN NO(s).</t>
  </si>
  <si>
    <t>BEAM NO(s).</t>
  </si>
  <si>
    <t>PAD TYPE</t>
  </si>
  <si>
    <t>BEAM END</t>
  </si>
  <si>
    <t>SLOPE (%)</t>
  </si>
  <si>
    <t>X</t>
  </si>
  <si>
    <t>Y</t>
  </si>
  <si>
    <t>CAD Bearing Plates - Method</t>
  </si>
  <si>
    <t>Bearing Plate Data Table - Type 2</t>
  </si>
  <si>
    <t>span-beam-end</t>
  </si>
  <si>
    <t>Bearing Seats section D</t>
  </si>
  <si>
    <t>Designer input checked against the pad dimension table</t>
  </si>
  <si>
    <t>1 = begin of span, 2 = end of span</t>
  </si>
  <si>
    <t>100 x seat-plane slope beta from the notebook method, + up-station</t>
  </si>
  <si>
    <t>Beveled plate</t>
  </si>
  <si>
    <t>YES when |beta| &gt; 2% (template); C, X, Y only then</t>
  </si>
  <si>
    <t>Figure 1. The slope is the chord of the soffit over the pad length.</t>
  </si>
  <si>
    <t>TOP OF PEDESTAL ELEVATIONS</t>
  </si>
  <si>
    <t>Feet. Corner letters per the Method tab plan view; tops are level transversely.</t>
  </si>
  <si>
    <t>END BENTS</t>
  </si>
  <si>
    <t>END BENT NO.</t>
  </si>
  <si>
    <t>EL. A (FT)</t>
  </si>
  <si>
    <t>EL. B (FT)</t>
  </si>
  <si>
    <t>EL. C (FT)</t>
  </si>
  <si>
    <t>EL. D (FT)</t>
  </si>
  <si>
    <t>PIER (one pedestal per beam line; E and F are the pad-end break lines)</t>
  </si>
  <si>
    <t>PIER NO.</t>
  </si>
  <si>
    <t>BEAM LINE</t>
  </si>
  <si>
    <t>EL. E (FT)</t>
  </si>
  <si>
    <t>EL. F (FT)</t>
  </si>
  <si>
    <t>EL. @ CL PIER</t>
  </si>
  <si>
    <t>CAP AND PILE CUTOFF ELEVATIONS</t>
  </si>
  <si>
    <t>SUPPORT</t>
  </si>
  <si>
    <t>PILE NO.</t>
  </si>
  <si>
    <t>OFFSET (FT)</t>
  </si>
  <si>
    <t>TOP OF CAP</t>
  </si>
  <si>
    <t>BOTTOM OF CAP</t>
  </si>
  <si>
    <t>PILE CUTOFF</t>
  </si>
  <si>
    <t>CAD Pedestal Elevs - Method</t>
  </si>
  <si>
    <t>Top of pedestal, cap and pile cutoff elevations</t>
  </si>
  <si>
    <t>End-bent pedestal tops are planar: A and C on the FFBW edge, B and D on the span-side edge (A, B on the left side of the beam line). Tops are level transversely, so A = C and B = D. The pier pedestal on each beam line is two seat planes joined by a straight transition, so the table adds the break-line elevations E and F and the elevation at the pier centerline.</t>
  </si>
  <si>
    <t>Figure 1. Corner and break-line letters.</t>
  </si>
  <si>
    <t>Figure 2. Pier pedestal top along a beam line.</t>
  </si>
  <si>
    <t>Cap tops, undersides and pile cutoffs come from the Substructure tab (cutoff = local cap top - cap depth + embedment).</t>
  </si>
  <si>
    <t>Figure 3. Pier section.</t>
  </si>
  <si>
    <t>QC - workbook vs. notebook</t>
  </si>
  <si>
    <t>Workbook formulas against the geometry notebook values captured at build time</t>
  </si>
  <si>
    <t>A. Numerical agreement with the notebook model and Mathcad</t>
  </si>
  <si>
    <t>Workbook value</t>
  </si>
  <si>
    <t>Notebook / source value</t>
  </si>
  <si>
    <t>Difference</t>
  </si>
  <si>
    <t>Tolerance</t>
  </si>
  <si>
    <t>Grade 1</t>
  </si>
  <si>
    <t>Grade 2</t>
  </si>
  <si>
    <t>PI elevation (ft)</t>
  </si>
  <si>
    <t>Span 1 bearing A station</t>
  </si>
  <si>
    <t>Span 1 bearing B station</t>
  </si>
  <si>
    <t>Span 1 beam start</t>
  </si>
  <si>
    <t>Span 1 beam end</t>
  </si>
  <si>
    <t>Span 1 PGL at bearing A</t>
  </si>
  <si>
    <t>Span 1 PGL at bearing B</t>
  </si>
  <si>
    <t>Span 2 bearing A station</t>
  </si>
  <si>
    <t>Span 2 bearing B station</t>
  </si>
  <si>
    <t>Span 2 beam start</t>
  </si>
  <si>
    <t>Span 2 beam end</t>
  </si>
  <si>
    <t>Span 2 PGL at bearing A</t>
  </si>
  <si>
    <t>Span 2 PGL at bearing B</t>
  </si>
  <si>
    <t>Minimum flange haunch, bridge (in)</t>
  </si>
  <si>
    <t>Haunch @ CL beam 1-1 Begin brg (in)</t>
  </si>
  <si>
    <t>Min flange haunch 1-1 Begin brg (in)</t>
  </si>
  <si>
    <t>Haunch @ CL beam 1-1 Midspan (in)</t>
  </si>
  <si>
    <t>Min flange haunch 1-1 Midspan (in)</t>
  </si>
  <si>
    <t>Haunch @ CL beam 1-1 End brg (in)</t>
  </si>
  <si>
    <t>Min flange haunch 1-1 End brg (in)</t>
  </si>
  <si>
    <t>Haunch @ CL beam 1-2 Begin brg (in)</t>
  </si>
  <si>
    <t>Min flange haunch 1-2 Begin brg (in)</t>
  </si>
  <si>
    <t>Haunch @ CL beam 1-2 Midspan (in)</t>
  </si>
  <si>
    <t>Min flange haunch 1-2 Midspan (in)</t>
  </si>
  <si>
    <t>Haunch @ CL beam 1-2 End brg (in)</t>
  </si>
  <si>
    <t>Min flange haunch 1-2 End brg (in)</t>
  </si>
  <si>
    <t>Haunch @ CL beam 2-1 Begin brg (in)</t>
  </si>
  <si>
    <t>Min flange haunch 2-1 Begin brg (in)</t>
  </si>
  <si>
    <t>Haunch @ CL beam 2-1 Midspan (in)</t>
  </si>
  <si>
    <t>Min flange haunch 2-1 Midspan (in)</t>
  </si>
  <si>
    <t>Haunch @ CL beam 2-1 End brg (in)</t>
  </si>
  <si>
    <t>Min flange haunch 2-1 End brg (in)</t>
  </si>
  <si>
    <t>Haunch @ CL beam 2-2 Begin brg (in)</t>
  </si>
  <si>
    <t>Min flange haunch 2-2 Begin brg (in)</t>
  </si>
  <si>
    <t>Haunch @ CL beam 2-2 Midspan (in)</t>
  </si>
  <si>
    <t>Min flange haunch 2-2 Midspan (in)</t>
  </si>
  <si>
    <t>Haunch @ CL beam 2-2 End brg (in)</t>
  </si>
  <si>
    <t>Min flange haunch 2-2 End brg (in)</t>
  </si>
  <si>
    <t>Pier cap top (ft)</t>
  </si>
  <si>
    <t>Pier cap CL station (ft)</t>
  </si>
  <si>
    <t>Pier cap length (ft)</t>
  </si>
  <si>
    <t>Pier seat 1-1 pedestal top (ft)</t>
  </si>
  <si>
    <t>Pier seat 1-1 bearing slope</t>
  </si>
  <si>
    <t>Pier seat 1-1 pad-top plane (ft)</t>
  </si>
  <si>
    <t>Pier seat 1-1 pedestal height (in)</t>
  </si>
  <si>
    <t>Pier seat 1-2 pedestal top (ft)</t>
  </si>
  <si>
    <t>Pier seat 1-2 bearing slope</t>
  </si>
  <si>
    <t>Pier seat 1-2 pad-top plane (ft)</t>
  </si>
  <si>
    <t>Pier seat 1-2 pedestal height (in)</t>
  </si>
  <si>
    <t>Pier seat 2-1 pedestal top (ft)</t>
  </si>
  <si>
    <t>Pier seat 2-1 bearing slope</t>
  </si>
  <si>
    <t>Pier seat 2-1 pad-top plane (ft)</t>
  </si>
  <si>
    <t>Pier seat 2-1 pedestal height (in)</t>
  </si>
  <si>
    <t>Pier seat 2-2 pedestal top (ft)</t>
  </si>
  <si>
    <t>Pier seat 2-2 bearing slope</t>
  </si>
  <si>
    <t>Pier seat 2-2 pad-top plane (ft)</t>
  </si>
  <si>
    <t>Pier seat 2-2 pedestal height (in)</t>
  </si>
  <si>
    <t>Pier pile 1 offset (ft)</t>
  </si>
  <si>
    <t>Pier pile 1 cutoff (ft)</t>
  </si>
  <si>
    <t>Pier pile 2 offset (ft)</t>
  </si>
  <si>
    <t>Pier pile 2 cutoff (ft)</t>
  </si>
  <si>
    <t>Pier pile 3 offset (ft)</t>
  </si>
  <si>
    <t>Pier pile 3 cutoff (ft)</t>
  </si>
  <si>
    <t>Pier pile 4 offset (ft)</t>
  </si>
  <si>
    <t>Pier pile 4 cutoff (ft)</t>
  </si>
  <si>
    <t>Pier pedestal line 1 EL A/C (ft)</t>
  </si>
  <si>
    <t>Pier pedestal line 1 EL E (ft)</t>
  </si>
  <si>
    <t>Pier pedestal line 1 EL F (ft)</t>
  </si>
  <si>
    <t>Pier pedestal line 1 EL B/D (ft)</t>
  </si>
  <si>
    <t>Pier pedestal line 2 EL A/C (ft)</t>
  </si>
  <si>
    <t>Pier pedestal line 2 EL E (ft)</t>
  </si>
  <si>
    <t>Pier pedestal line 2 EL F (ft)</t>
  </si>
  <si>
    <t>Pier pedestal line 2 EL B/D (ft)</t>
  </si>
  <si>
    <t>End Bent 1 cap top (ft)</t>
  </si>
  <si>
    <t>End Bent 1 cap CL station (ft)</t>
  </si>
  <si>
    <t>End Bent 1 cap length (ft)</t>
  </si>
  <si>
    <t>End Bent 1 seat 1-1 pedestal top (ft)</t>
  </si>
  <si>
    <t>End Bent 1 seat 1-1 bearing slope</t>
  </si>
  <si>
    <t>End Bent 1 seat 1-1 pad-top plane (ft)</t>
  </si>
  <si>
    <t>End Bent 1 seat 1-1 pedestal height (in)</t>
  </si>
  <si>
    <t>End Bent 1 seat 1-2 pedestal top (ft)</t>
  </si>
  <si>
    <t>End Bent 1 seat 1-2 bearing slope</t>
  </si>
  <si>
    <t>End Bent 1 seat 1-2 pad-top plane (ft)</t>
  </si>
  <si>
    <t>End Bent 1 seat 1-2 pedestal height (in)</t>
  </si>
  <si>
    <t>End Bent 1 pile 1 offset (ft)</t>
  </si>
  <si>
    <t>End Bent 1 pile 1 cutoff (ft)</t>
  </si>
  <si>
    <t>End Bent 1 pile 2 offset (ft)</t>
  </si>
  <si>
    <t>End Bent 1 pile 2 cutoff (ft)</t>
  </si>
  <si>
    <t>End Bent 1 pile 3 offset (ft)</t>
  </si>
  <si>
    <t>End Bent 1 pile 3 cutoff (ft)</t>
  </si>
  <si>
    <t>End Bent 1 pile 4 offset (ft)</t>
  </si>
  <si>
    <t>End Bent 1 pile 4 cutoff (ft)</t>
  </si>
  <si>
    <t>End Bent 1 pedestal 1 EL A (ft)</t>
  </si>
  <si>
    <t>End Bent 1 pedestal 1 EL B (ft)</t>
  </si>
  <si>
    <t>End Bent 1 pedestal 2 EL A (ft)</t>
  </si>
  <si>
    <t>End Bent 1 pedestal 2 EL B (ft)</t>
  </si>
  <si>
    <t>End Bent 2 cap top (ft)</t>
  </si>
  <si>
    <t>End Bent 2 cap CL station (ft)</t>
  </si>
  <si>
    <t>End Bent 2 cap length (ft)</t>
  </si>
  <si>
    <t>End Bent 2 seat 2-1 pedestal top (ft)</t>
  </si>
  <si>
    <t>End Bent 2 seat 2-1 bearing slope</t>
  </si>
  <si>
    <t>End Bent 2 seat 2-1 pad-top plane (ft)</t>
  </si>
  <si>
    <t>End Bent 2 seat 2-1 pedestal height (in)</t>
  </si>
  <si>
    <t>End Bent 2 seat 2-2 pedestal top (ft)</t>
  </si>
  <si>
    <t>End Bent 2 seat 2-2 bearing slope</t>
  </si>
  <si>
    <t>End Bent 2 seat 2-2 pad-top plane (ft)</t>
  </si>
  <si>
    <t>End Bent 2 seat 2-2 pedestal height (in)</t>
  </si>
  <si>
    <t>End Bent 2 pile 1 offset (ft)</t>
  </si>
  <si>
    <t>End Bent 2 pile 1 cutoff (ft)</t>
  </si>
  <si>
    <t>End Bent 2 pile 2 offset (ft)</t>
  </si>
  <si>
    <t>End Bent 2 pile 2 cutoff (ft)</t>
  </si>
  <si>
    <t>End Bent 2 pile 3 offset (ft)</t>
  </si>
  <si>
    <t>End Bent 2 pile 3 cutoff (ft)</t>
  </si>
  <si>
    <t>End Bent 2 pile 4 offset (ft)</t>
  </si>
  <si>
    <t>End Bent 2 pile 4 cutoff (ft)</t>
  </si>
  <si>
    <t>End Bent 2 pedestal 1 EL A (ft)</t>
  </si>
  <si>
    <t>End Bent 2 pedestal 1 EL B (ft)</t>
  </si>
  <si>
    <t>End Bent 2 pedestal 2 EL A (ft)</t>
  </si>
  <si>
    <t>End Bent 2 pedestal 2 EL B (ft)</t>
  </si>
  <si>
    <t>Station of minimum clearance (ft)</t>
  </si>
  <si>
    <t>Roadway coverage (ft)</t>
  </si>
  <si>
    <t>Span 1 beam length vs Mathcad L.beam (ft)</t>
  </si>
  <si>
    <t>Span 1 setback vs Mathcad BearingDistance (in)</t>
  </si>
  <si>
    <t>Span 1 deck thickness vs Mathcad t.deck (in)</t>
  </si>
  <si>
    <t>Span 1 beam spacing vs Mathcad (ft, Mathcad rounds)</t>
  </si>
  <si>
    <t>Span 1 camber vs Mathcad NetCamber (in)</t>
  </si>
  <si>
    <t>Span 2 beam length vs Mathcad L.beam (ft)</t>
  </si>
  <si>
    <t>Span 2 setback vs Mathcad BearingDistance (in)</t>
  </si>
  <si>
    <t>Span 2 deck thickness vs Mathcad t.deck (in)</t>
  </si>
  <si>
    <t>Span 2 beam spacing vs Mathcad (ft, Mathcad rounds)</t>
  </si>
  <si>
    <t>Span 2 camber vs Mathcad NetCamber (in)</t>
  </si>
  <si>
    <t>B. FGE grid agreement (every FGE cell)</t>
  </si>
  <si>
    <t>Notebook deck_top snapshot</t>
  </si>
  <si>
    <t>Maximum |FGE workbook - notebook deck_top| (ft)</t>
  </si>
  <si>
    <t>C. Validity checks</t>
  </si>
  <si>
    <t>Brokeback PI not inside any beam (closed-form drop requires a straight PGL per beam)</t>
  </si>
  <si>
    <t>Spans contiguous and covering the profile</t>
  </si>
  <si>
    <t>End-bent records agree with physical beam-end values</t>
  </si>
  <si>
    <t>Pier station at the span joint</t>
  </si>
  <si>
    <t>Span 1 physical layout order</t>
  </si>
  <si>
    <t>Span 2 physical layout order</t>
  </si>
  <si>
    <t>Deflection sum = NetCamber = CONFIG camber (span 1)</t>
  </si>
  <si>
    <t>Deflection sum = NetCamber = CONFIG camber (span 2)</t>
  </si>
  <si>
    <t>All seat, pedestal, plate and cap checks on the calculation tabs</t>
  </si>
  <si>
    <t>Clearance status (informational)</t>
  </si>
  <si>
    <t>Overall</t>
  </si>
  <si>
    <t>QC - Method</t>
  </si>
  <si>
    <t>How the workbook proves it reproduces the notebook</t>
  </si>
  <si>
    <t>Each check passes when the workbook formula result agrees with the independent notebook value within its tolerance:</t>
  </si>
  <si>
    <t>Figure 1. The notebook values are captured by the generator; Excel recomputes the workbook values from the inputs.</t>
  </si>
  <si>
    <t>•  Section A compares each key workbook result with the value the notebook model computed when the workbook was built (blue snapshot column).</t>
  </si>
  <si>
    <t>•  Tolerances are 1e-9 ft for stations and elevations, 1e-6 in for haunch and pedestal heights, and 0.001 ft only where Mathcad rounds the beam spacing.</t>
  </si>
  <si>
    <t>•  Section B compares every FGE cell with the notebook deck_top at the same station and offset (hidden snapshot columns L:M).</t>
  </si>
  <si>
    <t>•  Section C confirms the configuration stays inside what the closed-form Excel formulas represent (profile and deck modes, a straight PGL over each beam, span continuity).</t>
  </si>
  <si>
    <t>•  Overall PASS requires every check to pass. A FAIL after editing an input means the workbook no longer matches the notebook: update CONFIG and rebuild.</t>
  </si>
  <si>
    <t>•  The regression test tests/test_geometry_cad_tables.py also recomputes the notebook model live and compares the saved workbook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</si>
</sst>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
    <numFmt numFmtId="165" formatCode="0.000000"/>
    <numFmt numFmtId="166" formatCode="0.000"/>
    <numFmt numFmtId="167" formatCode="0.0"/>
    <numFmt numFmtId="168" formatCode="0.00000000"/>
    <numFmt numFmtId="169" formatCode="0.00000"/>
    <numFmt numFmtId="170" formatCode="0.000000000"/>
    <numFmt numFmtId="171" formatCode="0.0000000"/>
    <numFmt numFmtId="172" formatCode="0.0000000000"/>
    <numFmt numFmtId="173" formatCode="0.0E+00"/>
  </numFmts>
  <fonts count="15" x14ac:knownFonts="1">
    <font>
      <sz val="11"/>
      <color theme="1"/>
      <name val="Calibri"/>
      <family val="2"/>
      <scheme val="minor"/>
    </font>
    <font>
      <b/>
      <sz val="14"/>
      <color rgb="FF1F2A36"/>
      <name val="Arial"/>
    </font>
    <font>
      <i/>
      <sz val="9"/>
      <color rgb="FF5A6570"/>
      <name val="Arial"/>
    </font>
    <font>
      <b/>
      <sz val="11"/>
      <color rgb="FF1F2A36"/>
      <name val="Arial"/>
    </font>
    <font>
      <b/>
      <sz val="9"/>
      <name val="Arial"/>
    </font>
    <font>
      <sz val="10"/>
      <name val="Arial"/>
    </font>
    <font>
      <sz val="10"/>
      <color rgb="FF0000FF"/>
      <name val="Arial"/>
    </font>
    <font>
      <b/>
      <sz val="16"/>
      <color rgb="FF1F2A36"/>
      <name val="Arial"/>
    </font>
    <font>
      <b/>
      <sz val="12"/>
      <color rgb="FF1F2A36"/>
      <name val="Arial"/>
    </font>
    <font>
      <sz val="10"/>
      <color rgb="FF008000"/>
      <name val="Arial"/>
    </font>
    <font>
      <b/>
      <sz val="9"/>
      <color rgb="FF9C5700"/>
      <name val="Arial"/>
    </font>
    <font>
      <sz val="10"/>
      <color rgb="FF9C5700"/>
      <name val="Arial"/>
    </font>
    <font>
      <b/>
      <sz val="10"/>
      <name val="Arial"/>
    </font>
    <font>
      <b/>
      <sz val="18"/>
      <color rgb="FF1F2A36"/>
      <name val="Arial"/>
    </font>
    <font>
      <u/>
      <sz val="10"/>
      <color rgb="FF2B6CB0"/>
      <name val="Arial"/>
    </font>
  </fonts>
  <fills count="9">
    <fill>
      <patternFill patternType="none"/>
    </fill>
    <fill>
      <patternFill patternType="gray125"/>
    </fill>
    <fill>
      <patternFill patternType="solid">
        <fgColor rgb="FFEEF1F4"/>
      </patternFill>
    </fill>
    <fill>
      <patternFill patternType="solid">
        <fgColor rgb="FFD9E1F2"/>
      </patternFill>
    </fill>
    <fill>
      <patternFill patternType="solid">
        <fgColor rgb="FFFFF2CC"/>
      </patternFill>
    </fill>
    <fill>
      <patternFill patternType="solid">
        <fgColor rgb="FFFFF4E5"/>
      </patternFill>
    </fill>
    <fill>
      <patternFill patternType="solid">
        <fgColor rgb="FFC6EFCE"/>
      </patternFill>
    </fill>
    <fill>
      <patternFill patternType="solid">
        <fgColor rgb="FFFFC7CE"/>
      </patternFill>
    </fill>
    <fill>
      <patternFill patternType="solid">
        <fgColor rgb="FFFFEB9C"/>
      </patternFill>
    </fill>
  </fills>
  <borders count="5">
    <border>
      <left/>
      <right/>
      <top/>
      <bottom/>
      <diagonal/>
    </border>
    <border>
      <left style="thin">
        <color rgb="FF9AA5B1"/>
      </left>
      <right style="thin">
        <color rgb="FF9AA5B1"/>
      </right>
      <top style="thin">
        <color rgb="FF9AA5B1"/>
      </top>
      <bottom style="thin">
        <color rgb="FF9AA5B1"/>
      </bottom>
      <diagonal/>
    </border>
    <border>
      <left/>
      <right style="thin">
        <color rgb="FF9AA5B1"/>
      </right>
      <top style="thin">
        <color rgb="FF9AA5B1"/>
      </top>
      <bottom style="thin">
        <color rgb="FF9AA5B1"/>
      </bottom>
      <diagonal/>
    </border>
    <border>
      <left/>
      <right/>
      <top style="thin">
        <color rgb="FF9AA5B1"/>
      </top>
      <bottom style="thin">
        <color rgb="FF9AA5B1"/>
      </bottom>
      <diagonal/>
    </border>
    <border>
      <left style="thin">
        <color rgb="FF9AA5B1"/>
      </left>
      <right style="thin">
        <color rgb="FF9AA5B1"/>
      </right>
      <top/>
      <bottom style="thin">
        <color rgb="FF9AA5B1"/>
      </bottom>
      <diagonal/>
    </border>
  </borders>
  <cellStyleXfs count="1">
    <xf numFmtId="0" fontId="0" fillId="0" borderId="0"/>
  </cellStyleXfs>
  <cellXfs count="85">
    <xf numFmtId="0" fontId="0" fillId="0" borderId="0" xfId="0"/>
    <xf numFmtId="0" fontId="13" fillId="0" borderId="0" xfId="0" applyFont="1"/>
    <xf numFmtId="0" fontId="9" fillId="0" borderId="0" xfId="0" applyFont="1"/>
    <xf numFmtId="0" fontId="12" fillId="0" borderId="0" xfId="0" applyFont="1" applyAlignment="1">
      <alignment vertical="top" wrapText="1"/>
    </xf>
    <xf numFmtId="0" fontId="5" fillId="0" borderId="0" xfId="0" applyFont="1" applyAlignment="1">
      <alignment vertical="top" wrapText="1"/>
    </xf>
    <xf numFmtId="0" fontId="9" fillId="0" borderId="0" xfId="0" applyFont="1" applyAlignment="1">
      <alignment vertical="top" wrapText="1"/>
    </xf>
    <xf numFmtId="0" fontId="3" fillId="0" borderId="0" xfId="0" applyFont="1"/>
    <xf numFmtId="0" fontId="12" fillId="0" borderId="0" xfId="0" applyFont="1"/>
    <xf numFmtId="0" fontId="2" fillId="0" borderId="0" xfId="0" applyFont="1"/>
    <xf numFmtId="0" fontId="14" fillId="0" borderId="0" xfId="0" applyFont="1"/>
    <xf numFmtId="0" fontId="6" fillId="4" borderId="0" xfId="0" applyFont="1" applyFill="1"/>
    <xf numFmtId="0" fontId="5" fillId="0" borderId="0" xfId="0" applyFont="1"/>
    <xf numFmtId="0" fontId="5" fillId="6" borderId="0" xfId="0" applyFont="1" applyFill="1"/>
    <xf numFmtId="0" fontId="5" fillId="7" borderId="0" xfId="0" applyFont="1" applyFill="1"/>
    <xf numFmtId="0" fontId="5" fillId="8" borderId="0" xfId="0" applyFont="1" applyFill="1"/>
    <xf numFmtId="0" fontId="1" fillId="0" borderId="0" xfId="0" applyFont="1"/>
    <xf numFmtId="0" fontId="2" fillId="0" borderId="0" xfId="0" applyFont="1" applyAlignment="1">
      <alignment vertical="top" wrapText="1"/>
    </xf>
    <xf numFmtId="0" fontId="3" fillId="2" borderId="0" xfId="0" applyFont="1" applyFill="1"/>
    <xf numFmtId="0" fontId="0" fillId="2" borderId="0" xfId="0" applyFill="1"/>
    <xf numFmtId="0" fontId="4" fillId="3" borderId="1" xfId="0" applyFont="1" applyFill="1" applyBorder="1" applyAlignment="1">
      <alignment horizontal="center" vertical="center" wrapText="1"/>
    </xf>
    <xf numFmtId="0" fontId="6" fillId="4" borderId="1" xfId="0" applyFont="1" applyFill="1" applyBorder="1" applyAlignment="1">
      <alignment horizontal="left" wrapText="1"/>
    </xf>
    <xf numFmtId="0" fontId="6" fillId="4" borderId="1" xfId="0" applyFont="1" applyFill="1" applyBorder="1" applyAlignment="1">
      <alignment horizontal="right"/>
    </xf>
    <xf numFmtId="164" fontId="6" fillId="4" borderId="1" xfId="0" applyNumberFormat="1" applyFont="1" applyFill="1" applyBorder="1" applyAlignment="1">
      <alignment horizontal="right"/>
    </xf>
    <xf numFmtId="165" fontId="6" fillId="4" borderId="1" xfId="0" applyNumberFormat="1" applyFont="1" applyFill="1" applyBorder="1" applyAlignment="1">
      <alignment horizontal="right"/>
    </xf>
    <xf numFmtId="164" fontId="5" fillId="0" borderId="1" xfId="0" applyNumberFormat="1" applyFont="1" applyBorder="1" applyAlignment="1">
      <alignment horizontal="right"/>
    </xf>
    <xf numFmtId="166" fontId="6" fillId="4" borderId="1" xfId="0" applyNumberFormat="1" applyFont="1" applyFill="1" applyBorder="1" applyAlignment="1">
      <alignment horizontal="right"/>
    </xf>
    <xf numFmtId="0" fontId="6" fillId="4" borderId="1" xfId="0" applyFont="1" applyFill="1" applyBorder="1"/>
    <xf numFmtId="164" fontId="6" fillId="4" borderId="1" xfId="0" applyNumberFormat="1" applyFont="1" applyFill="1" applyBorder="1"/>
    <xf numFmtId="166" fontId="6" fillId="4" borderId="1" xfId="0" applyNumberFormat="1" applyFont="1" applyFill="1" applyBorder="1"/>
    <xf numFmtId="167" fontId="6" fillId="4" borderId="1" xfId="0" applyNumberFormat="1" applyFont="1" applyFill="1" applyBorder="1"/>
    <xf numFmtId="165" fontId="6" fillId="4" borderId="1" xfId="0" applyNumberFormat="1" applyFont="1" applyFill="1" applyBorder="1"/>
    <xf numFmtId="168" fontId="6" fillId="4" borderId="1" xfId="0" applyNumberFormat="1" applyFont="1" applyFill="1" applyBorder="1"/>
    <xf numFmtId="2" fontId="6" fillId="4" borderId="1" xfId="0" applyNumberFormat="1" applyFont="1" applyFill="1" applyBorder="1"/>
    <xf numFmtId="0" fontId="5" fillId="0" borderId="1" xfId="0" applyFont="1" applyBorder="1" applyAlignment="1">
      <alignment horizontal="right"/>
    </xf>
    <xf numFmtId="169" fontId="6" fillId="4" borderId="0" xfId="0" applyNumberFormat="1" applyFont="1" applyFill="1"/>
    <xf numFmtId="0" fontId="7" fillId="0" borderId="0" xfId="0" applyFont="1"/>
    <xf numFmtId="0" fontId="8" fillId="2" borderId="0" xfId="0" applyFont="1" applyFill="1"/>
    <xf numFmtId="0" fontId="4" fillId="0" borderId="0" xfId="0" applyFont="1"/>
    <xf numFmtId="165" fontId="5" fillId="0" borderId="1" xfId="0" applyNumberFormat="1" applyFont="1" applyBorder="1" applyAlignment="1">
      <alignment horizontal="right"/>
    </xf>
    <xf numFmtId="170" fontId="5" fillId="0" borderId="1" xfId="0" applyNumberFormat="1" applyFont="1" applyBorder="1" applyAlignment="1">
      <alignment horizontal="right"/>
    </xf>
    <xf numFmtId="164" fontId="9" fillId="0" borderId="0" xfId="0" applyNumberFormat="1" applyFont="1"/>
    <xf numFmtId="164" fontId="5" fillId="0" borderId="0" xfId="0" applyNumberFormat="1" applyFont="1"/>
    <xf numFmtId="0" fontId="5" fillId="0" borderId="1" xfId="0" applyFont="1" applyBorder="1" applyAlignment="1">
      <alignment horizontal="center" vertical="center" wrapText="1"/>
    </xf>
    <xf numFmtId="165" fontId="5" fillId="0" borderId="0" xfId="0" applyNumberFormat="1" applyFont="1"/>
    <xf numFmtId="2" fontId="5" fillId="0" borderId="0" xfId="0" applyNumberFormat="1" applyFont="1"/>
    <xf numFmtId="166" fontId="5" fillId="0" borderId="0" xfId="0" applyNumberFormat="1" applyFont="1"/>
    <xf numFmtId="1" fontId="5" fillId="0" borderId="0" xfId="0" applyNumberFormat="1" applyFont="1"/>
    <xf numFmtId="0" fontId="10" fillId="0" borderId="0" xfId="0" applyFont="1"/>
    <xf numFmtId="165" fontId="9" fillId="0" borderId="0" xfId="0" applyNumberFormat="1" applyFont="1"/>
    <xf numFmtId="171" fontId="5" fillId="0" borderId="0" xfId="0" applyNumberFormat="1" applyFont="1"/>
    <xf numFmtId="170" fontId="5" fillId="0" borderId="0" xfId="0" applyNumberFormat="1" applyFont="1"/>
    <xf numFmtId="172" fontId="12" fillId="0" borderId="1" xfId="0" applyNumberFormat="1" applyFont="1" applyBorder="1"/>
    <xf numFmtId="166" fontId="12" fillId="0" borderId="1" xfId="0" applyNumberFormat="1" applyFont="1" applyBorder="1"/>
    <xf numFmtId="166" fontId="9" fillId="0" borderId="0" xfId="0" applyNumberFormat="1" applyFont="1"/>
    <xf numFmtId="0" fontId="5" fillId="0" borderId="0" xfId="0" applyFont="1" applyAlignment="1">
      <alignment horizontal="center" vertical="center" wrapText="1"/>
    </xf>
    <xf numFmtId="0" fontId="2" fillId="0" borderId="0" xfId="0" applyFont="1" applyAlignment="1">
      <alignment horizontal="center" vertical="center" wrapText="1"/>
    </xf>
    <xf numFmtId="164" fontId="5" fillId="0" borderId="1" xfId="0" applyNumberFormat="1" applyFont="1" applyBorder="1"/>
    <xf numFmtId="165" fontId="5" fillId="0" borderId="1" xfId="0" applyNumberFormat="1" applyFont="1" applyBorder="1"/>
    <xf numFmtId="164" fontId="12" fillId="0" borderId="1" xfId="0" applyNumberFormat="1" applyFont="1" applyBorder="1"/>
    <xf numFmtId="0" fontId="12" fillId="0" borderId="1" xfId="0" applyFont="1" applyBorder="1"/>
    <xf numFmtId="165" fontId="6" fillId="4" borderId="0" xfId="0" applyNumberFormat="1" applyFont="1" applyFill="1"/>
    <xf numFmtId="168" fontId="6" fillId="4" borderId="0" xfId="0" applyNumberFormat="1" applyFont="1" applyFill="1"/>
    <xf numFmtId="0" fontId="4" fillId="0" borderId="1" xfId="0" applyFont="1" applyBorder="1" applyAlignment="1">
      <alignment horizontal="center" vertical="center" wrapText="1"/>
    </xf>
    <xf numFmtId="166"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4" fillId="0" borderId="1" xfId="0" applyFont="1" applyBorder="1"/>
    <xf numFmtId="0" fontId="5" fillId="0" borderId="1" xfId="0" applyFont="1" applyBorder="1"/>
    <xf numFmtId="2" fontId="9" fillId="0" borderId="1" xfId="0" applyNumberFormat="1" applyFont="1" applyBorder="1" applyAlignment="1">
      <alignment horizontal="center" vertical="center" wrapText="1"/>
    </xf>
    <xf numFmtId="1" fontId="9" fillId="0" borderId="1" xfId="0" applyNumberFormat="1" applyFont="1" applyBorder="1" applyAlignment="1">
      <alignment horizontal="center" vertical="center" wrapText="1"/>
    </xf>
    <xf numFmtId="170" fontId="9" fillId="0" borderId="0" xfId="0" applyNumberFormat="1" applyFont="1"/>
    <xf numFmtId="170" fontId="6" fillId="4" borderId="0" xfId="0" applyNumberFormat="1" applyFont="1" applyFill="1"/>
    <xf numFmtId="173" fontId="5" fillId="0" borderId="0" xfId="0" applyNumberFormat="1" applyFont="1"/>
    <xf numFmtId="170" fontId="6" fillId="0" borderId="0" xfId="0" applyNumberFormat="1" applyFont="1"/>
    <xf numFmtId="0" fontId="12" fillId="0" borderId="1" xfId="0" applyFont="1" applyBorder="1" applyAlignment="1">
      <alignment horizontal="center" vertical="center" wrapText="1"/>
    </xf>
    <xf numFmtId="0" fontId="2" fillId="0" borderId="0" xfId="0" applyFont="1" applyAlignment="1">
      <alignment vertical="top" wrapText="1"/>
    </xf>
    <xf numFmtId="0" fontId="0" fillId="0" borderId="0" xfId="0"/>
    <xf numFmtId="0" fontId="5" fillId="0" borderId="0" xfId="0" applyFont="1" applyAlignment="1">
      <alignment vertical="top" wrapText="1"/>
    </xf>
    <xf numFmtId="0" fontId="4" fillId="3" borderId="0" xfId="0" applyFont="1" applyFill="1"/>
    <xf numFmtId="0" fontId="0" fillId="3" borderId="0" xfId="0" applyFill="1"/>
    <xf numFmtId="0" fontId="11" fillId="5" borderId="0" xfId="0" applyFont="1" applyFill="1" applyAlignment="1">
      <alignment vertical="top" wrapText="1"/>
    </xf>
    <xf numFmtId="0" fontId="0" fillId="5" borderId="0" xfId="0" applyFill="1"/>
    <xf numFmtId="0" fontId="4" fillId="3" borderId="1" xfId="0" applyFont="1" applyFill="1" applyBorder="1" applyAlignment="1">
      <alignment horizontal="center" vertical="center" wrapText="1"/>
    </xf>
    <xf numFmtId="0" fontId="0" fillId="0" borderId="2" xfId="0" applyBorder="1"/>
    <xf numFmtId="0" fontId="0" fillId="0" borderId="4" xfId="0" applyBorder="1"/>
    <xf numFmtId="0" fontId="0" fillId="0" borderId="3" xfId="0" applyBorder="1"/>
  </cellXfs>
  <cellStyles count="1">
    <cellStyle name="Normal" xfId="0" builtinId="0"/>
  </cellStyles>
  <dxfs count="47">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image" Target="../media/image22.png"/><Relationship Id="rId7" Type="http://schemas.openxmlformats.org/officeDocument/2006/relationships/image" Target="../media/image26.png"/><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25.png"/><Relationship Id="rId5" Type="http://schemas.openxmlformats.org/officeDocument/2006/relationships/image" Target="../media/image24.png"/><Relationship Id="rId4" Type="http://schemas.openxmlformats.org/officeDocument/2006/relationships/image" Target="../media/image23.png"/><Relationship Id="rId9" Type="http://schemas.openxmlformats.org/officeDocument/2006/relationships/image" Target="../media/image28.png"/></Relationships>
</file>

<file path=xl/drawings/_rels/drawing5.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6.xml.rels><?xml version="1.0" encoding="UTF-8" standalone="yes"?>
<Relationships xmlns="http://schemas.openxmlformats.org/package/2006/relationships"><Relationship Id="rId3" Type="http://schemas.openxmlformats.org/officeDocument/2006/relationships/image" Target="../media/image34.png"/><Relationship Id="rId7" Type="http://schemas.openxmlformats.org/officeDocument/2006/relationships/image" Target="../media/image38.png"/><Relationship Id="rId2"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image" Target="../media/image37.png"/><Relationship Id="rId5" Type="http://schemas.openxmlformats.org/officeDocument/2006/relationships/image" Target="../media/image36.png"/><Relationship Id="rId4" Type="http://schemas.openxmlformats.org/officeDocument/2006/relationships/image" Target="../media/image35.png"/></Relationships>
</file>

<file path=xl/drawings/_rels/drawing7.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 Id="rId6" Type="http://schemas.openxmlformats.org/officeDocument/2006/relationships/image" Target="../media/image44.png"/><Relationship Id="rId5" Type="http://schemas.openxmlformats.org/officeDocument/2006/relationships/image" Target="../media/image43.png"/><Relationship Id="rId4" Type="http://schemas.openxmlformats.org/officeDocument/2006/relationships/image" Target="../media/image42.png"/></Relationships>
</file>

<file path=xl/drawings/_rels/drawing8.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png"/><Relationship Id="rId1" Type="http://schemas.openxmlformats.org/officeDocument/2006/relationships/image" Target="../media/image45.png"/><Relationship Id="rId5" Type="http://schemas.openxmlformats.org/officeDocument/2006/relationships/image" Target="../media/image49.png"/><Relationship Id="rId4" Type="http://schemas.openxmlformats.org/officeDocument/2006/relationships/image" Target="../media/image48.png"/></Relationships>
</file>

<file path=xl/drawings/_rels/drawing9.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5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3.png"/><Relationship Id="rId1"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5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55.png"/><Relationship Id="rId4" Type="http://schemas.openxmlformats.org/officeDocument/2006/relationships/image" Target="../media/image4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56.png"/></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6810375" cy="22574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29</xdr:row>
      <xdr:rowOff>0</xdr:rowOff>
    </xdr:from>
    <xdr:ext cx="3829050" cy="33337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6</xdr:row>
      <xdr:rowOff>0</xdr:rowOff>
    </xdr:from>
    <xdr:ext cx="2657475" cy="390525"/>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9</xdr:row>
      <xdr:rowOff>0</xdr:rowOff>
    </xdr:from>
    <xdr:ext cx="2152650" cy="361950"/>
    <xdr:pic>
      <xdr:nvPicPr>
        <xdr:cNvPr id="3" name="Image 2" descr="Pictur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12</xdr:row>
      <xdr:rowOff>0</xdr:rowOff>
    </xdr:from>
    <xdr:ext cx="6191250" cy="323850"/>
    <xdr:pic>
      <xdr:nvPicPr>
        <xdr:cNvPr id="4" name="Image 3"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17</xdr:row>
      <xdr:rowOff>0</xdr:rowOff>
    </xdr:from>
    <xdr:ext cx="6000750" cy="390525"/>
    <xdr:pic>
      <xdr:nvPicPr>
        <xdr:cNvPr id="5" name="Image 4" descr="Picture">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20</xdr:row>
      <xdr:rowOff>0</xdr:rowOff>
    </xdr:from>
    <xdr:ext cx="7439025" cy="2924175"/>
    <xdr:pic>
      <xdr:nvPicPr>
        <xdr:cNvPr id="6" name="Image 5" descr="Picture">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40</xdr:row>
      <xdr:rowOff>0</xdr:rowOff>
    </xdr:from>
    <xdr:ext cx="6810375" cy="323850"/>
    <xdr:pic>
      <xdr:nvPicPr>
        <xdr:cNvPr id="7" name="Image 6" descr="Picture">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43</xdr:row>
      <xdr:rowOff>0</xdr:rowOff>
    </xdr:from>
    <xdr:ext cx="6810375" cy="2809875"/>
    <xdr:pic>
      <xdr:nvPicPr>
        <xdr:cNvPr id="8" name="Image 7" descr="Picture">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62</xdr:row>
      <xdr:rowOff>0</xdr:rowOff>
    </xdr:from>
    <xdr:ext cx="3162300" cy="495300"/>
    <xdr:pic>
      <xdr:nvPicPr>
        <xdr:cNvPr id="9" name="Image 8" descr="Picture">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66</xdr:row>
      <xdr:rowOff>0</xdr:rowOff>
    </xdr:from>
    <xdr:ext cx="6581775" cy="447675"/>
    <xdr:pic>
      <xdr:nvPicPr>
        <xdr:cNvPr id="10" name="Image 9" descr="Picture">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6</xdr:row>
      <xdr:rowOff>0</xdr:rowOff>
    </xdr:from>
    <xdr:ext cx="7077075" cy="371475"/>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10</xdr:row>
      <xdr:rowOff>0</xdr:rowOff>
    </xdr:from>
    <xdr:ext cx="7029450" cy="2466975"/>
    <xdr:pic>
      <xdr:nvPicPr>
        <xdr:cNvPr id="3" name="Image 2" descr="Picture">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27</xdr:row>
      <xdr:rowOff>0</xdr:rowOff>
    </xdr:from>
    <xdr:ext cx="5991225" cy="457200"/>
    <xdr:pic>
      <xdr:nvPicPr>
        <xdr:cNvPr id="4" name="Image 3" descr="Picture">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33</xdr:row>
      <xdr:rowOff>0</xdr:rowOff>
    </xdr:from>
    <xdr:ext cx="5724525" cy="323850"/>
    <xdr:pic>
      <xdr:nvPicPr>
        <xdr:cNvPr id="5" name="Image 4" descr="Picture">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36</xdr:row>
      <xdr:rowOff>0</xdr:rowOff>
    </xdr:from>
    <xdr:ext cx="8115300" cy="323850"/>
    <xdr:pic>
      <xdr:nvPicPr>
        <xdr:cNvPr id="6" name="Image 5" descr="Picture">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40</xdr:row>
      <xdr:rowOff>0</xdr:rowOff>
    </xdr:from>
    <xdr:ext cx="5010150" cy="428625"/>
    <xdr:pic>
      <xdr:nvPicPr>
        <xdr:cNvPr id="7" name="Image 6" descr="Picture">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43</xdr:row>
      <xdr:rowOff>0</xdr:rowOff>
    </xdr:from>
    <xdr:ext cx="3228975" cy="361950"/>
    <xdr:pic>
      <xdr:nvPicPr>
        <xdr:cNvPr id="8" name="Image 7" descr="Picture">
          <a:extLst>
            <a:ext uri="{FF2B5EF4-FFF2-40B4-BE49-F238E27FC236}">
              <a16:creationId xmlns:a16="http://schemas.microsoft.com/office/drawing/2014/main" id="{00000000-0008-0000-06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47</xdr:row>
      <xdr:rowOff>0</xdr:rowOff>
    </xdr:from>
    <xdr:ext cx="6457950" cy="2257425"/>
    <xdr:pic>
      <xdr:nvPicPr>
        <xdr:cNvPr id="9" name="Image 8" descr="Picture">
          <a:extLst>
            <a:ext uri="{FF2B5EF4-FFF2-40B4-BE49-F238E27FC236}">
              <a16:creationId xmlns:a16="http://schemas.microsoft.com/office/drawing/2014/main" id="{00000000-0008-0000-06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6</xdr:row>
      <xdr:rowOff>0</xdr:rowOff>
    </xdr:from>
    <xdr:ext cx="6238875" cy="371475"/>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9</xdr:row>
      <xdr:rowOff>0</xdr:rowOff>
    </xdr:from>
    <xdr:ext cx="4438650" cy="333375"/>
    <xdr:pic>
      <xdr:nvPicPr>
        <xdr:cNvPr id="3" name="Image 2" descr="Picture">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14</xdr:row>
      <xdr:rowOff>0</xdr:rowOff>
    </xdr:from>
    <xdr:ext cx="3076575" cy="333375"/>
    <xdr:pic>
      <xdr:nvPicPr>
        <xdr:cNvPr id="4" name="Image 3" descr="Picture">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18</xdr:row>
      <xdr:rowOff>0</xdr:rowOff>
    </xdr:from>
    <xdr:ext cx="5448300" cy="381000"/>
    <xdr:pic>
      <xdr:nvPicPr>
        <xdr:cNvPr id="5" name="Image 4" descr="Picture">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21</xdr:row>
      <xdr:rowOff>0</xdr:rowOff>
    </xdr:from>
    <xdr:ext cx="5143500" cy="428625"/>
    <xdr:pic>
      <xdr:nvPicPr>
        <xdr:cNvPr id="6" name="Image 5" descr="Picture">
          <a:extLst>
            <a:ext uri="{FF2B5EF4-FFF2-40B4-BE49-F238E27FC236}">
              <a16:creationId xmlns:a16="http://schemas.microsoft.com/office/drawing/2014/main" id="{00000000-0008-0000-08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25</xdr:row>
      <xdr:rowOff>0</xdr:rowOff>
    </xdr:from>
    <xdr:ext cx="3990975" cy="438150"/>
    <xdr:pic>
      <xdr:nvPicPr>
        <xdr:cNvPr id="7" name="Image 6" descr="Picture">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29</xdr:row>
      <xdr:rowOff>0</xdr:rowOff>
    </xdr:from>
    <xdr:ext cx="6886575" cy="3209925"/>
    <xdr:pic>
      <xdr:nvPicPr>
        <xdr:cNvPr id="8" name="Image 7" descr="Picture">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48</xdr:row>
      <xdr:rowOff>0</xdr:rowOff>
    </xdr:from>
    <xdr:ext cx="6886575" cy="3209925"/>
    <xdr:pic>
      <xdr:nvPicPr>
        <xdr:cNvPr id="9" name="Image 8" descr="Picture">
          <a:extLst>
            <a:ext uri="{FF2B5EF4-FFF2-40B4-BE49-F238E27FC236}">
              <a16:creationId xmlns:a16="http://schemas.microsoft.com/office/drawing/2014/main" id="{00000000-0008-0000-08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70</xdr:row>
      <xdr:rowOff>0</xdr:rowOff>
    </xdr:from>
    <xdr:ext cx="8553450" cy="390525"/>
    <xdr:pic>
      <xdr:nvPicPr>
        <xdr:cNvPr id="10" name="Image 9" descr="Picture">
          <a:extLst>
            <a:ext uri="{FF2B5EF4-FFF2-40B4-BE49-F238E27FC236}">
              <a16:creationId xmlns:a16="http://schemas.microsoft.com/office/drawing/2014/main" id="{00000000-0008-0000-08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6</xdr:row>
      <xdr:rowOff>0</xdr:rowOff>
    </xdr:from>
    <xdr:ext cx="3924300" cy="381000"/>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11</xdr:row>
      <xdr:rowOff>0</xdr:rowOff>
    </xdr:from>
    <xdr:ext cx="2219325" cy="323850"/>
    <xdr:pic>
      <xdr:nvPicPr>
        <xdr:cNvPr id="3" name="Image 2" descr="Picture">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15</xdr:row>
      <xdr:rowOff>0</xdr:rowOff>
    </xdr:from>
    <xdr:ext cx="6886575" cy="2533650"/>
    <xdr:pic>
      <xdr:nvPicPr>
        <xdr:cNvPr id="4" name="Image 3" descr="Picture">
          <a:extLst>
            <a:ext uri="{FF2B5EF4-FFF2-40B4-BE49-F238E27FC236}">
              <a16:creationId xmlns:a16="http://schemas.microsoft.com/office/drawing/2014/main" id="{00000000-0008-0000-0A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6</xdr:row>
      <xdr:rowOff>0</xdr:rowOff>
    </xdr:from>
    <xdr:ext cx="5191125" cy="438150"/>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9</xdr:row>
      <xdr:rowOff>0</xdr:rowOff>
    </xdr:from>
    <xdr:ext cx="3943350" cy="333375"/>
    <xdr:pic>
      <xdr:nvPicPr>
        <xdr:cNvPr id="3" name="Image 2" descr="Picture">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12</xdr:row>
      <xdr:rowOff>0</xdr:rowOff>
    </xdr:from>
    <xdr:ext cx="6324600" cy="2400300"/>
    <xdr:pic>
      <xdr:nvPicPr>
        <xdr:cNvPr id="4" name="Image 3" descr="Picture">
          <a:extLst>
            <a:ext uri="{FF2B5EF4-FFF2-40B4-BE49-F238E27FC236}">
              <a16:creationId xmlns:a16="http://schemas.microsoft.com/office/drawing/2014/main" id="{00000000-0008-0000-0C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29</xdr:row>
      <xdr:rowOff>0</xdr:rowOff>
    </xdr:from>
    <xdr:ext cx="5829300" cy="333375"/>
    <xdr:pic>
      <xdr:nvPicPr>
        <xdr:cNvPr id="5" name="Image 4" descr="Picture">
          <a:extLst>
            <a:ext uri="{FF2B5EF4-FFF2-40B4-BE49-F238E27FC236}">
              <a16:creationId xmlns:a16="http://schemas.microsoft.com/office/drawing/2014/main" id="{00000000-0008-0000-0C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32</xdr:row>
      <xdr:rowOff>0</xdr:rowOff>
    </xdr:from>
    <xdr:ext cx="6696075" cy="2600325"/>
    <xdr:pic>
      <xdr:nvPicPr>
        <xdr:cNvPr id="6" name="Image 5" descr="Picture">
          <a:extLst>
            <a:ext uri="{FF2B5EF4-FFF2-40B4-BE49-F238E27FC236}">
              <a16:creationId xmlns:a16="http://schemas.microsoft.com/office/drawing/2014/main" id="{00000000-0008-0000-0C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48</xdr:row>
      <xdr:rowOff>0</xdr:rowOff>
    </xdr:from>
    <xdr:ext cx="7258050" cy="2743200"/>
    <xdr:pic>
      <xdr:nvPicPr>
        <xdr:cNvPr id="7" name="Image 6" descr="Picture">
          <a:extLst>
            <a:ext uri="{FF2B5EF4-FFF2-40B4-BE49-F238E27FC236}">
              <a16:creationId xmlns:a16="http://schemas.microsoft.com/office/drawing/2014/main" id="{00000000-0008-0000-0C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66</xdr:row>
      <xdr:rowOff>0</xdr:rowOff>
    </xdr:from>
    <xdr:ext cx="9601200" cy="323850"/>
    <xdr:pic>
      <xdr:nvPicPr>
        <xdr:cNvPr id="8" name="Image 7" descr="Picture">
          <a:extLst>
            <a:ext uri="{FF2B5EF4-FFF2-40B4-BE49-F238E27FC236}">
              <a16:creationId xmlns:a16="http://schemas.microsoft.com/office/drawing/2014/main" id="{00000000-0008-0000-0C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5</xdr:row>
      <xdr:rowOff>0</xdr:rowOff>
    </xdr:from>
    <xdr:ext cx="5257800" cy="352425"/>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8</xdr:row>
      <xdr:rowOff>0</xdr:rowOff>
    </xdr:from>
    <xdr:ext cx="6200775" cy="333375"/>
    <xdr:pic>
      <xdr:nvPicPr>
        <xdr:cNvPr id="3" name="Image 2" descr="Picture">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14</xdr:row>
      <xdr:rowOff>0</xdr:rowOff>
    </xdr:from>
    <xdr:ext cx="6429375" cy="495300"/>
    <xdr:pic>
      <xdr:nvPicPr>
        <xdr:cNvPr id="4" name="Image 3" descr="Picture">
          <a:extLst>
            <a:ext uri="{FF2B5EF4-FFF2-40B4-BE49-F238E27FC236}">
              <a16:creationId xmlns:a16="http://schemas.microsoft.com/office/drawing/2014/main" id="{00000000-0008-0000-0E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19</xdr:row>
      <xdr:rowOff>0</xdr:rowOff>
    </xdr:from>
    <xdr:ext cx="5353050" cy="361950"/>
    <xdr:pic>
      <xdr:nvPicPr>
        <xdr:cNvPr id="5" name="Image 4" descr="Picture">
          <a:extLst>
            <a:ext uri="{FF2B5EF4-FFF2-40B4-BE49-F238E27FC236}">
              <a16:creationId xmlns:a16="http://schemas.microsoft.com/office/drawing/2014/main" id="{00000000-0008-0000-0E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22</xdr:row>
      <xdr:rowOff>0</xdr:rowOff>
    </xdr:from>
    <xdr:ext cx="6743700" cy="2676525"/>
    <xdr:pic>
      <xdr:nvPicPr>
        <xdr:cNvPr id="6" name="Image 5" descr="Picture">
          <a:extLst>
            <a:ext uri="{FF2B5EF4-FFF2-40B4-BE49-F238E27FC236}">
              <a16:creationId xmlns:a16="http://schemas.microsoft.com/office/drawing/2014/main" id="{00000000-0008-0000-0E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38</xdr:row>
      <xdr:rowOff>0</xdr:rowOff>
    </xdr:from>
    <xdr:ext cx="6743700" cy="2676525"/>
    <xdr:pic>
      <xdr:nvPicPr>
        <xdr:cNvPr id="7" name="Image 6" descr="Picture">
          <a:extLst>
            <a:ext uri="{FF2B5EF4-FFF2-40B4-BE49-F238E27FC236}">
              <a16:creationId xmlns:a16="http://schemas.microsoft.com/office/drawing/2014/main" id="{00000000-0008-0000-0E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13</xdr:row>
      <xdr:rowOff>0</xdr:rowOff>
    </xdr:from>
    <xdr:ext cx="7229475" cy="438150"/>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16</xdr:row>
      <xdr:rowOff>0</xdr:rowOff>
    </xdr:from>
    <xdr:ext cx="5943600" cy="361950"/>
    <xdr:pic>
      <xdr:nvPicPr>
        <xdr:cNvPr id="3" name="Image 2" descr="Picture">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19</xdr:row>
      <xdr:rowOff>0</xdr:rowOff>
    </xdr:from>
    <xdr:ext cx="7105650" cy="1838325"/>
    <xdr:pic>
      <xdr:nvPicPr>
        <xdr:cNvPr id="4" name="Image 3" descr="Picture">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33</xdr:row>
      <xdr:rowOff>0</xdr:rowOff>
    </xdr:from>
    <xdr:ext cx="6315075" cy="390525"/>
    <xdr:pic>
      <xdr:nvPicPr>
        <xdr:cNvPr id="5" name="Image 4" descr="Picture">
          <a:extLst>
            <a:ext uri="{FF2B5EF4-FFF2-40B4-BE49-F238E27FC236}">
              <a16:creationId xmlns:a16="http://schemas.microsoft.com/office/drawing/2014/main" id="{00000000-0008-0000-1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36</xdr:row>
      <xdr:rowOff>0</xdr:rowOff>
    </xdr:from>
    <xdr:ext cx="6648450" cy="428625"/>
    <xdr:pic>
      <xdr:nvPicPr>
        <xdr:cNvPr id="6" name="Image 5" descr="Picture">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4</xdr:row>
      <xdr:rowOff>0</xdr:rowOff>
    </xdr:from>
    <xdr:ext cx="5391150" cy="352425"/>
    <xdr:pic>
      <xdr:nvPicPr>
        <xdr:cNvPr id="2" name="Image 1" descr="Pictur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8</xdr:row>
      <xdr:rowOff>0</xdr:rowOff>
    </xdr:from>
    <xdr:ext cx="8267700" cy="381000"/>
    <xdr:pic>
      <xdr:nvPicPr>
        <xdr:cNvPr id="3" name="Image 2" descr="Picture">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11</xdr:row>
      <xdr:rowOff>0</xdr:rowOff>
    </xdr:from>
    <xdr:ext cx="7305675" cy="2847975"/>
    <xdr:pic>
      <xdr:nvPicPr>
        <xdr:cNvPr id="4" name="Image 3" descr="Picture">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4</xdr:row>
      <xdr:rowOff>0</xdr:rowOff>
    </xdr:from>
    <xdr:ext cx="2219325" cy="323850"/>
    <xdr:pic>
      <xdr:nvPicPr>
        <xdr:cNvPr id="2" name="Image 1" descr="Picture">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7</xdr:row>
      <xdr:rowOff>0</xdr:rowOff>
    </xdr:from>
    <xdr:ext cx="6886575" cy="2533650"/>
    <xdr:pic>
      <xdr:nvPicPr>
        <xdr:cNvPr id="3" name="Image 2" descr="Picture">
          <a:extLst>
            <a:ext uri="{FF2B5EF4-FFF2-40B4-BE49-F238E27FC236}">
              <a16:creationId xmlns:a16="http://schemas.microsoft.com/office/drawing/2014/main" id="{00000000-0008-0000-1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10</xdr:row>
      <xdr:rowOff>0</xdr:rowOff>
    </xdr:from>
    <xdr:ext cx="2276475" cy="323850"/>
    <xdr:pic>
      <xdr:nvPicPr>
        <xdr:cNvPr id="2" name="Image 1" descr="Picture">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14</xdr:row>
      <xdr:rowOff>0</xdr:rowOff>
    </xdr:from>
    <xdr:ext cx="6886575" cy="3209925"/>
    <xdr:pic>
      <xdr:nvPicPr>
        <xdr:cNvPr id="3" name="Image 2" descr="Picture">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16</xdr:row>
      <xdr:rowOff>0</xdr:rowOff>
    </xdr:from>
    <xdr:ext cx="6457950" cy="2257425"/>
    <xdr:pic>
      <xdr:nvPicPr>
        <xdr:cNvPr id="2" name="Image 1" descr="Picture">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10</xdr:row>
      <xdr:rowOff>0</xdr:rowOff>
    </xdr:from>
    <xdr:ext cx="6324600" cy="2400300"/>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4</xdr:row>
      <xdr:rowOff>0</xdr:rowOff>
    </xdr:from>
    <xdr:ext cx="2076450" cy="333375"/>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7</xdr:row>
      <xdr:rowOff>0</xdr:rowOff>
    </xdr:from>
    <xdr:ext cx="6696075" cy="2600325"/>
    <xdr:pic>
      <xdr:nvPicPr>
        <xdr:cNvPr id="3" name="Image 2" descr="Picture">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23</xdr:row>
      <xdr:rowOff>0</xdr:rowOff>
    </xdr:from>
    <xdr:ext cx="7258050" cy="2743200"/>
    <xdr:pic>
      <xdr:nvPicPr>
        <xdr:cNvPr id="4" name="Image 3" descr="Picture">
          <a:extLst>
            <a:ext uri="{FF2B5EF4-FFF2-40B4-BE49-F238E27FC236}">
              <a16:creationId xmlns:a16="http://schemas.microsoft.com/office/drawing/2014/main" id="{00000000-0008-0000-1C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40</xdr:row>
      <xdr:rowOff>0</xdr:rowOff>
    </xdr:from>
    <xdr:ext cx="6743700" cy="2676525"/>
    <xdr:pic>
      <xdr:nvPicPr>
        <xdr:cNvPr id="5" name="Image 4" descr="Picture">
          <a:extLst>
            <a:ext uri="{FF2B5EF4-FFF2-40B4-BE49-F238E27FC236}">
              <a16:creationId xmlns:a16="http://schemas.microsoft.com/office/drawing/2014/main" id="{00000000-0008-0000-1C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4</xdr:row>
      <xdr:rowOff>0</xdr:rowOff>
    </xdr:from>
    <xdr:ext cx="5400675" cy="323850"/>
    <xdr:pic>
      <xdr:nvPicPr>
        <xdr:cNvPr id="2" name="Image 1" descr="Picture">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7</xdr:row>
      <xdr:rowOff>0</xdr:rowOff>
    </xdr:from>
    <xdr:ext cx="6810375" cy="2257425"/>
    <xdr:pic>
      <xdr:nvPicPr>
        <xdr:cNvPr id="3" name="Image 2" descr="Picture">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B6CB0"/>
  </sheetPr>
  <dimension ref="B2:C68"/>
  <sheetViews>
    <sheetView showGridLines="0" tabSelected="1" workbookViewId="0"/>
  </sheetViews>
  <sheetFormatPr defaultRowHeight="14.25" x14ac:dyDescent="0.45"/>
  <cols>
    <col min="1" max="1" width="3" customWidth="1"/>
    <col min="2" max="2" width="34" customWidth="1"/>
    <col min="3" max="3" width="90" customWidth="1"/>
    <col min="4" max="4" width="20" customWidth="1"/>
  </cols>
  <sheetData>
    <row r="2" spans="2:3" ht="22.5" x14ac:dyDescent="0.6">
      <c r="B2" s="1" t="s">
        <v>0</v>
      </c>
    </row>
    <row r="3" spans="2:3" x14ac:dyDescent="0.45">
      <c r="B3" s="2" t="str">
        <f>TB_Project&amp;" | "&amp;TB_Structure</f>
        <v>D2 I-95 Pedestrian Bridge | B4 pedestrian bridge - 2 x FIB-36, two simple spans</v>
      </c>
    </row>
    <row r="5" spans="2:3" ht="30" customHeight="1" x14ac:dyDescent="0.45">
      <c r="B5" s="3" t="s">
        <v>1</v>
      </c>
      <c r="C5" s="4" t="s">
        <v>2</v>
      </c>
    </row>
    <row r="6" spans="2:3" ht="30" customHeight="1" x14ac:dyDescent="0.45">
      <c r="B6" s="3" t="s">
        <v>3</v>
      </c>
      <c r="C6" s="4" t="s">
        <v>4</v>
      </c>
    </row>
    <row r="7" spans="2:3" ht="30" customHeight="1" x14ac:dyDescent="0.45">
      <c r="B7" s="3" t="s">
        <v>5</v>
      </c>
      <c r="C7" s="4" t="s">
        <v>6</v>
      </c>
    </row>
    <row r="8" spans="2:3" ht="16.05" customHeight="1" x14ac:dyDescent="0.45">
      <c r="B8" s="3" t="s">
        <v>7</v>
      </c>
      <c r="C8" s="5" t="str">
        <f>QC_Overall&amp;"  ("&amp;QC_Counts&amp;")"</f>
        <v>PASS  (150 pass / 0 fail / 1 check)</v>
      </c>
    </row>
    <row r="9" spans="2:3" ht="30" customHeight="1" x14ac:dyDescent="0.45">
      <c r="B9" s="3" t="s">
        <v>8</v>
      </c>
      <c r="C9" s="4" t="s">
        <v>9</v>
      </c>
    </row>
    <row r="10" spans="2:3" ht="16.05" customHeight="1" x14ac:dyDescent="0.45">
      <c r="B10" s="3" t="s">
        <v>10</v>
      </c>
      <c r="C10" s="4" t="s">
        <v>11</v>
      </c>
    </row>
    <row r="11" spans="2:3" ht="16.05" customHeight="1" x14ac:dyDescent="0.45">
      <c r="B11" s="3" t="s">
        <v>12</v>
      </c>
      <c r="C11" s="4" t="s">
        <v>13</v>
      </c>
    </row>
    <row r="12" spans="2:3" ht="16.05" customHeight="1" x14ac:dyDescent="0.45">
      <c r="B12" s="3" t="s">
        <v>14</v>
      </c>
      <c r="C12" s="4" t="s">
        <v>15</v>
      </c>
    </row>
    <row r="13" spans="2:3" ht="16.05" customHeight="1" x14ac:dyDescent="0.45">
      <c r="B13" s="3" t="s">
        <v>16</v>
      </c>
      <c r="C13" s="4" t="s">
        <v>17</v>
      </c>
    </row>
    <row r="15" spans="2:3" x14ac:dyDescent="0.45">
      <c r="B15" s="6" t="s">
        <v>18</v>
      </c>
    </row>
    <row r="16" spans="2:3" x14ac:dyDescent="0.45">
      <c r="B16" s="7" t="s">
        <v>19</v>
      </c>
      <c r="C16" s="8" t="s">
        <v>20</v>
      </c>
    </row>
    <row r="17" spans="2:3" x14ac:dyDescent="0.45">
      <c r="B17" s="7" t="s">
        <v>21</v>
      </c>
      <c r="C17" s="8" t="s">
        <v>22</v>
      </c>
    </row>
    <row r="18" spans="2:3" x14ac:dyDescent="0.45">
      <c r="B18" s="7" t="s">
        <v>23</v>
      </c>
      <c r="C18" s="8" t="s">
        <v>24</v>
      </c>
    </row>
    <row r="19" spans="2:3" x14ac:dyDescent="0.45">
      <c r="B19" s="7" t="s">
        <v>25</v>
      </c>
      <c r="C19" s="8" t="s">
        <v>26</v>
      </c>
    </row>
    <row r="21" spans="2:3" x14ac:dyDescent="0.45">
      <c r="B21" s="6" t="s">
        <v>27</v>
      </c>
    </row>
    <row r="22" spans="2:3" x14ac:dyDescent="0.45">
      <c r="B22" s="9" t="s">
        <v>28</v>
      </c>
      <c r="C22" s="4" t="s">
        <v>29</v>
      </c>
    </row>
    <row r="23" spans="2:3" x14ac:dyDescent="0.45">
      <c r="B23" s="9" t="s">
        <v>30</v>
      </c>
      <c r="C23" s="4" t="s">
        <v>31</v>
      </c>
    </row>
    <row r="24" spans="2:3" x14ac:dyDescent="0.45">
      <c r="B24" s="9" t="s">
        <v>32</v>
      </c>
      <c r="C24" s="4" t="s">
        <v>33</v>
      </c>
    </row>
    <row r="25" spans="2:3" x14ac:dyDescent="0.45">
      <c r="B25" s="9" t="s">
        <v>34</v>
      </c>
      <c r="C25" s="4" t="s">
        <v>35</v>
      </c>
    </row>
    <row r="26" spans="2:3" x14ac:dyDescent="0.45">
      <c r="B26" s="9" t="s">
        <v>36</v>
      </c>
      <c r="C26" s="4" t="s">
        <v>37</v>
      </c>
    </row>
    <row r="27" spans="2:3" x14ac:dyDescent="0.45">
      <c r="B27" s="9" t="s">
        <v>38</v>
      </c>
      <c r="C27" s="4" t="s">
        <v>39</v>
      </c>
    </row>
    <row r="28" spans="2:3" x14ac:dyDescent="0.45">
      <c r="B28" s="9" t="s">
        <v>40</v>
      </c>
      <c r="C28" s="4" t="s">
        <v>41</v>
      </c>
    </row>
    <row r="29" spans="2:3" x14ac:dyDescent="0.45">
      <c r="B29" s="9" t="s">
        <v>42</v>
      </c>
      <c r="C29" s="4" t="s">
        <v>43</v>
      </c>
    </row>
    <row r="30" spans="2:3" x14ac:dyDescent="0.45">
      <c r="B30" s="9" t="s">
        <v>44</v>
      </c>
      <c r="C30" s="4" t="s">
        <v>45</v>
      </c>
    </row>
    <row r="31" spans="2:3" x14ac:dyDescent="0.45">
      <c r="B31" s="9" t="s">
        <v>46</v>
      </c>
      <c r="C31" s="4" t="s">
        <v>47</v>
      </c>
    </row>
    <row r="32" spans="2:3" x14ac:dyDescent="0.45">
      <c r="B32" s="9" t="s">
        <v>48</v>
      </c>
      <c r="C32" s="4" t="s">
        <v>49</v>
      </c>
    </row>
    <row r="33" spans="2:3" x14ac:dyDescent="0.45">
      <c r="B33" s="9" t="s">
        <v>50</v>
      </c>
      <c r="C33" s="4" t="s">
        <v>51</v>
      </c>
    </row>
    <row r="34" spans="2:3" x14ac:dyDescent="0.45">
      <c r="B34" s="9" t="s">
        <v>52</v>
      </c>
      <c r="C34" s="4" t="s">
        <v>53</v>
      </c>
    </row>
    <row r="35" spans="2:3" x14ac:dyDescent="0.45">
      <c r="B35" s="9" t="s">
        <v>54</v>
      </c>
      <c r="C35" s="4" t="s">
        <v>55</v>
      </c>
    </row>
    <row r="36" spans="2:3" x14ac:dyDescent="0.45">
      <c r="B36" s="9" t="s">
        <v>56</v>
      </c>
      <c r="C36" s="4" t="s">
        <v>57</v>
      </c>
    </row>
    <row r="37" spans="2:3" x14ac:dyDescent="0.45">
      <c r="B37" s="9" t="s">
        <v>58</v>
      </c>
      <c r="C37" s="4" t="s">
        <v>59</v>
      </c>
    </row>
    <row r="38" spans="2:3" x14ac:dyDescent="0.45">
      <c r="B38" s="9" t="s">
        <v>60</v>
      </c>
      <c r="C38" s="4" t="s">
        <v>61</v>
      </c>
    </row>
    <row r="39" spans="2:3" x14ac:dyDescent="0.45">
      <c r="B39" s="9" t="s">
        <v>62</v>
      </c>
      <c r="C39" s="4" t="s">
        <v>63</v>
      </c>
    </row>
    <row r="40" spans="2:3" x14ac:dyDescent="0.45">
      <c r="B40" s="9" t="s">
        <v>64</v>
      </c>
      <c r="C40" s="4" t="s">
        <v>65</v>
      </c>
    </row>
    <row r="41" spans="2:3" x14ac:dyDescent="0.45">
      <c r="B41" s="9" t="s">
        <v>66</v>
      </c>
      <c r="C41" s="4" t="s">
        <v>67</v>
      </c>
    </row>
    <row r="42" spans="2:3" x14ac:dyDescent="0.45">
      <c r="B42" s="9" t="s">
        <v>68</v>
      </c>
      <c r="C42" s="4" t="s">
        <v>69</v>
      </c>
    </row>
    <row r="43" spans="2:3" x14ac:dyDescent="0.45">
      <c r="B43" s="9" t="s">
        <v>70</v>
      </c>
      <c r="C43" s="4" t="s">
        <v>71</v>
      </c>
    </row>
    <row r="44" spans="2:3" x14ac:dyDescent="0.45">
      <c r="B44" s="9" t="s">
        <v>72</v>
      </c>
      <c r="C44" s="4" t="s">
        <v>73</v>
      </c>
    </row>
    <row r="45" spans="2:3" x14ac:dyDescent="0.45">
      <c r="B45" s="9" t="s">
        <v>74</v>
      </c>
      <c r="C45" s="4" t="s">
        <v>75</v>
      </c>
    </row>
    <row r="46" spans="2:3" x14ac:dyDescent="0.45">
      <c r="B46" s="9" t="s">
        <v>76</v>
      </c>
      <c r="C46" s="4" t="s">
        <v>77</v>
      </c>
    </row>
    <row r="47" spans="2:3" x14ac:dyDescent="0.45">
      <c r="B47" s="9" t="s">
        <v>78</v>
      </c>
      <c r="C47" s="4" t="s">
        <v>79</v>
      </c>
    </row>
    <row r="48" spans="2:3" x14ac:dyDescent="0.45">
      <c r="B48" s="9" t="s">
        <v>80</v>
      </c>
      <c r="C48" s="4" t="s">
        <v>81</v>
      </c>
    </row>
    <row r="49" spans="2:3" x14ac:dyDescent="0.45">
      <c r="B49" s="9" t="s">
        <v>82</v>
      </c>
      <c r="C49" s="4" t="s">
        <v>83</v>
      </c>
    </row>
    <row r="50" spans="2:3" x14ac:dyDescent="0.45">
      <c r="B50" s="9" t="s">
        <v>84</v>
      </c>
      <c r="C50" s="4" t="s">
        <v>85</v>
      </c>
    </row>
    <row r="51" spans="2:3" x14ac:dyDescent="0.45">
      <c r="B51" s="9" t="s">
        <v>86</v>
      </c>
      <c r="C51" s="4" t="s">
        <v>87</v>
      </c>
    </row>
    <row r="53" spans="2:3" x14ac:dyDescent="0.45">
      <c r="B53" s="6" t="s">
        <v>88</v>
      </c>
    </row>
    <row r="54" spans="2:3" x14ac:dyDescent="0.45">
      <c r="B54" s="10" t="s">
        <v>89</v>
      </c>
    </row>
    <row r="55" spans="2:3" x14ac:dyDescent="0.45">
      <c r="B55" s="11" t="s">
        <v>90</v>
      </c>
    </row>
    <row r="56" spans="2:3" x14ac:dyDescent="0.45">
      <c r="B56" s="2" t="s">
        <v>91</v>
      </c>
    </row>
    <row r="57" spans="2:3" x14ac:dyDescent="0.45">
      <c r="B57" s="12" t="s">
        <v>92</v>
      </c>
    </row>
    <row r="58" spans="2:3" x14ac:dyDescent="0.45">
      <c r="B58" s="13" t="s">
        <v>93</v>
      </c>
    </row>
    <row r="59" spans="2:3" x14ac:dyDescent="0.45">
      <c r="B59" s="14" t="s">
        <v>94</v>
      </c>
    </row>
    <row r="61" spans="2:3" x14ac:dyDescent="0.45">
      <c r="B61" s="6" t="s">
        <v>95</v>
      </c>
    </row>
    <row r="62" spans="2:3" ht="30" customHeight="1" x14ac:dyDescent="0.45">
      <c r="C62" s="4" t="s">
        <v>96</v>
      </c>
    </row>
    <row r="63" spans="2:3" ht="30" customHeight="1" x14ac:dyDescent="0.45">
      <c r="C63" s="4" t="s">
        <v>97</v>
      </c>
    </row>
    <row r="64" spans="2:3" ht="16.05" customHeight="1" x14ac:dyDescent="0.45">
      <c r="C64" s="4" t="s">
        <v>98</v>
      </c>
    </row>
    <row r="65" spans="3:3" ht="16.05" customHeight="1" x14ac:dyDescent="0.45">
      <c r="C65" s="4" t="s">
        <v>99</v>
      </c>
    </row>
    <row r="66" spans="3:3" ht="30" customHeight="1" x14ac:dyDescent="0.45">
      <c r="C66" s="4" t="s">
        <v>100</v>
      </c>
    </row>
    <row r="67" spans="3:3" ht="30" customHeight="1" x14ac:dyDescent="0.45">
      <c r="C67" s="4" t="s">
        <v>101</v>
      </c>
    </row>
    <row r="68" spans="3:3" ht="30" customHeight="1" x14ac:dyDescent="0.45">
      <c r="C68" s="4" t="s">
        <v>102</v>
      </c>
    </row>
  </sheetData>
  <conditionalFormatting sqref="C8">
    <cfRule type="expression" dxfId="46" priority="1">
      <formula>LEFT(C8,4)="PASS"</formula>
    </cfRule>
    <cfRule type="expression" dxfId="45" priority="2">
      <formula>LEFT(C8,4)="FAIL"</formula>
    </cfRule>
  </conditionalFormatting>
  <hyperlinks>
    <hyperlink ref="B22" location="'Inputs'!A1" display="Inputs" xr:uid="{00000000-0004-0000-0000-000000000000}"/>
    <hyperlink ref="B23" location="'Inputs Method'!A1" display="Inputs Method" xr:uid="{00000000-0004-0000-0000-000001000000}"/>
    <hyperlink ref="B24" location="'Profile &amp; Deck'!A1" display="Profile &amp; Deck" xr:uid="{00000000-0004-0000-0000-000002000000}"/>
    <hyperlink ref="B25" location="'Profile &amp; Deck Method'!A1" display="Profile &amp; Deck Method" xr:uid="{00000000-0004-0000-0000-000003000000}"/>
    <hyperlink ref="B26" location="'Beam Geometry'!A1" display="Beam Geometry" xr:uid="{00000000-0004-0000-0000-000004000000}"/>
    <hyperlink ref="B27" location="'Beam Geometry Method'!A1" display="Beam Geometry Method" xr:uid="{00000000-0004-0000-0000-000005000000}"/>
    <hyperlink ref="B28" location="'Camber &amp; Haunch'!A1" display="Camber &amp; Haunch" xr:uid="{00000000-0004-0000-0000-000006000000}"/>
    <hyperlink ref="B29" location="'Camber &amp; Haunch Method'!A1" display="Camber &amp; Haunch Method" xr:uid="{00000000-0004-0000-0000-000007000000}"/>
    <hyperlink ref="B30" location="'FGE'!A1" display="FGE" xr:uid="{00000000-0004-0000-0000-000008000000}"/>
    <hyperlink ref="B31" location="'FGE Method'!A1" display="FGE Method" xr:uid="{00000000-0004-0000-0000-000009000000}"/>
    <hyperlink ref="B32" location="'Bearing Seats'!A1" display="Bearing Seats" xr:uid="{00000000-0004-0000-0000-00000A000000}"/>
    <hyperlink ref="B33" location="'Bearing Seats Method'!A1" display="Bearing Seats Method" xr:uid="{00000000-0004-0000-0000-00000B000000}"/>
    <hyperlink ref="B34" location="'Substructure'!A1" display="Substructure" xr:uid="{00000000-0004-0000-0000-00000C000000}"/>
    <hyperlink ref="B35" location="'Substructure Method'!A1" display="Substructure Method" xr:uid="{00000000-0004-0000-0000-00000D000000}"/>
    <hyperlink ref="B36" location="'Beam Data'!A1" display="Beam Data" xr:uid="{00000000-0004-0000-0000-00000E000000}"/>
    <hyperlink ref="B37" location="'Beam Data Method'!A1" display="Beam Data Method" xr:uid="{00000000-0004-0000-0000-00000F000000}"/>
    <hyperlink ref="B38" location="'Clearance'!A1" display="Clearance" xr:uid="{00000000-0004-0000-0000-000010000000}"/>
    <hyperlink ref="B39" location="'Clearance Method'!A1" display="Clearance Method" xr:uid="{00000000-0004-0000-0000-000011000000}"/>
    <hyperlink ref="B40" location="'CAD FGE'!A1" display="CAD FGE" xr:uid="{00000000-0004-0000-0000-000012000000}"/>
    <hyperlink ref="B41" location="'CAD FGE Method'!A1" display="CAD FGE Method" xr:uid="{00000000-0004-0000-0000-000013000000}"/>
    <hyperlink ref="B42" location="'CAD Build-Up'!A1" display="CAD Build-Up" xr:uid="{00000000-0004-0000-0000-000014000000}"/>
    <hyperlink ref="B43" location="'CAD Build-Up Method'!A1" display="CAD Build-Up Method" xr:uid="{00000000-0004-0000-0000-000015000000}"/>
    <hyperlink ref="B44" location="'CAD Beam Variables'!A1" display="CAD Beam Variables" xr:uid="{00000000-0004-0000-0000-000016000000}"/>
    <hyperlink ref="B45" location="'CAD Beam Variables Method'!A1" display="CAD Beam Variables Method" xr:uid="{00000000-0004-0000-0000-000017000000}"/>
    <hyperlink ref="B46" location="'CAD Bearing Plates'!A1" display="CAD Bearing Plates" xr:uid="{00000000-0004-0000-0000-000018000000}"/>
    <hyperlink ref="B47" location="'CAD Bearing Plates Method'!A1" display="CAD Bearing Plates Method" xr:uid="{00000000-0004-0000-0000-000019000000}"/>
    <hyperlink ref="B48" location="'CAD Pedestal Elevs'!A1" display="CAD Pedestal Elevs" xr:uid="{00000000-0004-0000-0000-00001A000000}"/>
    <hyperlink ref="B49" location="'CAD Pedestal Elevs Method'!A1" display="CAD Pedestal Elevs Method" xr:uid="{00000000-0004-0000-0000-00001B000000}"/>
    <hyperlink ref="B50" location="'QC'!A1" display="QC" xr:uid="{00000000-0004-0000-0000-00001C000000}"/>
    <hyperlink ref="B51" location="'QC Method'!A1" display="QC Method" xr:uid="{00000000-0004-0000-0000-00001D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B6CB0"/>
  </sheetPr>
  <dimension ref="A1:G225"/>
  <sheetViews>
    <sheetView showGridLines="0" workbookViewId="0">
      <pane ySplit="3" topLeftCell="A4" activePane="bottomLeft" state="frozen"/>
      <selection pane="bottomLeft"/>
    </sheetView>
  </sheetViews>
  <sheetFormatPr defaultRowHeight="14.25" x14ac:dyDescent="0.45"/>
  <cols>
    <col min="1" max="1" width="3" customWidth="1"/>
    <col min="2" max="2" width="46" customWidth="1"/>
    <col min="3" max="3" width="22" customWidth="1"/>
    <col min="4" max="5" width="16" customWidth="1"/>
    <col min="6" max="6" width="18" customWidth="1"/>
    <col min="7" max="7" width="78" customWidth="1"/>
  </cols>
  <sheetData>
    <row r="1" spans="1:7" ht="17.649999999999999" x14ac:dyDescent="0.5">
      <c r="A1" s="15" t="s">
        <v>28</v>
      </c>
    </row>
    <row r="2" spans="1:7" ht="28.05" customHeight="1" x14ac:dyDescent="0.45">
      <c r="A2" s="74" t="s">
        <v>103</v>
      </c>
      <c r="B2" s="75"/>
      <c r="C2" s="75"/>
      <c r="D2" s="75"/>
      <c r="E2" s="75"/>
      <c r="F2" s="75"/>
      <c r="G2" s="75"/>
    </row>
    <row r="4" spans="1:7" x14ac:dyDescent="0.45">
      <c r="A4" s="17" t="s">
        <v>104</v>
      </c>
      <c r="B4" s="18"/>
      <c r="C4" s="18"/>
      <c r="D4" s="18"/>
      <c r="E4" s="18"/>
      <c r="F4" s="18"/>
      <c r="G4" s="18"/>
    </row>
    <row r="5" spans="1:7" ht="18" customHeight="1" x14ac:dyDescent="0.45">
      <c r="B5" s="19" t="s">
        <v>105</v>
      </c>
      <c r="C5" s="19" t="s">
        <v>106</v>
      </c>
      <c r="D5" s="19" t="s">
        <v>107</v>
      </c>
      <c r="E5" s="19" t="s">
        <v>108</v>
      </c>
      <c r="F5" s="19" t="s">
        <v>109</v>
      </c>
      <c r="G5" s="19" t="s">
        <v>110</v>
      </c>
    </row>
    <row r="6" spans="1:7" ht="26" customHeight="1" x14ac:dyDescent="0.45">
      <c r="B6" s="4" t="s">
        <v>111</v>
      </c>
      <c r="C6" s="11"/>
      <c r="D6" s="20" t="s">
        <v>112</v>
      </c>
      <c r="E6" s="11"/>
      <c r="F6" s="8" t="s">
        <v>113</v>
      </c>
      <c r="G6" s="16" t="s">
        <v>114</v>
      </c>
    </row>
    <row r="7" spans="1:7" ht="26" customHeight="1" x14ac:dyDescent="0.45">
      <c r="B7" s="4" t="s">
        <v>115</v>
      </c>
      <c r="C7" s="11"/>
      <c r="D7" s="20" t="s">
        <v>116</v>
      </c>
      <c r="E7" s="11"/>
      <c r="F7" s="8" t="s">
        <v>117</v>
      </c>
      <c r="G7" s="16" t="s">
        <v>118</v>
      </c>
    </row>
    <row r="8" spans="1:7" x14ac:dyDescent="0.45">
      <c r="B8" s="4" t="s">
        <v>119</v>
      </c>
      <c r="C8" s="11"/>
      <c r="D8" s="21"/>
      <c r="E8" s="11"/>
      <c r="F8" s="8" t="s">
        <v>120</v>
      </c>
      <c r="G8" s="16" t="s">
        <v>121</v>
      </c>
    </row>
    <row r="9" spans="1:7" x14ac:dyDescent="0.45">
      <c r="B9" s="4" t="s">
        <v>122</v>
      </c>
      <c r="C9" s="11"/>
      <c r="D9" s="21"/>
      <c r="E9" s="11"/>
      <c r="F9" s="8" t="s">
        <v>123</v>
      </c>
      <c r="G9" s="16" t="s">
        <v>124</v>
      </c>
    </row>
    <row r="10" spans="1:7" x14ac:dyDescent="0.45">
      <c r="B10" s="4" t="s">
        <v>125</v>
      </c>
      <c r="C10" s="11"/>
      <c r="D10" s="21"/>
      <c r="E10" s="11"/>
      <c r="F10" s="8" t="s">
        <v>126</v>
      </c>
      <c r="G10" s="16" t="s">
        <v>124</v>
      </c>
    </row>
    <row r="11" spans="1:7" x14ac:dyDescent="0.45">
      <c r="B11" s="4" t="s">
        <v>127</v>
      </c>
      <c r="C11" s="11"/>
      <c r="D11" s="21"/>
      <c r="E11" s="11"/>
      <c r="F11" s="8" t="s">
        <v>128</v>
      </c>
      <c r="G11" s="16" t="s">
        <v>124</v>
      </c>
    </row>
    <row r="12" spans="1:7" x14ac:dyDescent="0.45">
      <c r="B12" s="4" t="s">
        <v>129</v>
      </c>
      <c r="C12" s="11"/>
      <c r="D12" s="21"/>
      <c r="E12" s="11"/>
      <c r="F12" s="8" t="s">
        <v>130</v>
      </c>
      <c r="G12" s="16" t="s">
        <v>124</v>
      </c>
    </row>
    <row r="14" spans="1:7" x14ac:dyDescent="0.45">
      <c r="A14" s="17" t="s">
        <v>131</v>
      </c>
      <c r="B14" s="18"/>
      <c r="C14" s="18"/>
      <c r="D14" s="18"/>
      <c r="E14" s="18"/>
      <c r="F14" s="18"/>
      <c r="G14" s="18"/>
    </row>
    <row r="15" spans="1:7" ht="18" customHeight="1" x14ac:dyDescent="0.45">
      <c r="B15" s="19" t="s">
        <v>105</v>
      </c>
      <c r="C15" s="19" t="s">
        <v>106</v>
      </c>
      <c r="D15" s="19" t="s">
        <v>107</v>
      </c>
      <c r="E15" s="19" t="s">
        <v>108</v>
      </c>
      <c r="F15" s="19" t="s">
        <v>109</v>
      </c>
      <c r="G15" s="19" t="s">
        <v>110</v>
      </c>
    </row>
    <row r="16" spans="1:7" x14ac:dyDescent="0.45">
      <c r="B16" s="4" t="s">
        <v>132</v>
      </c>
      <c r="C16" s="11" t="s">
        <v>133</v>
      </c>
      <c r="D16" s="20" t="s">
        <v>134</v>
      </c>
      <c r="E16" s="11"/>
      <c r="F16" s="8" t="s">
        <v>135</v>
      </c>
      <c r="G16" s="16" t="s">
        <v>136</v>
      </c>
    </row>
    <row r="17" spans="1:7" x14ac:dyDescent="0.45">
      <c r="B17" s="4" t="s">
        <v>137</v>
      </c>
      <c r="C17" s="11" t="s">
        <v>138</v>
      </c>
      <c r="D17" s="22">
        <v>1593.22</v>
      </c>
      <c r="E17" s="11" t="s">
        <v>139</v>
      </c>
      <c r="F17" s="8" t="s">
        <v>140</v>
      </c>
      <c r="G17" s="16" t="s">
        <v>141</v>
      </c>
    </row>
    <row r="18" spans="1:7" x14ac:dyDescent="0.45">
      <c r="B18" s="4" t="s">
        <v>142</v>
      </c>
      <c r="C18" s="11" t="s">
        <v>143</v>
      </c>
      <c r="D18" s="22">
        <v>1805.47</v>
      </c>
      <c r="E18" s="11" t="s">
        <v>139</v>
      </c>
      <c r="F18" s="8" t="s">
        <v>144</v>
      </c>
      <c r="G18" s="16" t="s">
        <v>145</v>
      </c>
    </row>
    <row r="19" spans="1:7" x14ac:dyDescent="0.45">
      <c r="B19" s="4" t="s">
        <v>146</v>
      </c>
      <c r="C19" s="11" t="s">
        <v>147</v>
      </c>
      <c r="D19" s="22">
        <v>47.661000000000001</v>
      </c>
      <c r="E19" s="11" t="s">
        <v>139</v>
      </c>
      <c r="F19" s="8" t="s">
        <v>148</v>
      </c>
      <c r="G19" s="16" t="s">
        <v>149</v>
      </c>
    </row>
    <row r="20" spans="1:7" x14ac:dyDescent="0.45">
      <c r="B20" s="4" t="s">
        <v>150</v>
      </c>
      <c r="C20" s="11" t="s">
        <v>151</v>
      </c>
      <c r="D20" s="22">
        <v>47.673000000000002</v>
      </c>
      <c r="E20" s="11" t="s">
        <v>139</v>
      </c>
      <c r="F20" s="8" t="s">
        <v>152</v>
      </c>
      <c r="G20" s="16" t="s">
        <v>153</v>
      </c>
    </row>
    <row r="21" spans="1:7" x14ac:dyDescent="0.45">
      <c r="B21" s="4" t="s">
        <v>154</v>
      </c>
      <c r="C21" s="11" t="s">
        <v>155</v>
      </c>
      <c r="D21" s="22">
        <v>1700.57</v>
      </c>
      <c r="E21" s="11" t="s">
        <v>139</v>
      </c>
      <c r="F21" s="8" t="s">
        <v>156</v>
      </c>
      <c r="G21" s="16" t="s">
        <v>157</v>
      </c>
    </row>
    <row r="22" spans="1:7" x14ac:dyDescent="0.45">
      <c r="B22" s="4" t="s">
        <v>158</v>
      </c>
      <c r="C22" s="11" t="s">
        <v>159</v>
      </c>
      <c r="D22" s="23">
        <v>5.0000000000000001E-3</v>
      </c>
      <c r="E22" s="11" t="s">
        <v>160</v>
      </c>
      <c r="F22" s="8" t="s">
        <v>161</v>
      </c>
      <c r="G22" s="16" t="s">
        <v>162</v>
      </c>
    </row>
    <row r="23" spans="1:7" x14ac:dyDescent="0.45">
      <c r="B23" s="4" t="s">
        <v>163</v>
      </c>
      <c r="C23" s="11" t="s">
        <v>164</v>
      </c>
      <c r="D23" s="23">
        <v>-0.01</v>
      </c>
      <c r="E23" s="11" t="s">
        <v>160</v>
      </c>
      <c r="F23" s="8" t="s">
        <v>165</v>
      </c>
      <c r="G23" s="16" t="s">
        <v>166</v>
      </c>
    </row>
    <row r="25" spans="1:7" x14ac:dyDescent="0.45">
      <c r="A25" s="17" t="s">
        <v>167</v>
      </c>
      <c r="B25" s="18"/>
      <c r="C25" s="18"/>
      <c r="D25" s="18"/>
      <c r="E25" s="18"/>
      <c r="F25" s="18"/>
      <c r="G25" s="18"/>
    </row>
    <row r="26" spans="1:7" ht="18" customHeight="1" x14ac:dyDescent="0.45">
      <c r="B26" s="19" t="s">
        <v>105</v>
      </c>
      <c r="C26" s="19" t="s">
        <v>106</v>
      </c>
      <c r="D26" s="19" t="s">
        <v>107</v>
      </c>
      <c r="E26" s="19" t="s">
        <v>108</v>
      </c>
      <c r="F26" s="19" t="s">
        <v>109</v>
      </c>
      <c r="G26" s="19" t="s">
        <v>110</v>
      </c>
    </row>
    <row r="27" spans="1:7" x14ac:dyDescent="0.45">
      <c r="B27" s="4" t="s">
        <v>168</v>
      </c>
      <c r="C27" s="11" t="s">
        <v>133</v>
      </c>
      <c r="D27" s="20" t="s">
        <v>169</v>
      </c>
      <c r="E27" s="11"/>
      <c r="F27" s="8" t="s">
        <v>170</v>
      </c>
      <c r="G27" s="16" t="s">
        <v>171</v>
      </c>
    </row>
    <row r="28" spans="1:7" x14ac:dyDescent="0.45">
      <c r="B28" s="4" t="s">
        <v>172</v>
      </c>
      <c r="C28" s="11" t="s">
        <v>173</v>
      </c>
      <c r="D28" s="22">
        <v>13.58333333333333</v>
      </c>
      <c r="E28" s="11" t="s">
        <v>139</v>
      </c>
      <c r="F28" s="8" t="s">
        <v>174</v>
      </c>
      <c r="G28" s="16" t="s">
        <v>175</v>
      </c>
    </row>
    <row r="29" spans="1:7" x14ac:dyDescent="0.45">
      <c r="B29" s="4" t="s">
        <v>176</v>
      </c>
      <c r="C29" s="11" t="s">
        <v>177</v>
      </c>
      <c r="D29" s="22">
        <v>0</v>
      </c>
      <c r="E29" s="11" t="s">
        <v>139</v>
      </c>
      <c r="F29" s="8" t="s">
        <v>178</v>
      </c>
      <c r="G29" s="16" t="s">
        <v>179</v>
      </c>
    </row>
    <row r="30" spans="1:7" x14ac:dyDescent="0.45">
      <c r="B30" s="4" t="s">
        <v>180</v>
      </c>
      <c r="C30" s="11" t="s">
        <v>181</v>
      </c>
      <c r="D30" s="22">
        <v>0.5</v>
      </c>
      <c r="E30" s="11" t="s">
        <v>139</v>
      </c>
      <c r="F30" s="8" t="s">
        <v>182</v>
      </c>
      <c r="G30" s="16" t="s">
        <v>183</v>
      </c>
    </row>
    <row r="31" spans="1:7" x14ac:dyDescent="0.45">
      <c r="B31" s="4" t="s">
        <v>184</v>
      </c>
      <c r="C31" s="11" t="s">
        <v>185</v>
      </c>
      <c r="D31" s="23">
        <v>-0.02</v>
      </c>
      <c r="E31" s="11" t="s">
        <v>160</v>
      </c>
      <c r="F31" s="8" t="s">
        <v>186</v>
      </c>
      <c r="G31" s="16" t="s">
        <v>187</v>
      </c>
    </row>
    <row r="32" spans="1:7" x14ac:dyDescent="0.45">
      <c r="B32" s="4" t="s">
        <v>188</v>
      </c>
      <c r="C32" s="11" t="s">
        <v>189</v>
      </c>
      <c r="D32" s="23">
        <v>-0.02</v>
      </c>
      <c r="E32" s="11" t="s">
        <v>160</v>
      </c>
      <c r="F32" s="8" t="s">
        <v>190</v>
      </c>
      <c r="G32" s="16" t="s">
        <v>191</v>
      </c>
    </row>
    <row r="34" spans="1:7" x14ac:dyDescent="0.45">
      <c r="A34" s="17" t="s">
        <v>192</v>
      </c>
      <c r="B34" s="18"/>
      <c r="C34" s="18"/>
      <c r="D34" s="18"/>
      <c r="E34" s="18"/>
      <c r="F34" s="18"/>
      <c r="G34" s="18"/>
    </row>
    <row r="35" spans="1:7" ht="18" customHeight="1" x14ac:dyDescent="0.45">
      <c r="B35" s="19" t="s">
        <v>105</v>
      </c>
      <c r="C35" s="19" t="s">
        <v>106</v>
      </c>
      <c r="D35" s="19" t="s">
        <v>107</v>
      </c>
      <c r="E35" s="19" t="s">
        <v>108</v>
      </c>
      <c r="F35" s="19" t="s">
        <v>109</v>
      </c>
      <c r="G35" s="19" t="s">
        <v>110</v>
      </c>
    </row>
    <row r="36" spans="1:7" x14ac:dyDescent="0.45">
      <c r="B36" s="4" t="s">
        <v>193</v>
      </c>
      <c r="C36" s="11"/>
      <c r="D36" s="20" t="s">
        <v>194</v>
      </c>
      <c r="E36" s="11"/>
      <c r="F36" s="8" t="s">
        <v>195</v>
      </c>
      <c r="G36" s="16" t="s">
        <v>196</v>
      </c>
    </row>
    <row r="37" spans="1:7" x14ac:dyDescent="0.45">
      <c r="B37" s="4" t="s">
        <v>197</v>
      </c>
      <c r="C37" s="11" t="s">
        <v>198</v>
      </c>
      <c r="D37" s="21">
        <v>2</v>
      </c>
      <c r="E37" s="11"/>
      <c r="F37" s="8" t="s">
        <v>199</v>
      </c>
      <c r="G37" s="16" t="s">
        <v>200</v>
      </c>
    </row>
    <row r="38" spans="1:7" x14ac:dyDescent="0.45">
      <c r="B38" s="4" t="s">
        <v>201</v>
      </c>
      <c r="C38" s="11" t="s">
        <v>202</v>
      </c>
      <c r="D38" s="22">
        <v>8.5833333333333339</v>
      </c>
      <c r="E38" s="11" t="s">
        <v>139</v>
      </c>
      <c r="F38" s="8" t="s">
        <v>203</v>
      </c>
      <c r="G38" s="16" t="s">
        <v>204</v>
      </c>
    </row>
    <row r="39" spans="1:7" x14ac:dyDescent="0.45">
      <c r="B39" s="4" t="s">
        <v>205</v>
      </c>
      <c r="C39" s="11" t="s">
        <v>206</v>
      </c>
      <c r="D39" s="22"/>
      <c r="E39" s="11" t="s">
        <v>139</v>
      </c>
      <c r="F39" s="8" t="s">
        <v>207</v>
      </c>
      <c r="G39" s="16" t="s">
        <v>208</v>
      </c>
    </row>
    <row r="40" spans="1:7" x14ac:dyDescent="0.45">
      <c r="B40" s="4" t="s">
        <v>209</v>
      </c>
      <c r="C40" s="11" t="s">
        <v>210</v>
      </c>
      <c r="D40" s="22">
        <v>3</v>
      </c>
      <c r="E40" s="11" t="s">
        <v>139</v>
      </c>
      <c r="F40" s="8" t="s">
        <v>211</v>
      </c>
      <c r="G40" s="16" t="s">
        <v>212</v>
      </c>
    </row>
    <row r="41" spans="1:7" x14ac:dyDescent="0.45">
      <c r="B41" s="4" t="s">
        <v>213</v>
      </c>
      <c r="C41" s="11" t="s">
        <v>214</v>
      </c>
      <c r="D41" s="21">
        <v>48</v>
      </c>
      <c r="E41" s="11" t="s">
        <v>215</v>
      </c>
      <c r="F41" s="8" t="s">
        <v>216</v>
      </c>
      <c r="G41" s="16" t="s">
        <v>217</v>
      </c>
    </row>
    <row r="42" spans="1:7" x14ac:dyDescent="0.45">
      <c r="B42" s="4" t="s">
        <v>218</v>
      </c>
      <c r="C42" s="11" t="s">
        <v>219</v>
      </c>
      <c r="D42" s="21">
        <v>0.5</v>
      </c>
      <c r="E42" s="11" t="s">
        <v>215</v>
      </c>
      <c r="F42" s="8" t="s">
        <v>220</v>
      </c>
      <c r="G42" s="16" t="s">
        <v>221</v>
      </c>
    </row>
    <row r="43" spans="1:7" x14ac:dyDescent="0.45">
      <c r="B43" s="4" t="s">
        <v>222</v>
      </c>
      <c r="C43" s="11" t="s">
        <v>223</v>
      </c>
      <c r="D43" s="21">
        <v>0</v>
      </c>
      <c r="E43" s="11" t="s">
        <v>215</v>
      </c>
      <c r="F43" s="8" t="s">
        <v>224</v>
      </c>
      <c r="G43" s="16" t="s">
        <v>225</v>
      </c>
    </row>
    <row r="44" spans="1:7" x14ac:dyDescent="0.45">
      <c r="B44" s="4" t="s">
        <v>226</v>
      </c>
      <c r="C44" s="11" t="s">
        <v>227</v>
      </c>
      <c r="D44" s="21">
        <v>0</v>
      </c>
      <c r="E44" s="11" t="s">
        <v>215</v>
      </c>
      <c r="F44" s="8" t="s">
        <v>228</v>
      </c>
      <c r="G44" s="16" t="s">
        <v>225</v>
      </c>
    </row>
    <row r="45" spans="1:7" x14ac:dyDescent="0.45">
      <c r="B45" s="4" t="s">
        <v>229</v>
      </c>
      <c r="C45" s="11"/>
      <c r="D45" s="24">
        <f>Bm_S</f>
        <v>8.5833333333333339</v>
      </c>
      <c r="E45" s="11" t="s">
        <v>139</v>
      </c>
      <c r="F45" s="8" t="s">
        <v>230</v>
      </c>
      <c r="G45" s="16" t="s">
        <v>231</v>
      </c>
    </row>
    <row r="47" spans="1:7" x14ac:dyDescent="0.45">
      <c r="A47" s="17" t="s">
        <v>232</v>
      </c>
      <c r="B47" s="18"/>
      <c r="C47" s="18"/>
      <c r="D47" s="18"/>
      <c r="E47" s="18"/>
      <c r="F47" s="18"/>
      <c r="G47" s="18"/>
    </row>
    <row r="48" spans="1:7" ht="18" customHeight="1" x14ac:dyDescent="0.45">
      <c r="B48" s="19" t="s">
        <v>105</v>
      </c>
      <c r="C48" s="19" t="s">
        <v>106</v>
      </c>
      <c r="D48" s="19" t="s">
        <v>107</v>
      </c>
      <c r="E48" s="19" t="s">
        <v>108</v>
      </c>
      <c r="F48" s="19" t="s">
        <v>109</v>
      </c>
      <c r="G48" s="19" t="s">
        <v>110</v>
      </c>
    </row>
    <row r="49" spans="1:7" x14ac:dyDescent="0.45">
      <c r="B49" s="4" t="s">
        <v>233</v>
      </c>
      <c r="C49" s="11"/>
      <c r="D49" s="22">
        <v>1593.22</v>
      </c>
      <c r="E49" s="11" t="s">
        <v>139</v>
      </c>
      <c r="F49" s="8" t="s">
        <v>234</v>
      </c>
      <c r="G49" s="16" t="s">
        <v>235</v>
      </c>
    </row>
    <row r="50" spans="1:7" x14ac:dyDescent="0.45">
      <c r="B50" s="4" t="s">
        <v>236</v>
      </c>
      <c r="C50" s="11"/>
      <c r="D50" s="22">
        <v>1700.57</v>
      </c>
      <c r="E50" s="11" t="s">
        <v>139</v>
      </c>
      <c r="F50" s="8" t="s">
        <v>237</v>
      </c>
      <c r="G50" s="16" t="s">
        <v>238</v>
      </c>
    </row>
    <row r="51" spans="1:7" ht="23.25" x14ac:dyDescent="0.45">
      <c r="B51" s="4" t="s">
        <v>239</v>
      </c>
      <c r="C51" s="11" t="s">
        <v>240</v>
      </c>
      <c r="D51" s="23">
        <v>0.124592744006574</v>
      </c>
      <c r="E51" s="11" t="s">
        <v>215</v>
      </c>
      <c r="F51" s="8" t="s">
        <v>241</v>
      </c>
      <c r="G51" s="16" t="s">
        <v>242</v>
      </c>
    </row>
    <row r="52" spans="1:7" x14ac:dyDescent="0.45">
      <c r="B52" s="4" t="s">
        <v>243</v>
      </c>
      <c r="C52" s="11"/>
      <c r="D52" s="22">
        <v>1700.57</v>
      </c>
      <c r="E52" s="11" t="s">
        <v>139</v>
      </c>
      <c r="F52" s="8" t="s">
        <v>244</v>
      </c>
      <c r="G52" s="16" t="s">
        <v>245</v>
      </c>
    </row>
    <row r="53" spans="1:7" x14ac:dyDescent="0.45">
      <c r="B53" s="4" t="s">
        <v>246</v>
      </c>
      <c r="C53" s="11"/>
      <c r="D53" s="22">
        <v>1805.47</v>
      </c>
      <c r="E53" s="11" t="s">
        <v>139</v>
      </c>
      <c r="F53" s="8" t="s">
        <v>247</v>
      </c>
      <c r="G53" s="16" t="s">
        <v>248</v>
      </c>
    </row>
    <row r="54" spans="1:7" ht="23.25" x14ac:dyDescent="0.45">
      <c r="B54" s="4" t="s">
        <v>249</v>
      </c>
      <c r="C54" s="11" t="s">
        <v>240</v>
      </c>
      <c r="D54" s="23">
        <v>0.56717146305500721</v>
      </c>
      <c r="E54" s="11" t="s">
        <v>215</v>
      </c>
      <c r="F54" s="8" t="s">
        <v>250</v>
      </c>
      <c r="G54" s="16" t="s">
        <v>251</v>
      </c>
    </row>
    <row r="56" spans="1:7" x14ac:dyDescent="0.45">
      <c r="A56" s="17" t="s">
        <v>252</v>
      </c>
      <c r="B56" s="18"/>
      <c r="C56" s="18"/>
      <c r="D56" s="18"/>
      <c r="E56" s="18"/>
      <c r="F56" s="18"/>
      <c r="G56" s="18"/>
    </row>
    <row r="57" spans="1:7" ht="18" customHeight="1" x14ac:dyDescent="0.45">
      <c r="B57" s="19" t="s">
        <v>105</v>
      </c>
      <c r="C57" s="19" t="s">
        <v>106</v>
      </c>
      <c r="D57" s="19" t="s">
        <v>107</v>
      </c>
      <c r="E57" s="19" t="s">
        <v>108</v>
      </c>
      <c r="F57" s="19" t="s">
        <v>109</v>
      </c>
      <c r="G57" s="19" t="s">
        <v>110</v>
      </c>
    </row>
    <row r="58" spans="1:7" x14ac:dyDescent="0.45">
      <c r="B58" s="4" t="s">
        <v>253</v>
      </c>
      <c r="C58" s="11"/>
      <c r="D58" s="21">
        <v>3</v>
      </c>
      <c r="E58" s="11" t="s">
        <v>215</v>
      </c>
      <c r="F58" s="8" t="s">
        <v>254</v>
      </c>
      <c r="G58" s="16" t="s">
        <v>255</v>
      </c>
    </row>
    <row r="59" spans="1:7" x14ac:dyDescent="0.45">
      <c r="B59" s="4" t="s">
        <v>256</v>
      </c>
      <c r="C59" s="11"/>
      <c r="D59" s="21">
        <v>3</v>
      </c>
      <c r="E59" s="11" t="s">
        <v>215</v>
      </c>
      <c r="F59" s="8" t="s">
        <v>257</v>
      </c>
      <c r="G59" s="16" t="s">
        <v>258</v>
      </c>
    </row>
    <row r="60" spans="1:7" x14ac:dyDescent="0.45">
      <c r="B60" s="4" t="s">
        <v>259</v>
      </c>
      <c r="C60" s="11"/>
      <c r="D60" s="21">
        <v>9</v>
      </c>
      <c r="E60" s="11" t="s">
        <v>215</v>
      </c>
      <c r="F60" s="8" t="s">
        <v>260</v>
      </c>
      <c r="G60" s="16" t="s">
        <v>261</v>
      </c>
    </row>
    <row r="61" spans="1:7" x14ac:dyDescent="0.45">
      <c r="B61" s="4" t="s">
        <v>262</v>
      </c>
      <c r="C61" s="11"/>
      <c r="D61" s="21">
        <v>3</v>
      </c>
      <c r="E61" s="11" t="s">
        <v>215</v>
      </c>
      <c r="F61" s="8" t="s">
        <v>263</v>
      </c>
      <c r="G61" s="16" t="s">
        <v>264</v>
      </c>
    </row>
    <row r="62" spans="1:7" x14ac:dyDescent="0.45">
      <c r="B62" s="4" t="s">
        <v>265</v>
      </c>
      <c r="C62" s="11"/>
      <c r="D62" s="22">
        <v>89.999999999999986</v>
      </c>
      <c r="E62" s="11" t="s">
        <v>139</v>
      </c>
      <c r="F62" s="8" t="s">
        <v>266</v>
      </c>
      <c r="G62" s="16" t="s">
        <v>267</v>
      </c>
    </row>
    <row r="64" spans="1:7" x14ac:dyDescent="0.45">
      <c r="A64" s="17" t="s">
        <v>268</v>
      </c>
      <c r="B64" s="18"/>
      <c r="C64" s="18"/>
      <c r="D64" s="18"/>
      <c r="E64" s="18"/>
      <c r="F64" s="18"/>
      <c r="G64" s="18"/>
    </row>
    <row r="65" spans="2:7" ht="18" customHeight="1" x14ac:dyDescent="0.45">
      <c r="B65" s="19" t="s">
        <v>105</v>
      </c>
      <c r="C65" s="19" t="s">
        <v>106</v>
      </c>
      <c r="D65" s="19" t="s">
        <v>107</v>
      </c>
      <c r="E65" s="19" t="s">
        <v>108</v>
      </c>
      <c r="F65" s="19" t="s">
        <v>109</v>
      </c>
      <c r="G65" s="19" t="s">
        <v>110</v>
      </c>
    </row>
    <row r="66" spans="2:7" x14ac:dyDescent="0.45">
      <c r="B66" s="4" t="s">
        <v>269</v>
      </c>
      <c r="C66" s="11"/>
      <c r="D66" s="22">
        <v>1700.57</v>
      </c>
      <c r="E66" s="11" t="s">
        <v>139</v>
      </c>
      <c r="F66" s="8" t="s">
        <v>270</v>
      </c>
      <c r="G66" s="16" t="s">
        <v>271</v>
      </c>
    </row>
    <row r="67" spans="2:7" x14ac:dyDescent="0.45">
      <c r="B67" s="4" t="s">
        <v>272</v>
      </c>
      <c r="C67" s="11"/>
      <c r="D67" s="25">
        <v>2.5625</v>
      </c>
      <c r="E67" s="11" t="s">
        <v>215</v>
      </c>
      <c r="F67" s="8" t="s">
        <v>273</v>
      </c>
      <c r="G67" s="16" t="s">
        <v>274</v>
      </c>
    </row>
    <row r="68" spans="2:7" x14ac:dyDescent="0.45">
      <c r="B68" s="4" t="s">
        <v>275</v>
      </c>
      <c r="C68" s="11"/>
      <c r="D68" s="21">
        <v>10</v>
      </c>
      <c r="E68" s="11" t="s">
        <v>215</v>
      </c>
      <c r="F68" s="8" t="s">
        <v>276</v>
      </c>
      <c r="G68" s="16" t="s">
        <v>277</v>
      </c>
    </row>
    <row r="69" spans="2:7" x14ac:dyDescent="0.45">
      <c r="B69" s="4" t="s">
        <v>278</v>
      </c>
      <c r="C69" s="11"/>
      <c r="D69" s="21">
        <v>32</v>
      </c>
      <c r="E69" s="11" t="s">
        <v>215</v>
      </c>
      <c r="F69" s="8" t="s">
        <v>279</v>
      </c>
      <c r="G69" s="16" t="s">
        <v>280</v>
      </c>
    </row>
    <row r="70" spans="2:7" x14ac:dyDescent="0.45">
      <c r="B70" s="4" t="s">
        <v>281</v>
      </c>
      <c r="C70" s="11"/>
      <c r="D70" s="22">
        <v>3</v>
      </c>
      <c r="E70" s="11" t="s">
        <v>139</v>
      </c>
      <c r="F70" s="8" t="s">
        <v>282</v>
      </c>
      <c r="G70" s="16" t="s">
        <v>283</v>
      </c>
    </row>
    <row r="71" spans="2:7" x14ac:dyDescent="0.45">
      <c r="B71" s="4" t="s">
        <v>284</v>
      </c>
      <c r="C71" s="11"/>
      <c r="D71" s="22">
        <v>4</v>
      </c>
      <c r="E71" s="11" t="s">
        <v>139</v>
      </c>
      <c r="F71" s="8" t="s">
        <v>285</v>
      </c>
      <c r="G71" s="16" t="s">
        <v>286</v>
      </c>
    </row>
    <row r="72" spans="2:7" x14ac:dyDescent="0.45">
      <c r="B72" s="4" t="s">
        <v>287</v>
      </c>
      <c r="C72" s="11"/>
      <c r="D72" s="22"/>
      <c r="E72" s="11" t="s">
        <v>139</v>
      </c>
      <c r="F72" s="8" t="s">
        <v>288</v>
      </c>
      <c r="G72" s="16" t="s">
        <v>289</v>
      </c>
    </row>
    <row r="73" spans="2:7" x14ac:dyDescent="0.45">
      <c r="B73" s="4" t="s">
        <v>290</v>
      </c>
      <c r="C73" s="11"/>
      <c r="D73" s="21">
        <v>4</v>
      </c>
      <c r="E73" s="11"/>
      <c r="F73" s="8" t="s">
        <v>291</v>
      </c>
      <c r="G73" s="16" t="s">
        <v>292</v>
      </c>
    </row>
    <row r="74" spans="2:7" x14ac:dyDescent="0.45">
      <c r="B74" s="4" t="s">
        <v>293</v>
      </c>
      <c r="C74" s="11"/>
      <c r="D74" s="21">
        <v>20</v>
      </c>
      <c r="E74" s="11" t="s">
        <v>215</v>
      </c>
      <c r="F74" s="8" t="s">
        <v>294</v>
      </c>
      <c r="G74" s="16" t="s">
        <v>295</v>
      </c>
    </row>
    <row r="75" spans="2:7" x14ac:dyDescent="0.45">
      <c r="B75" s="4" t="s">
        <v>296</v>
      </c>
      <c r="C75" s="11"/>
      <c r="D75" s="21">
        <v>0.625</v>
      </c>
      <c r="E75" s="11" t="s">
        <v>215</v>
      </c>
      <c r="F75" s="8" t="s">
        <v>297</v>
      </c>
      <c r="G75" s="16" t="s">
        <v>298</v>
      </c>
    </row>
    <row r="76" spans="2:7" x14ac:dyDescent="0.45">
      <c r="B76" s="4" t="s">
        <v>299</v>
      </c>
      <c r="C76" s="11"/>
      <c r="D76" s="21">
        <v>3</v>
      </c>
      <c r="E76" s="11"/>
      <c r="F76" s="8" t="s">
        <v>300</v>
      </c>
      <c r="G76" s="16" t="s">
        <v>301</v>
      </c>
    </row>
    <row r="77" spans="2:7" x14ac:dyDescent="0.45">
      <c r="B77" s="4" t="s">
        <v>302</v>
      </c>
      <c r="C77" s="11"/>
      <c r="D77" s="21">
        <v>15</v>
      </c>
      <c r="E77" s="11" t="s">
        <v>215</v>
      </c>
      <c r="F77" s="8" t="s">
        <v>303</v>
      </c>
      <c r="G77" s="16" t="s">
        <v>304</v>
      </c>
    </row>
    <row r="78" spans="2:7" x14ac:dyDescent="0.45">
      <c r="B78" s="4" t="s">
        <v>305</v>
      </c>
      <c r="C78" s="11"/>
      <c r="D78" s="21">
        <v>12</v>
      </c>
      <c r="E78" s="11" t="s">
        <v>215</v>
      </c>
      <c r="F78" s="8" t="s">
        <v>306</v>
      </c>
      <c r="G78" s="16" t="s">
        <v>307</v>
      </c>
    </row>
    <row r="79" spans="2:7" x14ac:dyDescent="0.45">
      <c r="B79" s="4" t="s">
        <v>308</v>
      </c>
      <c r="C79" s="11"/>
      <c r="D79" s="21">
        <v>6</v>
      </c>
      <c r="E79" s="11" t="s">
        <v>215</v>
      </c>
      <c r="F79" s="8" t="s">
        <v>309</v>
      </c>
      <c r="G79" s="16" t="s">
        <v>310</v>
      </c>
    </row>
    <row r="80" spans="2:7" x14ac:dyDescent="0.45">
      <c r="B80" s="4" t="s">
        <v>311</v>
      </c>
      <c r="C80" s="11"/>
      <c r="D80" s="22"/>
      <c r="E80" s="11" t="s">
        <v>139</v>
      </c>
      <c r="F80" s="8" t="s">
        <v>312</v>
      </c>
      <c r="G80" s="16" t="s">
        <v>313</v>
      </c>
    </row>
    <row r="81" spans="1:7" x14ac:dyDescent="0.45">
      <c r="B81" s="4" t="s">
        <v>314</v>
      </c>
      <c r="C81" s="11"/>
      <c r="D81" s="22">
        <v>0</v>
      </c>
      <c r="E81" s="11" t="s">
        <v>139</v>
      </c>
      <c r="F81" s="8" t="s">
        <v>315</v>
      </c>
      <c r="G81" s="16" t="s">
        <v>316</v>
      </c>
    </row>
    <row r="82" spans="1:7" x14ac:dyDescent="0.45">
      <c r="B82" s="4" t="s">
        <v>317</v>
      </c>
      <c r="C82" s="11"/>
      <c r="D82" s="23">
        <v>0</v>
      </c>
      <c r="E82" s="11" t="s">
        <v>160</v>
      </c>
      <c r="F82" s="8" t="s">
        <v>318</v>
      </c>
      <c r="G82" s="16" t="s">
        <v>319</v>
      </c>
    </row>
    <row r="83" spans="1:7" x14ac:dyDescent="0.45">
      <c r="B83" s="4" t="s">
        <v>320</v>
      </c>
      <c r="C83" s="11"/>
      <c r="D83" s="21">
        <v>42</v>
      </c>
      <c r="E83" s="11" t="s">
        <v>215</v>
      </c>
      <c r="F83" s="8" t="s">
        <v>321</v>
      </c>
      <c r="G83" s="16" t="s">
        <v>322</v>
      </c>
    </row>
    <row r="84" spans="1:7" x14ac:dyDescent="0.45">
      <c r="B84" s="4" t="s">
        <v>323</v>
      </c>
      <c r="C84" s="11"/>
      <c r="D84" s="21">
        <v>48</v>
      </c>
      <c r="E84" s="11" t="s">
        <v>215</v>
      </c>
      <c r="F84" s="8" t="s">
        <v>324</v>
      </c>
      <c r="G84" s="16" t="s">
        <v>325</v>
      </c>
    </row>
    <row r="85" spans="1:7" x14ac:dyDescent="0.45">
      <c r="B85" s="4" t="s">
        <v>326</v>
      </c>
      <c r="C85" s="11"/>
      <c r="D85" s="21">
        <v>0.75</v>
      </c>
      <c r="E85" s="11" t="s">
        <v>215</v>
      </c>
      <c r="F85" s="8" t="s">
        <v>327</v>
      </c>
      <c r="G85" s="16" t="s">
        <v>328</v>
      </c>
    </row>
    <row r="87" spans="1:7" x14ac:dyDescent="0.45">
      <c r="A87" s="17" t="s">
        <v>329</v>
      </c>
      <c r="B87" s="18"/>
      <c r="C87" s="18"/>
      <c r="D87" s="18"/>
      <c r="E87" s="18"/>
      <c r="F87" s="18"/>
      <c r="G87" s="18"/>
    </row>
    <row r="88" spans="1:7" ht="18" customHeight="1" x14ac:dyDescent="0.45">
      <c r="B88" s="19" t="s">
        <v>105</v>
      </c>
      <c r="C88" s="19" t="s">
        <v>106</v>
      </c>
      <c r="D88" s="19" t="s">
        <v>107</v>
      </c>
      <c r="E88" s="19" t="s">
        <v>108</v>
      </c>
      <c r="F88" s="19" t="s">
        <v>109</v>
      </c>
      <c r="G88" s="19" t="s">
        <v>110</v>
      </c>
    </row>
    <row r="89" spans="1:7" x14ac:dyDescent="0.45">
      <c r="B89" s="4" t="s">
        <v>284</v>
      </c>
      <c r="C89" s="11"/>
      <c r="D89" s="22">
        <v>3.5</v>
      </c>
      <c r="E89" s="11" t="s">
        <v>139</v>
      </c>
      <c r="F89" s="8" t="s">
        <v>330</v>
      </c>
      <c r="G89" s="16" t="s">
        <v>331</v>
      </c>
    </row>
    <row r="90" spans="1:7" x14ac:dyDescent="0.45">
      <c r="B90" s="4" t="s">
        <v>281</v>
      </c>
      <c r="C90" s="11"/>
      <c r="D90" s="22">
        <v>3</v>
      </c>
      <c r="E90" s="11" t="s">
        <v>139</v>
      </c>
      <c r="F90" s="8" t="s">
        <v>332</v>
      </c>
      <c r="G90" s="16" t="s">
        <v>333</v>
      </c>
    </row>
    <row r="91" spans="1:7" ht="23.25" x14ac:dyDescent="0.45">
      <c r="B91" s="4" t="s">
        <v>287</v>
      </c>
      <c r="C91" s="11"/>
      <c r="D91" s="22"/>
      <c r="E91" s="11" t="s">
        <v>139</v>
      </c>
      <c r="F91" s="8" t="s">
        <v>334</v>
      </c>
      <c r="G91" s="16" t="s">
        <v>335</v>
      </c>
    </row>
    <row r="92" spans="1:7" x14ac:dyDescent="0.45">
      <c r="B92" s="4" t="s">
        <v>290</v>
      </c>
      <c r="C92" s="11"/>
      <c r="D92" s="21">
        <v>4</v>
      </c>
      <c r="E92" s="11"/>
      <c r="F92" s="8" t="s">
        <v>336</v>
      </c>
      <c r="G92" s="16" t="s">
        <v>337</v>
      </c>
    </row>
    <row r="93" spans="1:7" x14ac:dyDescent="0.45">
      <c r="B93" s="4" t="s">
        <v>338</v>
      </c>
      <c r="C93" s="11"/>
      <c r="D93" s="21">
        <v>18</v>
      </c>
      <c r="E93" s="11" t="s">
        <v>215</v>
      </c>
      <c r="F93" s="8" t="s">
        <v>339</v>
      </c>
      <c r="G93" s="16" t="s">
        <v>340</v>
      </c>
    </row>
    <row r="94" spans="1:7" x14ac:dyDescent="0.45">
      <c r="B94" s="4" t="s">
        <v>341</v>
      </c>
      <c r="C94" s="11"/>
      <c r="D94" s="21">
        <v>54</v>
      </c>
      <c r="E94" s="11" t="s">
        <v>215</v>
      </c>
      <c r="F94" s="8" t="s">
        <v>342</v>
      </c>
      <c r="G94" s="16" t="s">
        <v>343</v>
      </c>
    </row>
    <row r="95" spans="1:7" x14ac:dyDescent="0.45">
      <c r="B95" s="4" t="s">
        <v>302</v>
      </c>
      <c r="C95" s="11"/>
      <c r="D95" s="21">
        <v>16</v>
      </c>
      <c r="E95" s="11" t="s">
        <v>215</v>
      </c>
      <c r="F95" s="8" t="s">
        <v>344</v>
      </c>
      <c r="G95" s="16" t="s">
        <v>345</v>
      </c>
    </row>
    <row r="96" spans="1:7" x14ac:dyDescent="0.45">
      <c r="B96" s="4" t="s">
        <v>305</v>
      </c>
      <c r="C96" s="11"/>
      <c r="D96" s="21">
        <v>12</v>
      </c>
      <c r="E96" s="11" t="s">
        <v>215</v>
      </c>
      <c r="F96" s="8" t="s">
        <v>346</v>
      </c>
      <c r="G96" s="16" t="s">
        <v>347</v>
      </c>
    </row>
    <row r="97" spans="1:7" x14ac:dyDescent="0.45">
      <c r="B97" s="4" t="s">
        <v>272</v>
      </c>
      <c r="C97" s="11"/>
      <c r="D97" s="25">
        <v>2.5625</v>
      </c>
      <c r="E97" s="11" t="s">
        <v>215</v>
      </c>
      <c r="F97" s="8" t="s">
        <v>348</v>
      </c>
      <c r="G97" s="16" t="s">
        <v>349</v>
      </c>
    </row>
    <row r="98" spans="1:7" x14ac:dyDescent="0.45">
      <c r="B98" s="4" t="s">
        <v>275</v>
      </c>
      <c r="C98" s="11"/>
      <c r="D98" s="21">
        <v>10</v>
      </c>
      <c r="E98" s="11" t="s">
        <v>215</v>
      </c>
      <c r="F98" s="8" t="s">
        <v>350</v>
      </c>
      <c r="G98" s="16" t="s">
        <v>351</v>
      </c>
    </row>
    <row r="99" spans="1:7" x14ac:dyDescent="0.45">
      <c r="B99" s="4" t="s">
        <v>278</v>
      </c>
      <c r="C99" s="11"/>
      <c r="D99" s="21">
        <v>32</v>
      </c>
      <c r="E99" s="11" t="s">
        <v>215</v>
      </c>
      <c r="F99" s="8" t="s">
        <v>352</v>
      </c>
      <c r="G99" s="16" t="s">
        <v>353</v>
      </c>
    </row>
    <row r="100" spans="1:7" x14ac:dyDescent="0.45">
      <c r="B100" s="4" t="s">
        <v>308</v>
      </c>
      <c r="C100" s="11"/>
      <c r="D100" s="21">
        <v>6</v>
      </c>
      <c r="E100" s="11" t="s">
        <v>215</v>
      </c>
      <c r="F100" s="8" t="s">
        <v>354</v>
      </c>
      <c r="G100" s="16" t="s">
        <v>355</v>
      </c>
    </row>
    <row r="101" spans="1:7" x14ac:dyDescent="0.45">
      <c r="B101" s="4" t="s">
        <v>311</v>
      </c>
      <c r="C101" s="11"/>
      <c r="D101" s="22"/>
      <c r="E101" s="11" t="s">
        <v>139</v>
      </c>
      <c r="F101" s="8" t="s">
        <v>356</v>
      </c>
      <c r="G101" s="16" t="s">
        <v>357</v>
      </c>
    </row>
    <row r="102" spans="1:7" x14ac:dyDescent="0.45">
      <c r="B102" s="4" t="s">
        <v>314</v>
      </c>
      <c r="C102" s="11"/>
      <c r="D102" s="22">
        <v>0</v>
      </c>
      <c r="E102" s="11" t="s">
        <v>139</v>
      </c>
      <c r="F102" s="8" t="s">
        <v>358</v>
      </c>
      <c r="G102" s="16" t="s">
        <v>359</v>
      </c>
    </row>
    <row r="103" spans="1:7" x14ac:dyDescent="0.45">
      <c r="B103" s="4" t="s">
        <v>317</v>
      </c>
      <c r="C103" s="11"/>
      <c r="D103" s="23">
        <v>0</v>
      </c>
      <c r="E103" s="11" t="s">
        <v>160</v>
      </c>
      <c r="F103" s="8" t="s">
        <v>360</v>
      </c>
      <c r="G103" s="16" t="s">
        <v>361</v>
      </c>
    </row>
    <row r="104" spans="1:7" x14ac:dyDescent="0.45">
      <c r="B104" s="4" t="s">
        <v>320</v>
      </c>
      <c r="C104" s="11"/>
      <c r="D104" s="21">
        <v>42</v>
      </c>
      <c r="E104" s="11" t="s">
        <v>215</v>
      </c>
      <c r="F104" s="8" t="s">
        <v>362</v>
      </c>
      <c r="G104" s="16" t="s">
        <v>363</v>
      </c>
    </row>
    <row r="105" spans="1:7" x14ac:dyDescent="0.45">
      <c r="B105" s="4" t="s">
        <v>364</v>
      </c>
      <c r="C105" s="11"/>
      <c r="D105" s="21">
        <v>30</v>
      </c>
      <c r="E105" s="11" t="s">
        <v>215</v>
      </c>
      <c r="F105" s="8" t="s">
        <v>365</v>
      </c>
      <c r="G105" s="16" t="s">
        <v>366</v>
      </c>
    </row>
    <row r="106" spans="1:7" x14ac:dyDescent="0.45">
      <c r="B106" s="4" t="s">
        <v>326</v>
      </c>
      <c r="C106" s="11"/>
      <c r="D106" s="21">
        <v>0.75</v>
      </c>
      <c r="E106" s="11" t="s">
        <v>215</v>
      </c>
      <c r="F106" s="8" t="s">
        <v>367</v>
      </c>
      <c r="G106" s="16" t="s">
        <v>368</v>
      </c>
    </row>
    <row r="107" spans="1:7" x14ac:dyDescent="0.45">
      <c r="B107" s="4" t="s">
        <v>369</v>
      </c>
      <c r="C107" s="11"/>
      <c r="D107" s="21">
        <v>12</v>
      </c>
      <c r="E107" s="11" t="s">
        <v>215</v>
      </c>
      <c r="F107" s="8" t="s">
        <v>370</v>
      </c>
      <c r="G107" s="16" t="s">
        <v>371</v>
      </c>
    </row>
    <row r="108" spans="1:7" x14ac:dyDescent="0.45">
      <c r="B108" s="4" t="s">
        <v>372</v>
      </c>
      <c r="C108" s="11"/>
      <c r="D108" s="21">
        <v>0</v>
      </c>
      <c r="E108" s="11" t="s">
        <v>215</v>
      </c>
      <c r="F108" s="8" t="s">
        <v>373</v>
      </c>
      <c r="G108" s="16" t="s">
        <v>374</v>
      </c>
    </row>
    <row r="109" spans="1:7" x14ac:dyDescent="0.45">
      <c r="B109" s="4" t="s">
        <v>375</v>
      </c>
      <c r="C109" s="11"/>
      <c r="D109" s="21">
        <v>3</v>
      </c>
      <c r="E109" s="11" t="s">
        <v>215</v>
      </c>
      <c r="F109" s="8" t="s">
        <v>376</v>
      </c>
      <c r="G109" s="16" t="s">
        <v>377</v>
      </c>
    </row>
    <row r="110" spans="1:7" x14ac:dyDescent="0.45">
      <c r="B110" s="4" t="s">
        <v>378</v>
      </c>
      <c r="C110" s="11"/>
      <c r="D110" s="21">
        <v>9</v>
      </c>
      <c r="E110" s="11" t="s">
        <v>215</v>
      </c>
      <c r="F110" s="8" t="s">
        <v>379</v>
      </c>
      <c r="G110" s="16" t="s">
        <v>380</v>
      </c>
    </row>
    <row r="112" spans="1:7" x14ac:dyDescent="0.45">
      <c r="A112" s="17" t="s">
        <v>381</v>
      </c>
      <c r="B112" s="18"/>
      <c r="C112" s="18"/>
      <c r="D112" s="18"/>
      <c r="E112" s="18"/>
      <c r="F112" s="18"/>
      <c r="G112" s="18"/>
    </row>
    <row r="113" spans="2:7" ht="18" customHeight="1" x14ac:dyDescent="0.45">
      <c r="B113" s="19" t="s">
        <v>105</v>
      </c>
      <c r="C113" s="19" t="s">
        <v>106</v>
      </c>
      <c r="D113" s="19" t="s">
        <v>107</v>
      </c>
      <c r="E113" s="19" t="s">
        <v>108</v>
      </c>
      <c r="F113" s="19" t="s">
        <v>109</v>
      </c>
      <c r="G113" s="19" t="s">
        <v>110</v>
      </c>
    </row>
    <row r="114" spans="2:7" x14ac:dyDescent="0.45">
      <c r="B114" s="4" t="s">
        <v>284</v>
      </c>
      <c r="C114" s="11"/>
      <c r="D114" s="22">
        <v>3.5</v>
      </c>
      <c r="E114" s="11" t="s">
        <v>139</v>
      </c>
      <c r="F114" s="8" t="s">
        <v>382</v>
      </c>
      <c r="G114" s="16" t="s">
        <v>383</v>
      </c>
    </row>
    <row r="115" spans="2:7" x14ac:dyDescent="0.45">
      <c r="B115" s="4" t="s">
        <v>281</v>
      </c>
      <c r="C115" s="11"/>
      <c r="D115" s="22">
        <v>3</v>
      </c>
      <c r="E115" s="11" t="s">
        <v>139</v>
      </c>
      <c r="F115" s="8" t="s">
        <v>384</v>
      </c>
      <c r="G115" s="16" t="s">
        <v>385</v>
      </c>
    </row>
    <row r="116" spans="2:7" ht="23.25" x14ac:dyDescent="0.45">
      <c r="B116" s="4" t="s">
        <v>287</v>
      </c>
      <c r="C116" s="11"/>
      <c r="D116" s="22"/>
      <c r="E116" s="11" t="s">
        <v>139</v>
      </c>
      <c r="F116" s="8" t="s">
        <v>386</v>
      </c>
      <c r="G116" s="16" t="s">
        <v>387</v>
      </c>
    </row>
    <row r="117" spans="2:7" x14ac:dyDescent="0.45">
      <c r="B117" s="4" t="s">
        <v>290</v>
      </c>
      <c r="C117" s="11"/>
      <c r="D117" s="21">
        <v>4</v>
      </c>
      <c r="E117" s="11"/>
      <c r="F117" s="8" t="s">
        <v>388</v>
      </c>
      <c r="G117" s="16" t="s">
        <v>389</v>
      </c>
    </row>
    <row r="118" spans="2:7" x14ac:dyDescent="0.45">
      <c r="B118" s="4" t="s">
        <v>338</v>
      </c>
      <c r="C118" s="11"/>
      <c r="D118" s="21">
        <v>18</v>
      </c>
      <c r="E118" s="11" t="s">
        <v>215</v>
      </c>
      <c r="F118" s="8" t="s">
        <v>390</v>
      </c>
      <c r="G118" s="16" t="s">
        <v>391</v>
      </c>
    </row>
    <row r="119" spans="2:7" x14ac:dyDescent="0.45">
      <c r="B119" s="4" t="s">
        <v>341</v>
      </c>
      <c r="C119" s="11"/>
      <c r="D119" s="21">
        <v>54</v>
      </c>
      <c r="E119" s="11" t="s">
        <v>215</v>
      </c>
      <c r="F119" s="8" t="s">
        <v>392</v>
      </c>
      <c r="G119" s="16" t="s">
        <v>393</v>
      </c>
    </row>
    <row r="120" spans="2:7" x14ac:dyDescent="0.45">
      <c r="B120" s="4" t="s">
        <v>302</v>
      </c>
      <c r="C120" s="11"/>
      <c r="D120" s="21">
        <v>16</v>
      </c>
      <c r="E120" s="11" t="s">
        <v>215</v>
      </c>
      <c r="F120" s="8" t="s">
        <v>394</v>
      </c>
      <c r="G120" s="16" t="s">
        <v>395</v>
      </c>
    </row>
    <row r="121" spans="2:7" x14ac:dyDescent="0.45">
      <c r="B121" s="4" t="s">
        <v>305</v>
      </c>
      <c r="C121" s="11"/>
      <c r="D121" s="21">
        <v>12</v>
      </c>
      <c r="E121" s="11" t="s">
        <v>215</v>
      </c>
      <c r="F121" s="8" t="s">
        <v>396</v>
      </c>
      <c r="G121" s="16" t="s">
        <v>397</v>
      </c>
    </row>
    <row r="122" spans="2:7" x14ac:dyDescent="0.45">
      <c r="B122" s="4" t="s">
        <v>272</v>
      </c>
      <c r="C122" s="11"/>
      <c r="D122" s="25">
        <v>2.5625</v>
      </c>
      <c r="E122" s="11" t="s">
        <v>215</v>
      </c>
      <c r="F122" s="8" t="s">
        <v>398</v>
      </c>
      <c r="G122" s="16" t="s">
        <v>399</v>
      </c>
    </row>
    <row r="123" spans="2:7" x14ac:dyDescent="0.45">
      <c r="B123" s="4" t="s">
        <v>275</v>
      </c>
      <c r="C123" s="11"/>
      <c r="D123" s="21">
        <v>10</v>
      </c>
      <c r="E123" s="11" t="s">
        <v>215</v>
      </c>
      <c r="F123" s="8" t="s">
        <v>400</v>
      </c>
      <c r="G123" s="16" t="s">
        <v>401</v>
      </c>
    </row>
    <row r="124" spans="2:7" x14ac:dyDescent="0.45">
      <c r="B124" s="4" t="s">
        <v>278</v>
      </c>
      <c r="C124" s="11"/>
      <c r="D124" s="21">
        <v>32</v>
      </c>
      <c r="E124" s="11" t="s">
        <v>215</v>
      </c>
      <c r="F124" s="8" t="s">
        <v>402</v>
      </c>
      <c r="G124" s="16" t="s">
        <v>403</v>
      </c>
    </row>
    <row r="125" spans="2:7" x14ac:dyDescent="0.45">
      <c r="B125" s="4" t="s">
        <v>308</v>
      </c>
      <c r="C125" s="11"/>
      <c r="D125" s="21">
        <v>6</v>
      </c>
      <c r="E125" s="11" t="s">
        <v>215</v>
      </c>
      <c r="F125" s="8" t="s">
        <v>404</v>
      </c>
      <c r="G125" s="16" t="s">
        <v>405</v>
      </c>
    </row>
    <row r="126" spans="2:7" x14ac:dyDescent="0.45">
      <c r="B126" s="4" t="s">
        <v>311</v>
      </c>
      <c r="C126" s="11"/>
      <c r="D126" s="22"/>
      <c r="E126" s="11" t="s">
        <v>139</v>
      </c>
      <c r="F126" s="8" t="s">
        <v>406</v>
      </c>
      <c r="G126" s="16" t="s">
        <v>407</v>
      </c>
    </row>
    <row r="127" spans="2:7" x14ac:dyDescent="0.45">
      <c r="B127" s="4" t="s">
        <v>314</v>
      </c>
      <c r="C127" s="11"/>
      <c r="D127" s="22">
        <v>0</v>
      </c>
      <c r="E127" s="11" t="s">
        <v>139</v>
      </c>
      <c r="F127" s="8" t="s">
        <v>408</v>
      </c>
      <c r="G127" s="16" t="s">
        <v>409</v>
      </c>
    </row>
    <row r="128" spans="2:7" x14ac:dyDescent="0.45">
      <c r="B128" s="4" t="s">
        <v>317</v>
      </c>
      <c r="C128" s="11"/>
      <c r="D128" s="23">
        <v>0</v>
      </c>
      <c r="E128" s="11" t="s">
        <v>160</v>
      </c>
      <c r="F128" s="8" t="s">
        <v>410</v>
      </c>
      <c r="G128" s="16" t="s">
        <v>411</v>
      </c>
    </row>
    <row r="129" spans="1:7" x14ac:dyDescent="0.45">
      <c r="B129" s="4" t="s">
        <v>320</v>
      </c>
      <c r="C129" s="11"/>
      <c r="D129" s="21">
        <v>42</v>
      </c>
      <c r="E129" s="11" t="s">
        <v>215</v>
      </c>
      <c r="F129" s="8" t="s">
        <v>412</v>
      </c>
      <c r="G129" s="16" t="s">
        <v>413</v>
      </c>
    </row>
    <row r="130" spans="1:7" x14ac:dyDescent="0.45">
      <c r="B130" s="4" t="s">
        <v>364</v>
      </c>
      <c r="C130" s="11"/>
      <c r="D130" s="21">
        <v>30</v>
      </c>
      <c r="E130" s="11" t="s">
        <v>215</v>
      </c>
      <c r="F130" s="8" t="s">
        <v>414</v>
      </c>
      <c r="G130" s="16" t="s">
        <v>415</v>
      </c>
    </row>
    <row r="131" spans="1:7" x14ac:dyDescent="0.45">
      <c r="B131" s="4" t="s">
        <v>326</v>
      </c>
      <c r="C131" s="11"/>
      <c r="D131" s="21">
        <v>0.75</v>
      </c>
      <c r="E131" s="11" t="s">
        <v>215</v>
      </c>
      <c r="F131" s="8" t="s">
        <v>416</v>
      </c>
      <c r="G131" s="16" t="s">
        <v>417</v>
      </c>
    </row>
    <row r="132" spans="1:7" x14ac:dyDescent="0.45">
      <c r="B132" s="4" t="s">
        <v>369</v>
      </c>
      <c r="C132" s="11"/>
      <c r="D132" s="21">
        <v>12</v>
      </c>
      <c r="E132" s="11" t="s">
        <v>215</v>
      </c>
      <c r="F132" s="8" t="s">
        <v>418</v>
      </c>
      <c r="G132" s="16" t="s">
        <v>419</v>
      </c>
    </row>
    <row r="133" spans="1:7" x14ac:dyDescent="0.45">
      <c r="B133" s="4" t="s">
        <v>372</v>
      </c>
      <c r="C133" s="11"/>
      <c r="D133" s="21">
        <v>0</v>
      </c>
      <c r="E133" s="11" t="s">
        <v>215</v>
      </c>
      <c r="F133" s="8" t="s">
        <v>420</v>
      </c>
      <c r="G133" s="16" t="s">
        <v>421</v>
      </c>
    </row>
    <row r="134" spans="1:7" x14ac:dyDescent="0.45">
      <c r="B134" s="4" t="s">
        <v>375</v>
      </c>
      <c r="C134" s="11"/>
      <c r="D134" s="21">
        <v>3</v>
      </c>
      <c r="E134" s="11" t="s">
        <v>215</v>
      </c>
      <c r="F134" s="8" t="s">
        <v>422</v>
      </c>
      <c r="G134" s="16" t="s">
        <v>423</v>
      </c>
    </row>
    <row r="135" spans="1:7" x14ac:dyDescent="0.45">
      <c r="B135" s="4" t="s">
        <v>378</v>
      </c>
      <c r="C135" s="11"/>
      <c r="D135" s="21">
        <v>9</v>
      </c>
      <c r="E135" s="11" t="s">
        <v>215</v>
      </c>
      <c r="F135" s="8" t="s">
        <v>424</v>
      </c>
      <c r="G135" s="16" t="s">
        <v>425</v>
      </c>
    </row>
    <row r="137" spans="1:7" x14ac:dyDescent="0.45">
      <c r="A137" s="17" t="s">
        <v>426</v>
      </c>
      <c r="B137" s="18"/>
      <c r="C137" s="18"/>
      <c r="D137" s="18"/>
      <c r="E137" s="18"/>
      <c r="F137" s="18"/>
      <c r="G137" s="18"/>
    </row>
    <row r="138" spans="1:7" ht="18" customHeight="1" x14ac:dyDescent="0.45">
      <c r="B138" s="19" t="s">
        <v>105</v>
      </c>
      <c r="C138" s="19" t="s">
        <v>106</v>
      </c>
      <c r="D138" s="19" t="s">
        <v>107</v>
      </c>
      <c r="E138" s="19" t="s">
        <v>108</v>
      </c>
      <c r="F138" s="19" t="s">
        <v>109</v>
      </c>
      <c r="G138" s="19" t="s">
        <v>110</v>
      </c>
    </row>
    <row r="139" spans="1:7" x14ac:dyDescent="0.45">
      <c r="B139" s="4" t="s">
        <v>427</v>
      </c>
      <c r="C139" s="11"/>
      <c r="D139" s="22">
        <v>17</v>
      </c>
      <c r="E139" s="11" t="s">
        <v>139</v>
      </c>
      <c r="F139" s="8" t="s">
        <v>428</v>
      </c>
      <c r="G139" s="16" t="s">
        <v>429</v>
      </c>
    </row>
    <row r="140" spans="1:7" x14ac:dyDescent="0.45">
      <c r="B140" s="4" t="s">
        <v>430</v>
      </c>
      <c r="C140" s="11"/>
      <c r="D140" s="22">
        <v>1593.22</v>
      </c>
      <c r="E140" s="11" t="s">
        <v>139</v>
      </c>
      <c r="F140" s="8" t="s">
        <v>431</v>
      </c>
      <c r="G140" s="16" t="s">
        <v>432</v>
      </c>
    </row>
    <row r="141" spans="1:7" ht="26" customHeight="1" x14ac:dyDescent="0.45">
      <c r="B141" s="4" t="s">
        <v>433</v>
      </c>
      <c r="C141" s="11"/>
      <c r="D141" s="20" t="s">
        <v>434</v>
      </c>
      <c r="E141" s="11"/>
      <c r="F141" s="8" t="s">
        <v>435</v>
      </c>
      <c r="G141" s="16" t="s">
        <v>436</v>
      </c>
    </row>
    <row r="143" spans="1:7" x14ac:dyDescent="0.45">
      <c r="A143" s="17" t="s">
        <v>437</v>
      </c>
      <c r="B143" s="18"/>
      <c r="C143" s="18"/>
      <c r="D143" s="18"/>
      <c r="E143" s="18"/>
      <c r="F143" s="18"/>
      <c r="G143" s="18"/>
    </row>
    <row r="144" spans="1:7" ht="18" customHeight="1" x14ac:dyDescent="0.45">
      <c r="B144" s="19" t="s">
        <v>105</v>
      </c>
      <c r="C144" s="19" t="s">
        <v>438</v>
      </c>
      <c r="D144" s="19" t="s">
        <v>439</v>
      </c>
      <c r="E144" s="19" t="s">
        <v>440</v>
      </c>
      <c r="F144" s="19" t="s">
        <v>108</v>
      </c>
      <c r="G144" s="19" t="s">
        <v>441</v>
      </c>
    </row>
    <row r="145" spans="2:7" x14ac:dyDescent="0.45">
      <c r="B145" s="11" t="s">
        <v>442</v>
      </c>
      <c r="C145" s="8" t="s">
        <v>443</v>
      </c>
      <c r="D145" s="26" t="s">
        <v>444</v>
      </c>
      <c r="E145" s="26" t="s">
        <v>445</v>
      </c>
      <c r="F145" s="11"/>
      <c r="G145" s="8" t="s">
        <v>446</v>
      </c>
    </row>
    <row r="146" spans="2:7" x14ac:dyDescent="0.45">
      <c r="B146" s="11" t="s">
        <v>193</v>
      </c>
      <c r="C146" s="8" t="s">
        <v>447</v>
      </c>
      <c r="D146" s="26" t="s">
        <v>448</v>
      </c>
      <c r="E146" s="26" t="s">
        <v>448</v>
      </c>
      <c r="F146" s="11"/>
      <c r="G146" s="8" t="s">
        <v>449</v>
      </c>
    </row>
    <row r="147" spans="2:7" x14ac:dyDescent="0.45">
      <c r="B147" s="11" t="s">
        <v>450</v>
      </c>
      <c r="C147" s="8" t="s">
        <v>451</v>
      </c>
      <c r="D147" s="27">
        <v>106.97499999999999</v>
      </c>
      <c r="E147" s="27">
        <v>104.52500000000001</v>
      </c>
      <c r="F147" s="11" t="s">
        <v>139</v>
      </c>
      <c r="G147" s="8" t="s">
        <v>452</v>
      </c>
    </row>
    <row r="148" spans="2:7" x14ac:dyDescent="0.45">
      <c r="B148" s="11" t="s">
        <v>453</v>
      </c>
      <c r="C148" s="8" t="s">
        <v>454</v>
      </c>
      <c r="D148" s="26">
        <v>9</v>
      </c>
      <c r="E148" s="26">
        <v>9</v>
      </c>
      <c r="F148" s="11" t="s">
        <v>215</v>
      </c>
      <c r="G148" s="8" t="s">
        <v>455</v>
      </c>
    </row>
    <row r="149" spans="2:7" x14ac:dyDescent="0.45">
      <c r="B149" s="11" t="s">
        <v>456</v>
      </c>
      <c r="C149" s="8" t="s">
        <v>457</v>
      </c>
      <c r="D149" s="26">
        <v>10</v>
      </c>
      <c r="E149" s="26">
        <v>10</v>
      </c>
      <c r="F149" s="11" t="s">
        <v>215</v>
      </c>
      <c r="G149" s="8" t="s">
        <v>458</v>
      </c>
    </row>
    <row r="150" spans="2:7" x14ac:dyDescent="0.45">
      <c r="B150" s="11" t="s">
        <v>201</v>
      </c>
      <c r="C150" s="8" t="s">
        <v>459</v>
      </c>
      <c r="D150" s="27">
        <v>8.5830000000000002</v>
      </c>
      <c r="E150" s="27">
        <v>8.5830000000000002</v>
      </c>
      <c r="F150" s="11" t="s">
        <v>139</v>
      </c>
      <c r="G150" s="8" t="s">
        <v>460</v>
      </c>
    </row>
    <row r="151" spans="2:7" x14ac:dyDescent="0.45">
      <c r="B151" s="11" t="s">
        <v>180</v>
      </c>
      <c r="C151" s="8" t="s">
        <v>461</v>
      </c>
      <c r="D151" s="28">
        <v>5.9999999999999991</v>
      </c>
      <c r="E151" s="28">
        <v>5.9999999999999991</v>
      </c>
      <c r="F151" s="11" t="s">
        <v>215</v>
      </c>
      <c r="G151" s="8" t="s">
        <v>462</v>
      </c>
    </row>
    <row r="152" spans="2:7" x14ac:dyDescent="0.45">
      <c r="B152" s="11" t="s">
        <v>463</v>
      </c>
      <c r="C152" s="8" t="s">
        <v>464</v>
      </c>
      <c r="D152" s="28">
        <v>1</v>
      </c>
      <c r="E152" s="28">
        <v>1</v>
      </c>
      <c r="F152" s="11" t="s">
        <v>215</v>
      </c>
      <c r="G152" s="8" t="s">
        <v>465</v>
      </c>
    </row>
    <row r="153" spans="2:7" x14ac:dyDescent="0.45">
      <c r="B153" s="11" t="s">
        <v>466</v>
      </c>
      <c r="C153" s="8" t="s">
        <v>466</v>
      </c>
      <c r="D153" s="26">
        <v>0</v>
      </c>
      <c r="E153" s="26">
        <v>0</v>
      </c>
      <c r="F153" s="11" t="s">
        <v>467</v>
      </c>
      <c r="G153" s="8" t="s">
        <v>468</v>
      </c>
    </row>
    <row r="154" spans="2:7" x14ac:dyDescent="0.45">
      <c r="B154" s="11" t="s">
        <v>469</v>
      </c>
      <c r="C154" s="8" t="s">
        <v>470</v>
      </c>
      <c r="D154" s="26">
        <v>8.5</v>
      </c>
      <c r="E154" s="26">
        <v>8.5</v>
      </c>
      <c r="F154" s="11" t="s">
        <v>471</v>
      </c>
      <c r="G154" s="8" t="s">
        <v>472</v>
      </c>
    </row>
    <row r="155" spans="2:7" x14ac:dyDescent="0.45">
      <c r="B155" s="11" t="s">
        <v>473</v>
      </c>
      <c r="C155" s="8" t="s">
        <v>474</v>
      </c>
      <c r="D155" s="26">
        <v>6</v>
      </c>
      <c r="E155" s="26">
        <v>6</v>
      </c>
      <c r="F155" s="11" t="s">
        <v>471</v>
      </c>
      <c r="G155" s="8" t="s">
        <v>475</v>
      </c>
    </row>
    <row r="156" spans="2:7" x14ac:dyDescent="0.45">
      <c r="B156" s="11" t="s">
        <v>476</v>
      </c>
      <c r="C156" s="8" t="s">
        <v>477</v>
      </c>
      <c r="D156" s="29">
        <v>4557.2952221500991</v>
      </c>
      <c r="E156" s="29">
        <v>4557.2952221500991</v>
      </c>
      <c r="F156" s="11" t="s">
        <v>471</v>
      </c>
      <c r="G156" s="8" t="s">
        <v>478</v>
      </c>
    </row>
    <row r="157" spans="2:7" x14ac:dyDescent="0.45">
      <c r="B157" s="11" t="s">
        <v>479</v>
      </c>
      <c r="C157" s="8" t="s">
        <v>480</v>
      </c>
      <c r="D157" s="29">
        <v>5112.4078850511287</v>
      </c>
      <c r="E157" s="29">
        <v>5112.4078850511287</v>
      </c>
      <c r="F157" s="11" t="s">
        <v>471</v>
      </c>
      <c r="G157" s="8" t="s">
        <v>481</v>
      </c>
    </row>
    <row r="158" spans="2:7" x14ac:dyDescent="0.45">
      <c r="B158" s="11" t="s">
        <v>482</v>
      </c>
      <c r="C158" s="8" t="s">
        <v>483</v>
      </c>
      <c r="D158" s="26">
        <v>75</v>
      </c>
      <c r="E158" s="26">
        <v>75</v>
      </c>
      <c r="F158" s="11" t="s">
        <v>484</v>
      </c>
      <c r="G158" s="8" t="s">
        <v>485</v>
      </c>
    </row>
    <row r="159" spans="2:7" x14ac:dyDescent="0.45">
      <c r="B159" s="11" t="s">
        <v>486</v>
      </c>
      <c r="C159" s="8" t="s">
        <v>486</v>
      </c>
      <c r="D159" s="26" t="s">
        <v>487</v>
      </c>
      <c r="E159" s="26" t="s">
        <v>487</v>
      </c>
      <c r="F159" s="11"/>
      <c r="G159" s="8" t="s">
        <v>488</v>
      </c>
    </row>
    <row r="160" spans="2:7" x14ac:dyDescent="0.45">
      <c r="B160" s="11" t="s">
        <v>489</v>
      </c>
      <c r="C160" s="8" t="s">
        <v>490</v>
      </c>
      <c r="D160" s="26" t="s">
        <v>491</v>
      </c>
      <c r="E160" s="26" t="s">
        <v>491</v>
      </c>
      <c r="F160" s="11"/>
      <c r="G160" s="8" t="s">
        <v>492</v>
      </c>
    </row>
    <row r="161" spans="2:7" x14ac:dyDescent="0.45">
      <c r="B161" s="11" t="s">
        <v>493</v>
      </c>
      <c r="C161" s="8" t="s">
        <v>494</v>
      </c>
      <c r="D161" s="28">
        <v>0.217</v>
      </c>
      <c r="E161" s="28">
        <v>0.217</v>
      </c>
      <c r="F161" s="11" t="s">
        <v>495</v>
      </c>
      <c r="G161" s="8" t="s">
        <v>496</v>
      </c>
    </row>
    <row r="162" spans="2:7" x14ac:dyDescent="0.45">
      <c r="B162" s="11" t="s">
        <v>497</v>
      </c>
      <c r="C162" s="8" t="s">
        <v>498</v>
      </c>
      <c r="D162" s="26">
        <v>39</v>
      </c>
      <c r="E162" s="26">
        <v>39</v>
      </c>
      <c r="F162" s="11"/>
      <c r="G162" s="8" t="s">
        <v>499</v>
      </c>
    </row>
    <row r="163" spans="2:7" x14ac:dyDescent="0.45">
      <c r="B163" s="11" t="s">
        <v>500</v>
      </c>
      <c r="C163" s="8" t="s">
        <v>501</v>
      </c>
      <c r="D163" s="26">
        <v>8</v>
      </c>
      <c r="E163" s="26">
        <v>8</v>
      </c>
      <c r="F163" s="11"/>
      <c r="G163" s="8" t="s">
        <v>502</v>
      </c>
    </row>
    <row r="164" spans="2:7" x14ac:dyDescent="0.45">
      <c r="B164" s="11" t="s">
        <v>503</v>
      </c>
      <c r="C164" s="8" t="s">
        <v>504</v>
      </c>
      <c r="D164" s="27">
        <v>43.942500000000003</v>
      </c>
      <c r="E164" s="27">
        <v>43.942500000000003</v>
      </c>
      <c r="F164" s="11" t="s">
        <v>505</v>
      </c>
      <c r="G164" s="8" t="s">
        <v>506</v>
      </c>
    </row>
    <row r="165" spans="2:7" x14ac:dyDescent="0.45">
      <c r="B165" s="11" t="s">
        <v>507</v>
      </c>
      <c r="C165" s="8" t="s">
        <v>508</v>
      </c>
      <c r="D165" s="26">
        <v>4</v>
      </c>
      <c r="E165" s="26">
        <v>4</v>
      </c>
      <c r="F165" s="11"/>
      <c r="G165" s="8" t="s">
        <v>509</v>
      </c>
    </row>
    <row r="166" spans="2:7" x14ac:dyDescent="0.45">
      <c r="B166" s="11" t="s">
        <v>510</v>
      </c>
      <c r="C166" s="8" t="s">
        <v>511</v>
      </c>
      <c r="D166" s="26">
        <v>10</v>
      </c>
      <c r="E166" s="26">
        <v>10</v>
      </c>
      <c r="F166" s="11" t="s">
        <v>505</v>
      </c>
      <c r="G166" s="8" t="s">
        <v>512</v>
      </c>
    </row>
    <row r="167" spans="2:7" x14ac:dyDescent="0.45">
      <c r="B167" s="11" t="s">
        <v>513</v>
      </c>
      <c r="C167" s="8" t="s">
        <v>514</v>
      </c>
      <c r="D167" s="28">
        <v>0.37499999999999989</v>
      </c>
      <c r="E167" s="28">
        <v>0.37499999999999989</v>
      </c>
      <c r="F167" s="11" t="s">
        <v>215</v>
      </c>
      <c r="G167" s="8" t="s">
        <v>515</v>
      </c>
    </row>
    <row r="168" spans="2:7" x14ac:dyDescent="0.45">
      <c r="B168" s="11" t="s">
        <v>516</v>
      </c>
      <c r="C168" s="8" t="s">
        <v>517</v>
      </c>
      <c r="D168" s="30">
        <v>0.95831970423055435</v>
      </c>
      <c r="E168" s="30">
        <v>0.95831970423055435</v>
      </c>
      <c r="F168" s="11"/>
      <c r="G168" s="8" t="s">
        <v>518</v>
      </c>
    </row>
    <row r="169" spans="2:7" x14ac:dyDescent="0.45">
      <c r="B169" s="11" t="s">
        <v>519</v>
      </c>
      <c r="C169" s="8" t="s">
        <v>520</v>
      </c>
      <c r="D169" s="31">
        <v>-2.5204081632653071E-4</v>
      </c>
      <c r="E169" s="31">
        <v>-2.5204081632653071E-4</v>
      </c>
      <c r="F169" s="11"/>
      <c r="G169" s="8" t="s">
        <v>521</v>
      </c>
    </row>
    <row r="170" spans="2:7" x14ac:dyDescent="0.45">
      <c r="B170" s="11" t="s">
        <v>522</v>
      </c>
      <c r="C170" s="8" t="s">
        <v>523</v>
      </c>
      <c r="D170" s="27">
        <v>1.3711621824106019</v>
      </c>
      <c r="E170" s="27">
        <v>1.4647225816175331</v>
      </c>
      <c r="F170" s="11" t="s">
        <v>215</v>
      </c>
      <c r="G170" s="8" t="s">
        <v>524</v>
      </c>
    </row>
    <row r="171" spans="2:7" x14ac:dyDescent="0.45">
      <c r="B171" s="11" t="s">
        <v>525</v>
      </c>
      <c r="C171" s="8" t="s">
        <v>526</v>
      </c>
      <c r="D171" s="27">
        <v>3.3554492587274489</v>
      </c>
      <c r="E171" s="27">
        <v>3.5081217611761781</v>
      </c>
      <c r="F171" s="11" t="s">
        <v>215</v>
      </c>
      <c r="G171" s="8" t="s">
        <v>527</v>
      </c>
    </row>
    <row r="172" spans="2:7" x14ac:dyDescent="0.45">
      <c r="B172" s="11" t="s">
        <v>528</v>
      </c>
      <c r="C172" s="8" t="s">
        <v>529</v>
      </c>
      <c r="D172" s="27">
        <v>-2.4716060425989741</v>
      </c>
      <c r="E172" s="27">
        <v>-2.2498277075689281</v>
      </c>
      <c r="F172" s="11" t="s">
        <v>215</v>
      </c>
      <c r="G172" s="8" t="s">
        <v>530</v>
      </c>
    </row>
    <row r="173" spans="2:7" x14ac:dyDescent="0.45">
      <c r="B173" s="11" t="s">
        <v>531</v>
      </c>
      <c r="C173" s="8" t="s">
        <v>532</v>
      </c>
      <c r="D173" s="27">
        <v>-0.75925047212190155</v>
      </c>
      <c r="E173" s="27">
        <v>-0.6911225905522429</v>
      </c>
      <c r="F173" s="11" t="s">
        <v>215</v>
      </c>
      <c r="G173" s="8" t="s">
        <v>533</v>
      </c>
    </row>
    <row r="174" spans="2:7" x14ac:dyDescent="0.45">
      <c r="B174" s="11" t="s">
        <v>534</v>
      </c>
      <c r="C174" s="8" t="s">
        <v>535</v>
      </c>
      <c r="D174" s="30">
        <v>0.124592744006574</v>
      </c>
      <c r="E174" s="30">
        <v>0.56717146305500721</v>
      </c>
      <c r="F174" s="11" t="s">
        <v>215</v>
      </c>
      <c r="G174" s="8" t="s">
        <v>536</v>
      </c>
    </row>
    <row r="175" spans="2:7" x14ac:dyDescent="0.45">
      <c r="B175" s="11" t="s">
        <v>537</v>
      </c>
      <c r="C175" s="8" t="s">
        <v>538</v>
      </c>
      <c r="D175" s="32">
        <v>3</v>
      </c>
      <c r="E175" s="32">
        <v>3</v>
      </c>
      <c r="F175" s="11" t="s">
        <v>215</v>
      </c>
      <c r="G175" s="8" t="s">
        <v>539</v>
      </c>
    </row>
    <row r="176" spans="2:7" x14ac:dyDescent="0.45">
      <c r="B176" s="11" t="s">
        <v>540</v>
      </c>
      <c r="C176" s="8" t="s">
        <v>541</v>
      </c>
      <c r="D176" s="26">
        <v>3.5</v>
      </c>
      <c r="E176" s="26">
        <v>3.5</v>
      </c>
      <c r="F176" s="11" t="s">
        <v>215</v>
      </c>
      <c r="G176" s="8" t="s">
        <v>542</v>
      </c>
    </row>
    <row r="177" spans="2:7" x14ac:dyDescent="0.45">
      <c r="B177" s="11" t="s">
        <v>543</v>
      </c>
      <c r="C177" s="8" t="s">
        <v>544</v>
      </c>
      <c r="D177" s="26">
        <v>2</v>
      </c>
      <c r="E177" s="26">
        <v>2</v>
      </c>
      <c r="F177" s="11"/>
      <c r="G177" s="8" t="s">
        <v>545</v>
      </c>
    </row>
    <row r="178" spans="2:7" x14ac:dyDescent="0.45">
      <c r="B178" s="11" t="s">
        <v>546</v>
      </c>
      <c r="C178" s="8" t="s">
        <v>547</v>
      </c>
      <c r="D178" s="26">
        <v>1.24</v>
      </c>
      <c r="E178" s="26">
        <v>1.24</v>
      </c>
      <c r="F178" s="11" t="s">
        <v>495</v>
      </c>
      <c r="G178" s="8" t="s">
        <v>548</v>
      </c>
    </row>
    <row r="179" spans="2:7" x14ac:dyDescent="0.45">
      <c r="B179" s="11" t="s">
        <v>549</v>
      </c>
      <c r="C179" s="8" t="s">
        <v>550</v>
      </c>
      <c r="D179" s="26">
        <v>3.5</v>
      </c>
      <c r="E179" s="26">
        <v>3.5</v>
      </c>
      <c r="F179" s="11" t="s">
        <v>215</v>
      </c>
      <c r="G179" s="8" t="s">
        <v>551</v>
      </c>
    </row>
    <row r="180" spans="2:7" x14ac:dyDescent="0.45">
      <c r="B180" s="11" t="s">
        <v>552</v>
      </c>
      <c r="C180" s="8" t="s">
        <v>553</v>
      </c>
      <c r="D180" s="26">
        <v>2</v>
      </c>
      <c r="E180" s="26">
        <v>2</v>
      </c>
      <c r="F180" s="11"/>
      <c r="G180" s="8" t="s">
        <v>554</v>
      </c>
    </row>
    <row r="181" spans="2:7" x14ac:dyDescent="0.45">
      <c r="B181" s="11" t="s">
        <v>555</v>
      </c>
      <c r="C181" s="8" t="s">
        <v>556</v>
      </c>
      <c r="D181" s="26">
        <v>0.62</v>
      </c>
      <c r="E181" s="26">
        <v>0.62</v>
      </c>
      <c r="F181" s="11" t="s">
        <v>495</v>
      </c>
      <c r="G181" s="8" t="s">
        <v>557</v>
      </c>
    </row>
    <row r="182" spans="2:7" x14ac:dyDescent="0.45">
      <c r="B182" s="11" t="s">
        <v>558</v>
      </c>
      <c r="C182" s="8" t="s">
        <v>559</v>
      </c>
      <c r="D182" s="26">
        <v>3</v>
      </c>
      <c r="E182" s="26">
        <v>3</v>
      </c>
      <c r="F182" s="11" t="s">
        <v>215</v>
      </c>
      <c r="G182" s="8" t="s">
        <v>560</v>
      </c>
    </row>
    <row r="183" spans="2:7" x14ac:dyDescent="0.45">
      <c r="B183" s="11" t="s">
        <v>561</v>
      </c>
      <c r="C183" s="8" t="s">
        <v>562</v>
      </c>
      <c r="D183" s="26">
        <v>12</v>
      </c>
      <c r="E183" s="26">
        <v>12</v>
      </c>
      <c r="F183" s="11"/>
      <c r="G183" s="8" t="s">
        <v>563</v>
      </c>
    </row>
    <row r="184" spans="2:7" x14ac:dyDescent="0.45">
      <c r="B184" s="11" t="s">
        <v>564</v>
      </c>
      <c r="C184" s="8" t="s">
        <v>565</v>
      </c>
      <c r="D184" s="26">
        <v>0.31</v>
      </c>
      <c r="E184" s="26">
        <v>0.31</v>
      </c>
      <c r="F184" s="11" t="s">
        <v>495</v>
      </c>
      <c r="G184" s="8" t="s">
        <v>566</v>
      </c>
    </row>
    <row r="185" spans="2:7" x14ac:dyDescent="0.45">
      <c r="B185" s="11" t="s">
        <v>567</v>
      </c>
      <c r="C185" s="8" t="s">
        <v>568</v>
      </c>
      <c r="D185" s="26">
        <v>5.9999999999999991</v>
      </c>
      <c r="E185" s="26">
        <v>5.9999999999999991</v>
      </c>
      <c r="F185" s="11" t="s">
        <v>215</v>
      </c>
      <c r="G185" s="8" t="s">
        <v>569</v>
      </c>
    </row>
    <row r="186" spans="2:7" x14ac:dyDescent="0.45">
      <c r="B186" s="11" t="s">
        <v>570</v>
      </c>
      <c r="C186" s="8" t="s">
        <v>571</v>
      </c>
      <c r="D186" s="26">
        <v>30</v>
      </c>
      <c r="E186" s="26">
        <v>30</v>
      </c>
      <c r="F186" s="11"/>
      <c r="G186" s="8" t="s">
        <v>572</v>
      </c>
    </row>
    <row r="187" spans="2:7" x14ac:dyDescent="0.45">
      <c r="B187" s="11" t="s">
        <v>573</v>
      </c>
      <c r="C187" s="8" t="s">
        <v>574</v>
      </c>
      <c r="D187" s="26">
        <v>0.31</v>
      </c>
      <c r="E187" s="26">
        <v>0.31</v>
      </c>
      <c r="F187" s="11" t="s">
        <v>495</v>
      </c>
      <c r="G187" s="8" t="s">
        <v>575</v>
      </c>
    </row>
    <row r="188" spans="2:7" x14ac:dyDescent="0.45">
      <c r="B188" s="11" t="s">
        <v>576</v>
      </c>
      <c r="C188" s="8" t="s">
        <v>577</v>
      </c>
      <c r="D188" s="26">
        <v>9</v>
      </c>
      <c r="E188" s="26">
        <v>9</v>
      </c>
      <c r="F188" s="11" t="s">
        <v>215</v>
      </c>
      <c r="G188" s="8" t="s">
        <v>578</v>
      </c>
    </row>
    <row r="189" spans="2:7" x14ac:dyDescent="0.45">
      <c r="B189" s="11" t="s">
        <v>579</v>
      </c>
      <c r="C189" s="8" t="s">
        <v>580</v>
      </c>
      <c r="D189" s="26">
        <v>20</v>
      </c>
      <c r="E189" s="26">
        <v>20</v>
      </c>
      <c r="F189" s="11"/>
      <c r="G189" s="8" t="s">
        <v>581</v>
      </c>
    </row>
    <row r="190" spans="2:7" x14ac:dyDescent="0.45">
      <c r="B190" s="11" t="s">
        <v>582</v>
      </c>
      <c r="C190" s="8" t="s">
        <v>583</v>
      </c>
      <c r="D190" s="26">
        <v>0.31</v>
      </c>
      <c r="E190" s="26">
        <v>0.31</v>
      </c>
      <c r="F190" s="11" t="s">
        <v>495</v>
      </c>
      <c r="G190" s="8" t="s">
        <v>584</v>
      </c>
    </row>
    <row r="191" spans="2:7" x14ac:dyDescent="0.45">
      <c r="B191" s="11" t="s">
        <v>585</v>
      </c>
      <c r="C191" s="8" t="s">
        <v>586</v>
      </c>
      <c r="D191" s="26">
        <v>12</v>
      </c>
      <c r="E191" s="26">
        <v>12</v>
      </c>
      <c r="F191" s="11" t="s">
        <v>215</v>
      </c>
      <c r="G191" s="8" t="s">
        <v>587</v>
      </c>
    </row>
    <row r="192" spans="2:7" x14ac:dyDescent="0.45">
      <c r="B192" s="11" t="s">
        <v>588</v>
      </c>
      <c r="C192" s="8" t="s">
        <v>589</v>
      </c>
      <c r="D192" s="26">
        <v>5</v>
      </c>
      <c r="E192" s="26">
        <v>5</v>
      </c>
      <c r="F192" s="11"/>
      <c r="G192" s="8" t="s">
        <v>590</v>
      </c>
    </row>
    <row r="193" spans="1:7" x14ac:dyDescent="0.45">
      <c r="B193" s="11" t="s">
        <v>591</v>
      </c>
      <c r="C193" s="8" t="s">
        <v>592</v>
      </c>
      <c r="D193" s="26">
        <v>0.31</v>
      </c>
      <c r="E193" s="26">
        <v>0.31</v>
      </c>
      <c r="F193" s="11" t="s">
        <v>495</v>
      </c>
      <c r="G193" s="8" t="s">
        <v>593</v>
      </c>
    </row>
    <row r="194" spans="1:7" x14ac:dyDescent="0.45">
      <c r="B194" s="11" t="s">
        <v>594</v>
      </c>
      <c r="C194" s="8" t="s">
        <v>595</v>
      </c>
      <c r="D194" s="26">
        <v>18</v>
      </c>
      <c r="E194" s="26">
        <v>18</v>
      </c>
      <c r="F194" s="11" t="s">
        <v>215</v>
      </c>
      <c r="G194" s="8" t="s">
        <v>596</v>
      </c>
    </row>
    <row r="195" spans="1:7" x14ac:dyDescent="0.45">
      <c r="B195" s="11" t="s">
        <v>597</v>
      </c>
      <c r="C195" s="8" t="s">
        <v>598</v>
      </c>
      <c r="D195" s="26"/>
      <c r="E195" s="26"/>
      <c r="F195" s="11"/>
      <c r="G195" s="8" t="s">
        <v>599</v>
      </c>
    </row>
    <row r="196" spans="1:7" x14ac:dyDescent="0.45">
      <c r="B196" s="11" t="s">
        <v>600</v>
      </c>
      <c r="C196" s="8" t="s">
        <v>601</v>
      </c>
      <c r="D196" s="26">
        <v>0.31</v>
      </c>
      <c r="E196" s="26">
        <v>0.31</v>
      </c>
      <c r="F196" s="11" t="s">
        <v>495</v>
      </c>
      <c r="G196" s="8" t="s">
        <v>602</v>
      </c>
    </row>
    <row r="197" spans="1:7" x14ac:dyDescent="0.45">
      <c r="B197" s="8" t="s">
        <v>603</v>
      </c>
      <c r="G197" s="8" t="s">
        <v>604</v>
      </c>
    </row>
    <row r="198" spans="1:7" x14ac:dyDescent="0.45">
      <c r="B198" s="8" t="s">
        <v>605</v>
      </c>
      <c r="G198" s="8" t="s">
        <v>606</v>
      </c>
    </row>
    <row r="200" spans="1:7" x14ac:dyDescent="0.45">
      <c r="A200" s="17" t="s">
        <v>607</v>
      </c>
      <c r="B200" s="18"/>
      <c r="C200" s="18"/>
      <c r="D200" s="18"/>
      <c r="E200" s="18"/>
      <c r="F200" s="18"/>
      <c r="G200" s="18"/>
    </row>
    <row r="201" spans="1:7" ht="18" customHeight="1" x14ac:dyDescent="0.45">
      <c r="B201" s="19" t="s">
        <v>105</v>
      </c>
      <c r="C201" s="19" t="s">
        <v>106</v>
      </c>
      <c r="D201" s="19" t="s">
        <v>107</v>
      </c>
      <c r="E201" s="19" t="s">
        <v>108</v>
      </c>
      <c r="F201" s="19" t="s">
        <v>109</v>
      </c>
      <c r="G201" s="19" t="s">
        <v>110</v>
      </c>
    </row>
    <row r="202" spans="1:7" x14ac:dyDescent="0.45">
      <c r="B202" s="4" t="s">
        <v>608</v>
      </c>
      <c r="C202" s="11"/>
      <c r="D202" s="20" t="s">
        <v>609</v>
      </c>
      <c r="E202" s="11"/>
      <c r="F202" s="8" t="s">
        <v>610</v>
      </c>
      <c r="G202" s="16" t="s">
        <v>611</v>
      </c>
    </row>
    <row r="203" spans="1:7" x14ac:dyDescent="0.45">
      <c r="B203" s="4" t="s">
        <v>612</v>
      </c>
      <c r="C203" s="11"/>
      <c r="D203" s="21">
        <v>1</v>
      </c>
      <c r="E203" s="11"/>
      <c r="F203" s="8" t="s">
        <v>613</v>
      </c>
      <c r="G203" s="16" t="s">
        <v>614</v>
      </c>
    </row>
    <row r="204" spans="1:7" x14ac:dyDescent="0.45">
      <c r="B204" s="4" t="s">
        <v>615</v>
      </c>
      <c r="C204" s="11"/>
      <c r="D204" s="21">
        <v>1</v>
      </c>
      <c r="E204" s="11"/>
      <c r="F204" s="8" t="s">
        <v>616</v>
      </c>
      <c r="G204" s="16" t="s">
        <v>617</v>
      </c>
    </row>
    <row r="205" spans="1:7" x14ac:dyDescent="0.45">
      <c r="B205" s="4" t="s">
        <v>618</v>
      </c>
      <c r="C205" s="11"/>
      <c r="D205" s="20" t="s">
        <v>619</v>
      </c>
      <c r="E205" s="11"/>
      <c r="F205" s="8" t="s">
        <v>620</v>
      </c>
      <c r="G205" s="16" t="s">
        <v>621</v>
      </c>
    </row>
    <row r="206" spans="1:7" x14ac:dyDescent="0.45">
      <c r="B206" s="4" t="s">
        <v>622</v>
      </c>
      <c r="C206" s="11"/>
      <c r="D206" s="25">
        <v>0.02</v>
      </c>
      <c r="E206" s="11" t="s">
        <v>160</v>
      </c>
      <c r="F206" s="8" t="s">
        <v>623</v>
      </c>
      <c r="G206" s="16" t="s">
        <v>624</v>
      </c>
    </row>
    <row r="207" spans="1:7" x14ac:dyDescent="0.45">
      <c r="B207" s="4" t="s">
        <v>625</v>
      </c>
      <c r="C207" s="11"/>
      <c r="D207" s="21">
        <v>1</v>
      </c>
      <c r="E207" s="11" t="s">
        <v>215</v>
      </c>
      <c r="F207" s="8" t="s">
        <v>626</v>
      </c>
      <c r="G207" s="16" t="s">
        <v>624</v>
      </c>
    </row>
    <row r="208" spans="1:7" x14ac:dyDescent="0.45">
      <c r="B208" s="4" t="s">
        <v>627</v>
      </c>
      <c r="C208" s="11"/>
      <c r="D208" s="21">
        <v>806.58</v>
      </c>
      <c r="E208" s="11" t="s">
        <v>495</v>
      </c>
      <c r="F208" s="8" t="s">
        <v>628</v>
      </c>
      <c r="G208" s="16" t="s">
        <v>629</v>
      </c>
    </row>
    <row r="209" spans="1:7" x14ac:dyDescent="0.45">
      <c r="B209" s="4" t="s">
        <v>630</v>
      </c>
      <c r="C209" s="11"/>
      <c r="D209" s="33">
        <v>10</v>
      </c>
      <c r="E209" s="11"/>
      <c r="F209" s="8" t="s">
        <v>631</v>
      </c>
      <c r="G209" s="16" t="s">
        <v>632</v>
      </c>
    </row>
    <row r="210" spans="1:7" x14ac:dyDescent="0.45">
      <c r="B210" s="4" t="s">
        <v>633</v>
      </c>
      <c r="C210" s="11"/>
      <c r="D210" s="21">
        <v>17.5</v>
      </c>
      <c r="E210" s="11" t="s">
        <v>215</v>
      </c>
      <c r="F210" s="8" t="s">
        <v>634</v>
      </c>
      <c r="G210" s="16" t="s">
        <v>635</v>
      </c>
    </row>
    <row r="211" spans="1:7" x14ac:dyDescent="0.45">
      <c r="B211" s="4" t="s">
        <v>636</v>
      </c>
      <c r="C211" s="11"/>
      <c r="D211" s="21">
        <v>8.5</v>
      </c>
      <c r="E211" s="11" t="s">
        <v>215</v>
      </c>
      <c r="F211" s="8" t="s">
        <v>637</v>
      </c>
      <c r="G211" s="16" t="s">
        <v>638</v>
      </c>
    </row>
    <row r="212" spans="1:7" x14ac:dyDescent="0.45">
      <c r="B212" s="4" t="s">
        <v>639</v>
      </c>
      <c r="C212" s="11"/>
      <c r="D212" s="21">
        <v>15</v>
      </c>
      <c r="E212" s="11" t="s">
        <v>215</v>
      </c>
      <c r="F212" s="8" t="s">
        <v>640</v>
      </c>
      <c r="G212" s="16" t="s">
        <v>638</v>
      </c>
    </row>
    <row r="213" spans="1:7" x14ac:dyDescent="0.45">
      <c r="B213" s="4" t="s">
        <v>641</v>
      </c>
      <c r="C213" s="11"/>
      <c r="D213" s="21">
        <v>44</v>
      </c>
      <c r="E213" s="11" t="s">
        <v>215</v>
      </c>
      <c r="F213" s="8" t="s">
        <v>642</v>
      </c>
      <c r="G213" s="16" t="s">
        <v>638</v>
      </c>
    </row>
    <row r="214" spans="1:7" x14ac:dyDescent="0.45">
      <c r="B214" s="4" t="s">
        <v>643</v>
      </c>
      <c r="C214" s="11"/>
      <c r="D214" s="21">
        <v>18</v>
      </c>
      <c r="E214" s="11" t="s">
        <v>215</v>
      </c>
      <c r="F214" s="8" t="s">
        <v>644</v>
      </c>
      <c r="G214" s="16" t="s">
        <v>638</v>
      </c>
    </row>
    <row r="215" spans="1:7" x14ac:dyDescent="0.45">
      <c r="B215" s="4" t="s">
        <v>645</v>
      </c>
      <c r="C215" s="11"/>
      <c r="D215" s="21">
        <v>6</v>
      </c>
      <c r="E215" s="11"/>
      <c r="F215" s="8" t="s">
        <v>646</v>
      </c>
      <c r="G215" s="16" t="s">
        <v>647</v>
      </c>
    </row>
    <row r="217" spans="1:7" x14ac:dyDescent="0.45">
      <c r="A217" s="17" t="s">
        <v>648</v>
      </c>
      <c r="B217" s="18"/>
      <c r="C217" s="18"/>
      <c r="D217" s="18"/>
      <c r="E217" s="18"/>
      <c r="F217" s="18"/>
      <c r="G217" s="18"/>
    </row>
    <row r="218" spans="1:7" ht="18" customHeight="1" x14ac:dyDescent="0.45">
      <c r="B218" s="19" t="s">
        <v>649</v>
      </c>
      <c r="C218" s="19" t="s">
        <v>650</v>
      </c>
      <c r="D218" s="19" t="s">
        <v>651</v>
      </c>
      <c r="E218" s="19" t="s">
        <v>652</v>
      </c>
    </row>
    <row r="219" spans="1:7" x14ac:dyDescent="0.45">
      <c r="B219" s="10" t="s">
        <v>653</v>
      </c>
      <c r="C219" s="10">
        <v>8</v>
      </c>
      <c r="D219" s="10">
        <v>32</v>
      </c>
      <c r="E219" s="34">
        <v>1.90625</v>
      </c>
    </row>
    <row r="220" spans="1:7" x14ac:dyDescent="0.45">
      <c r="B220" s="10" t="s">
        <v>654</v>
      </c>
      <c r="C220" s="10">
        <v>10</v>
      </c>
      <c r="D220" s="10">
        <v>32</v>
      </c>
      <c r="E220" s="34">
        <v>1.90625</v>
      </c>
    </row>
    <row r="221" spans="1:7" x14ac:dyDescent="0.45">
      <c r="B221" s="10" t="s">
        <v>619</v>
      </c>
      <c r="C221" s="10">
        <v>10</v>
      </c>
      <c r="D221" s="10">
        <v>32</v>
      </c>
      <c r="E221" s="34">
        <v>2.5625</v>
      </c>
    </row>
    <row r="222" spans="1:7" x14ac:dyDescent="0.45">
      <c r="B222" s="10" t="s">
        <v>655</v>
      </c>
      <c r="C222" s="10">
        <v>10</v>
      </c>
      <c r="D222" s="10">
        <v>32</v>
      </c>
      <c r="E222" s="34">
        <v>2.5625</v>
      </c>
    </row>
    <row r="223" spans="1:7" x14ac:dyDescent="0.45">
      <c r="B223" s="10" t="s">
        <v>483</v>
      </c>
      <c r="C223" s="10">
        <v>10</v>
      </c>
      <c r="D223" s="10">
        <v>32</v>
      </c>
      <c r="E223" s="34">
        <v>3.1875</v>
      </c>
    </row>
    <row r="224" spans="1:7" x14ac:dyDescent="0.45">
      <c r="B224" s="10" t="s">
        <v>656</v>
      </c>
      <c r="C224" s="10">
        <v>10</v>
      </c>
      <c r="D224" s="10">
        <v>32</v>
      </c>
      <c r="E224" s="34">
        <v>3.84375</v>
      </c>
    </row>
    <row r="225" spans="2:5" x14ac:dyDescent="0.45">
      <c r="B225" s="10" t="s">
        <v>657</v>
      </c>
      <c r="C225" s="10">
        <v>12</v>
      </c>
      <c r="D225" s="10">
        <v>32</v>
      </c>
      <c r="E225" s="34">
        <v>3.84375</v>
      </c>
    </row>
  </sheetData>
  <mergeCells count="1">
    <mergeCell ref="A2:G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A96A3"/>
  </sheetPr>
  <dimension ref="B1:M49"/>
  <sheetViews>
    <sheetView showGridLines="0" workbookViewId="0"/>
  </sheetViews>
  <sheetFormatPr defaultRowHeight="14.25" x14ac:dyDescent="0.45"/>
  <cols>
    <col min="1" max="1" width="2" customWidth="1"/>
    <col min="2" max="13" width="11.46484375" customWidth="1"/>
  </cols>
  <sheetData>
    <row r="1" spans="2:13" ht="20.65" x14ac:dyDescent="0.6">
      <c r="B1" s="35" t="s">
        <v>658</v>
      </c>
    </row>
    <row r="2" spans="2:13" x14ac:dyDescent="0.45">
      <c r="B2" s="8" t="s">
        <v>659</v>
      </c>
    </row>
    <row r="5" spans="2:13" ht="18" customHeight="1" x14ac:dyDescent="0.45">
      <c r="B5" s="36" t="s">
        <v>660</v>
      </c>
      <c r="C5" s="18"/>
      <c r="D5" s="18"/>
      <c r="E5" s="18"/>
      <c r="F5" s="18"/>
      <c r="G5" s="18"/>
      <c r="H5" s="18"/>
      <c r="I5" s="18"/>
      <c r="J5" s="18"/>
      <c r="K5" s="18"/>
      <c r="L5" s="18"/>
      <c r="M5" s="18"/>
    </row>
    <row r="6" spans="2:13" ht="55.8" customHeight="1" x14ac:dyDescent="0.45">
      <c r="B6" s="76" t="s">
        <v>661</v>
      </c>
      <c r="C6" s="75"/>
      <c r="D6" s="75"/>
      <c r="E6" s="75"/>
      <c r="F6" s="75"/>
      <c r="G6" s="75"/>
      <c r="H6" s="75"/>
      <c r="I6" s="75"/>
      <c r="J6" s="75"/>
      <c r="K6" s="75"/>
      <c r="L6" s="75"/>
      <c r="M6" s="75"/>
    </row>
    <row r="7" spans="2:13" ht="15" customHeight="1" x14ac:dyDescent="0.45"/>
    <row r="8" spans="2:13" ht="15" customHeight="1" x14ac:dyDescent="0.45"/>
    <row r="9" spans="2:13" ht="15" customHeight="1" x14ac:dyDescent="0.45"/>
    <row r="10" spans="2:13" ht="15" customHeight="1" x14ac:dyDescent="0.45"/>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6.25" customHeight="1" x14ac:dyDescent="0.45">
      <c r="B20" s="74" t="s">
        <v>662</v>
      </c>
      <c r="C20" s="75"/>
      <c r="D20" s="75"/>
      <c r="E20" s="75"/>
      <c r="F20" s="75"/>
      <c r="G20" s="75"/>
      <c r="H20" s="75"/>
      <c r="I20" s="75"/>
      <c r="J20" s="75"/>
      <c r="K20" s="75"/>
      <c r="L20" s="75"/>
      <c r="M20" s="75"/>
    </row>
    <row r="22" spans="2:13" ht="18" customHeight="1" x14ac:dyDescent="0.45">
      <c r="B22" s="36" t="s">
        <v>663</v>
      </c>
      <c r="C22" s="18"/>
      <c r="D22" s="18"/>
      <c r="E22" s="18"/>
      <c r="F22" s="18"/>
      <c r="G22" s="18"/>
      <c r="H22" s="18"/>
      <c r="I22" s="18"/>
      <c r="J22" s="18"/>
      <c r="K22" s="18"/>
      <c r="L22" s="18"/>
      <c r="M22" s="18"/>
    </row>
    <row r="23" spans="2:13" ht="29.45" customHeight="1" x14ac:dyDescent="0.45">
      <c r="B23" s="76" t="s">
        <v>664</v>
      </c>
      <c r="C23" s="75"/>
      <c r="D23" s="75"/>
      <c r="E23" s="75"/>
      <c r="F23" s="75"/>
      <c r="G23" s="75"/>
      <c r="H23" s="75"/>
      <c r="I23" s="75"/>
      <c r="J23" s="75"/>
      <c r="K23" s="75"/>
      <c r="L23" s="75"/>
      <c r="M23" s="75"/>
    </row>
    <row r="24" spans="2:13" ht="16.25" customHeight="1" x14ac:dyDescent="0.45">
      <c r="B24" s="76" t="s">
        <v>665</v>
      </c>
      <c r="C24" s="75"/>
      <c r="D24" s="75"/>
      <c r="E24" s="75"/>
      <c r="F24" s="75"/>
      <c r="G24" s="75"/>
      <c r="H24" s="75"/>
      <c r="I24" s="75"/>
      <c r="J24" s="75"/>
      <c r="K24" s="75"/>
      <c r="L24" s="75"/>
      <c r="M24" s="75"/>
    </row>
    <row r="25" spans="2:13" ht="16.25" customHeight="1" x14ac:dyDescent="0.45">
      <c r="B25" s="76" t="s">
        <v>666</v>
      </c>
      <c r="C25" s="75"/>
      <c r="D25" s="75"/>
      <c r="E25" s="75"/>
      <c r="F25" s="75"/>
      <c r="G25" s="75"/>
      <c r="H25" s="75"/>
      <c r="I25" s="75"/>
      <c r="J25" s="75"/>
      <c r="K25" s="75"/>
      <c r="L25" s="75"/>
      <c r="M25" s="75"/>
    </row>
    <row r="26" spans="2:13" ht="16.25" customHeight="1" x14ac:dyDescent="0.45">
      <c r="B26" s="76" t="s">
        <v>667</v>
      </c>
      <c r="C26" s="75"/>
      <c r="D26" s="75"/>
      <c r="E26" s="75"/>
      <c r="F26" s="75"/>
      <c r="G26" s="75"/>
      <c r="H26" s="75"/>
      <c r="I26" s="75"/>
      <c r="J26" s="75"/>
      <c r="K26" s="75"/>
      <c r="L26" s="75"/>
      <c r="M26" s="75"/>
    </row>
    <row r="28" spans="2:13" ht="18" customHeight="1" x14ac:dyDescent="0.45">
      <c r="B28" s="36" t="s">
        <v>668</v>
      </c>
      <c r="C28" s="18"/>
      <c r="D28" s="18"/>
      <c r="E28" s="18"/>
      <c r="F28" s="18"/>
      <c r="G28" s="18"/>
      <c r="H28" s="18"/>
      <c r="I28" s="18"/>
      <c r="J28" s="18"/>
      <c r="K28" s="18"/>
      <c r="L28" s="18"/>
      <c r="M28" s="18"/>
    </row>
    <row r="29" spans="2:13" ht="29.45" customHeight="1" x14ac:dyDescent="0.45">
      <c r="B29" s="76" t="s">
        <v>669</v>
      </c>
      <c r="C29" s="75"/>
      <c r="D29" s="75"/>
      <c r="E29" s="75"/>
      <c r="F29" s="75"/>
      <c r="G29" s="75"/>
      <c r="H29" s="75"/>
      <c r="I29" s="75"/>
      <c r="J29" s="75"/>
      <c r="K29" s="75"/>
      <c r="L29" s="75"/>
      <c r="M29" s="75"/>
    </row>
    <row r="30" spans="2:13" ht="15" customHeight="1" x14ac:dyDescent="0.45"/>
    <row r="31" spans="2:13" ht="15" customHeight="1" x14ac:dyDescent="0.45"/>
    <row r="32" spans="2:13" ht="15" customHeight="1" x14ac:dyDescent="0.45"/>
    <row r="33" spans="2:13" ht="29.45" customHeight="1" x14ac:dyDescent="0.45">
      <c r="B33" s="74" t="s">
        <v>670</v>
      </c>
      <c r="C33" s="75"/>
      <c r="D33" s="75"/>
      <c r="E33" s="75"/>
      <c r="F33" s="75"/>
      <c r="G33" s="75"/>
      <c r="H33" s="75"/>
      <c r="I33" s="75"/>
      <c r="J33" s="75"/>
      <c r="K33" s="75"/>
      <c r="L33" s="75"/>
      <c r="M33" s="75"/>
    </row>
    <row r="34" spans="2:13" x14ac:dyDescent="0.45">
      <c r="B34" s="77" t="s">
        <v>106</v>
      </c>
      <c r="C34" s="77" t="s">
        <v>671</v>
      </c>
      <c r="D34" s="78"/>
      <c r="E34" s="78"/>
      <c r="F34" s="78"/>
      <c r="G34" s="78"/>
      <c r="H34" s="77" t="s">
        <v>672</v>
      </c>
      <c r="I34" s="78"/>
      <c r="J34" s="78"/>
      <c r="K34" s="77" t="s">
        <v>673</v>
      </c>
      <c r="L34" s="78"/>
      <c r="M34" s="78"/>
    </row>
    <row r="35" spans="2:13" ht="15.2" customHeight="1" x14ac:dyDescent="0.45">
      <c r="B35" s="76" t="s">
        <v>240</v>
      </c>
      <c r="C35" s="76" t="s">
        <v>674</v>
      </c>
      <c r="D35" s="75"/>
      <c r="E35" s="75"/>
      <c r="F35" s="75"/>
      <c r="G35" s="75"/>
      <c r="H35" s="76" t="s">
        <v>675</v>
      </c>
      <c r="I35" s="75"/>
      <c r="J35" s="75"/>
      <c r="K35" s="76" t="s">
        <v>215</v>
      </c>
      <c r="L35" s="75"/>
      <c r="M35" s="75"/>
    </row>
    <row r="36" spans="2:13" ht="15.2" customHeight="1" x14ac:dyDescent="0.45">
      <c r="B36" s="76" t="s">
        <v>676</v>
      </c>
      <c r="C36" s="76" t="s">
        <v>677</v>
      </c>
      <c r="D36" s="75"/>
      <c r="E36" s="75"/>
      <c r="F36" s="75"/>
      <c r="G36" s="75"/>
      <c r="H36" s="76" t="s">
        <v>527</v>
      </c>
      <c r="I36" s="75"/>
      <c r="J36" s="75"/>
      <c r="K36" s="76" t="s">
        <v>215</v>
      </c>
      <c r="L36" s="75"/>
      <c r="M36" s="75"/>
    </row>
    <row r="37" spans="2:13" ht="15.2" customHeight="1" x14ac:dyDescent="0.45">
      <c r="B37" s="76" t="s">
        <v>678</v>
      </c>
      <c r="C37" s="76" t="s">
        <v>679</v>
      </c>
      <c r="D37" s="75"/>
      <c r="E37" s="75"/>
      <c r="F37" s="75"/>
      <c r="G37" s="75"/>
      <c r="H37" s="76" t="s">
        <v>530</v>
      </c>
      <c r="I37" s="75"/>
      <c r="J37" s="75"/>
      <c r="K37" s="76" t="s">
        <v>215</v>
      </c>
      <c r="L37" s="75"/>
      <c r="M37" s="75"/>
    </row>
    <row r="38" spans="2:13" ht="15.2" customHeight="1" x14ac:dyDescent="0.45">
      <c r="B38" s="76" t="s">
        <v>680</v>
      </c>
      <c r="C38" s="76" t="s">
        <v>681</v>
      </c>
      <c r="D38" s="75"/>
      <c r="E38" s="75"/>
      <c r="F38" s="75"/>
      <c r="G38" s="75"/>
      <c r="H38" s="76" t="s">
        <v>533</v>
      </c>
      <c r="I38" s="75"/>
      <c r="J38" s="75"/>
      <c r="K38" s="76" t="s">
        <v>215</v>
      </c>
      <c r="L38" s="75"/>
      <c r="M38" s="75"/>
    </row>
    <row r="39" spans="2:13" ht="15.2" customHeight="1" x14ac:dyDescent="0.45">
      <c r="B39" s="76" t="s">
        <v>682</v>
      </c>
      <c r="C39" s="76" t="s">
        <v>683</v>
      </c>
      <c r="D39" s="75"/>
      <c r="E39" s="75"/>
      <c r="F39" s="75"/>
      <c r="G39" s="75"/>
      <c r="H39" s="76" t="s">
        <v>684</v>
      </c>
      <c r="I39" s="75"/>
      <c r="J39" s="75"/>
      <c r="K39" s="76" t="s">
        <v>685</v>
      </c>
      <c r="L39" s="75"/>
      <c r="M39" s="75"/>
    </row>
    <row r="42" spans="2:13" ht="18" customHeight="1" x14ac:dyDescent="0.45">
      <c r="B42" s="36" t="s">
        <v>686</v>
      </c>
      <c r="C42" s="18"/>
      <c r="D42" s="18"/>
      <c r="E42" s="18"/>
      <c r="F42" s="18"/>
      <c r="G42" s="18"/>
      <c r="H42" s="18"/>
      <c r="I42" s="18"/>
      <c r="J42" s="18"/>
      <c r="K42" s="18"/>
      <c r="L42" s="18"/>
      <c r="M42" s="18"/>
    </row>
    <row r="43" spans="2:13" ht="42.6" customHeight="1" x14ac:dyDescent="0.45">
      <c r="B43" s="76" t="s">
        <v>687</v>
      </c>
      <c r="C43" s="75"/>
      <c r="D43" s="75"/>
      <c r="E43" s="75"/>
      <c r="F43" s="75"/>
      <c r="G43" s="75"/>
      <c r="H43" s="75"/>
      <c r="I43" s="75"/>
      <c r="J43" s="75"/>
      <c r="K43" s="75"/>
      <c r="L43" s="75"/>
      <c r="M43" s="75"/>
    </row>
    <row r="45" spans="2:13" ht="18" customHeight="1" x14ac:dyDescent="0.45">
      <c r="B45" s="36" t="s">
        <v>688</v>
      </c>
      <c r="C45" s="18"/>
      <c r="D45" s="18"/>
      <c r="E45" s="18"/>
      <c r="F45" s="18"/>
      <c r="G45" s="18"/>
      <c r="H45" s="18"/>
      <c r="I45" s="18"/>
      <c r="J45" s="18"/>
      <c r="K45" s="18"/>
      <c r="L45" s="18"/>
      <c r="M45" s="18"/>
    </row>
    <row r="46" spans="2:13" ht="16.25" customHeight="1" x14ac:dyDescent="0.45">
      <c r="B46" s="76" t="s">
        <v>689</v>
      </c>
      <c r="C46" s="75"/>
      <c r="D46" s="75"/>
      <c r="E46" s="75"/>
      <c r="F46" s="75"/>
      <c r="G46" s="75"/>
      <c r="H46" s="75"/>
      <c r="I46" s="75"/>
      <c r="J46" s="75"/>
      <c r="K46" s="75"/>
      <c r="L46" s="75"/>
      <c r="M46" s="75"/>
    </row>
    <row r="47" spans="2:13" ht="16.25" customHeight="1" x14ac:dyDescent="0.45">
      <c r="B47" s="76" t="s">
        <v>690</v>
      </c>
      <c r="C47" s="75"/>
      <c r="D47" s="75"/>
      <c r="E47" s="75"/>
      <c r="F47" s="75"/>
      <c r="G47" s="75"/>
      <c r="H47" s="75"/>
      <c r="I47" s="75"/>
      <c r="J47" s="75"/>
      <c r="K47" s="75"/>
      <c r="L47" s="75"/>
      <c r="M47" s="75"/>
    </row>
    <row r="48" spans="2:13" ht="16.25" customHeight="1" x14ac:dyDescent="0.45">
      <c r="B48" s="76" t="s">
        <v>691</v>
      </c>
      <c r="C48" s="75"/>
      <c r="D48" s="75"/>
      <c r="E48" s="75"/>
      <c r="F48" s="75"/>
      <c r="G48" s="75"/>
      <c r="H48" s="75"/>
      <c r="I48" s="75"/>
      <c r="J48" s="75"/>
      <c r="K48" s="75"/>
      <c r="L48" s="75"/>
      <c r="M48" s="75"/>
    </row>
    <row r="49" spans="2:13" ht="29.45" customHeight="1" x14ac:dyDescent="0.45">
      <c r="B49" s="76" t="s">
        <v>692</v>
      </c>
      <c r="C49" s="75"/>
      <c r="D49" s="75"/>
      <c r="E49" s="75"/>
      <c r="F49" s="75"/>
      <c r="G49" s="75"/>
      <c r="H49" s="75"/>
      <c r="I49" s="75"/>
      <c r="J49" s="75"/>
      <c r="K49" s="75"/>
      <c r="L49" s="75"/>
      <c r="M49" s="75"/>
    </row>
  </sheetData>
  <mergeCells count="37">
    <mergeCell ref="H34:J34"/>
    <mergeCell ref="K35:M35"/>
    <mergeCell ref="C37:G37"/>
    <mergeCell ref="B37"/>
    <mergeCell ref="B43:M43"/>
    <mergeCell ref="B49:M49"/>
    <mergeCell ref="B6:M6"/>
    <mergeCell ref="B24:M24"/>
    <mergeCell ref="K38:M38"/>
    <mergeCell ref="B33:M33"/>
    <mergeCell ref="B20:M20"/>
    <mergeCell ref="K37:M37"/>
    <mergeCell ref="B39"/>
    <mergeCell ref="B26:M26"/>
    <mergeCell ref="H35:J35"/>
    <mergeCell ref="K34:M34"/>
    <mergeCell ref="C36:G36"/>
    <mergeCell ref="C39:G39"/>
    <mergeCell ref="H38:J38"/>
    <mergeCell ref="B47:M47"/>
    <mergeCell ref="B25:M25"/>
    <mergeCell ref="B48:M48"/>
    <mergeCell ref="C34:G34"/>
    <mergeCell ref="H36:J36"/>
    <mergeCell ref="B23:M23"/>
    <mergeCell ref="B36"/>
    <mergeCell ref="B29:M29"/>
    <mergeCell ref="B35"/>
    <mergeCell ref="C35:G35"/>
    <mergeCell ref="H37:J37"/>
    <mergeCell ref="H39:J39"/>
    <mergeCell ref="K39:M39"/>
    <mergeCell ref="C38:G38"/>
    <mergeCell ref="K36:M36"/>
    <mergeCell ref="B46:M46"/>
    <mergeCell ref="B38"/>
    <mergeCell ref="B34"/>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2A36"/>
  </sheetPr>
  <dimension ref="A1:L37"/>
  <sheetViews>
    <sheetView showGridLines="0" workbookViewId="0"/>
  </sheetViews>
  <sheetFormatPr defaultRowHeight="14.25" x14ac:dyDescent="0.45"/>
  <cols>
    <col min="1" max="1" width="3" customWidth="1"/>
    <col min="2" max="2" width="40" customWidth="1"/>
    <col min="3" max="3" width="11" customWidth="1"/>
    <col min="4" max="4" width="16" customWidth="1"/>
    <col min="5" max="5" width="9" customWidth="1"/>
    <col min="6" max="6" width="16" customWidth="1"/>
    <col min="7" max="13" width="14" customWidth="1"/>
  </cols>
  <sheetData>
    <row r="1" spans="1:12" ht="17.649999999999999" x14ac:dyDescent="0.5">
      <c r="A1" s="15" t="s">
        <v>32</v>
      </c>
      <c r="K1" s="37" t="s">
        <v>111</v>
      </c>
      <c r="L1" s="2" t="str">
        <f>""&amp;TB_Project</f>
        <v>D2 I-95 Pedestrian Bridge</v>
      </c>
    </row>
    <row r="2" spans="1:12" x14ac:dyDescent="0.45">
      <c r="A2" s="8" t="s">
        <v>693</v>
      </c>
      <c r="K2" s="37" t="s">
        <v>119</v>
      </c>
      <c r="L2" s="2" t="str">
        <f>""&amp;TB_JobNo</f>
        <v/>
      </c>
    </row>
    <row r="3" spans="1:12" x14ac:dyDescent="0.45">
      <c r="K3" s="37" t="s">
        <v>694</v>
      </c>
      <c r="L3" s="2" t="str">
        <f>TB_CalcBy&amp;"  "&amp;TB_CalcDate</f>
        <v xml:space="preserve">  </v>
      </c>
    </row>
    <row r="4" spans="1:12" x14ac:dyDescent="0.45">
      <c r="K4" s="37" t="s">
        <v>695</v>
      </c>
      <c r="L4" s="2" t="str">
        <f>TB_CheckBy&amp;"  "&amp;TB_CheckDate</f>
        <v xml:space="preserve">  </v>
      </c>
    </row>
    <row r="6" spans="1:12" x14ac:dyDescent="0.45">
      <c r="A6" s="17" t="s">
        <v>696</v>
      </c>
      <c r="B6" s="18"/>
      <c r="C6" s="18"/>
      <c r="D6" s="18"/>
      <c r="E6" s="18"/>
      <c r="F6" s="18"/>
      <c r="G6" s="18"/>
      <c r="H6" s="18"/>
      <c r="I6" s="18"/>
      <c r="J6" s="18"/>
    </row>
    <row r="7" spans="1:12" ht="18" customHeight="1" x14ac:dyDescent="0.45">
      <c r="B7" s="19" t="s">
        <v>105</v>
      </c>
      <c r="C7" s="19" t="s">
        <v>106</v>
      </c>
      <c r="D7" s="19" t="s">
        <v>107</v>
      </c>
      <c r="E7" s="19" t="s">
        <v>108</v>
      </c>
      <c r="F7" s="19" t="s">
        <v>109</v>
      </c>
      <c r="G7" s="19" t="s">
        <v>110</v>
      </c>
    </row>
    <row r="8" spans="1:12" x14ac:dyDescent="0.45">
      <c r="B8" s="4" t="s">
        <v>697</v>
      </c>
      <c r="C8" s="11" t="s">
        <v>698</v>
      </c>
      <c r="D8" s="24">
        <f>Prof_Sta1-Prof_Sta0</f>
        <v>212.25</v>
      </c>
      <c r="E8" s="11" t="s">
        <v>139</v>
      </c>
      <c r="F8" s="8" t="s">
        <v>699</v>
      </c>
      <c r="G8" s="16" t="s">
        <v>700</v>
      </c>
    </row>
    <row r="9" spans="1:12" ht="34.9" x14ac:dyDescent="0.45">
      <c r="B9" s="4" t="s">
        <v>701</v>
      </c>
      <c r="C9" s="11" t="s">
        <v>702</v>
      </c>
      <c r="D9" s="24">
        <f>(Prof_Z0+Prof_Gnom*(Prof_PISta-Prof_Sta0)+Prof_Z1+Prof_Gnom*(Prof_Sta1-Prof_PISta))/2</f>
        <v>48.197625000000002</v>
      </c>
      <c r="E9" s="11" t="s">
        <v>139</v>
      </c>
      <c r="F9" s="8" t="s">
        <v>703</v>
      </c>
      <c r="G9" s="16" t="s">
        <v>704</v>
      </c>
    </row>
    <row r="10" spans="1:12" ht="34.9" x14ac:dyDescent="0.45">
      <c r="B10" s="4" t="s">
        <v>705</v>
      </c>
      <c r="C10" s="11" t="s">
        <v>706</v>
      </c>
      <c r="D10" s="38">
        <f>IF(Prof_Mode="parabolic",(Prof_Z1-Prof_Z0)/Prof_L-Prof_dG/2,(Prof_PIZ-Prof_Z0)/(Prof_PISta-Prof_Sta0))</f>
        <v>4.9988355845365746E-3</v>
      </c>
      <c r="E10" s="11" t="s">
        <v>160</v>
      </c>
      <c r="F10" s="8" t="s">
        <v>707</v>
      </c>
      <c r="G10" s="16" t="s">
        <v>708</v>
      </c>
    </row>
    <row r="11" spans="1:12" ht="34.9" x14ac:dyDescent="0.45">
      <c r="B11" s="4" t="s">
        <v>709</v>
      </c>
      <c r="C11" s="11" t="s">
        <v>710</v>
      </c>
      <c r="D11" s="38">
        <f>IF(Prof_Mode="parabolic",Prof_G1+Prof_dG,(Prof_Z1-Prof_PIZ)/(Prof_Sta1-Prof_PISta))</f>
        <v>-5.0011916110581497E-3</v>
      </c>
      <c r="E11" s="11" t="s">
        <v>160</v>
      </c>
      <c r="F11" s="8" t="s">
        <v>711</v>
      </c>
      <c r="G11" s="16" t="s">
        <v>708</v>
      </c>
    </row>
    <row r="12" spans="1:12" ht="23.25" x14ac:dyDescent="0.45">
      <c r="B12" s="4" t="s">
        <v>712</v>
      </c>
      <c r="C12" s="11" t="s">
        <v>713</v>
      </c>
      <c r="D12" s="39">
        <f>IF(Prof_Mode="parabolic",0.5*(Prof_G2-Prof_G1)/Prof_L,0)</f>
        <v>0</v>
      </c>
      <c r="E12" s="11" t="s">
        <v>714</v>
      </c>
      <c r="F12" s="8" t="s">
        <v>715</v>
      </c>
      <c r="G12" s="16" t="s">
        <v>716</v>
      </c>
    </row>
    <row r="14" spans="1:12" x14ac:dyDescent="0.45">
      <c r="A14" s="17" t="s">
        <v>717</v>
      </c>
      <c r="B14" s="18"/>
      <c r="C14" s="18"/>
      <c r="D14" s="18"/>
      <c r="E14" s="18"/>
      <c r="F14" s="18"/>
      <c r="G14" s="18"/>
      <c r="H14" s="18"/>
      <c r="I14" s="18"/>
      <c r="J14" s="18"/>
    </row>
    <row r="15" spans="1:12" ht="18" customHeight="1" x14ac:dyDescent="0.45">
      <c r="B15" s="19" t="s">
        <v>718</v>
      </c>
      <c r="C15" s="19" t="s">
        <v>719</v>
      </c>
      <c r="D15" s="19" t="s">
        <v>720</v>
      </c>
      <c r="E15" s="19" t="s">
        <v>721</v>
      </c>
    </row>
    <row r="16" spans="1:12" x14ac:dyDescent="0.45">
      <c r="B16" s="11" t="s">
        <v>722</v>
      </c>
      <c r="C16" s="40">
        <f>Prof_Sta0</f>
        <v>1593.22</v>
      </c>
      <c r="D16" s="41">
        <f>IF(Prof_Mode="parabolic",Prof_Z0+Prof_G1*((C16)-Prof_Sta0)+Prof_Kq*((C16)-Prof_Sta0)^2,IF((C16)&lt;=Prof_PISta,Prof_Z0+Prof_G1*((C16)-Prof_Sta0),Prof_PIZ+Prof_G2*((C16)-Prof_PISta)))</f>
        <v>47.661000000000001</v>
      </c>
      <c r="E16" s="11" t="str">
        <f>TEXT(INT(ROUND(C16*100,0)/10000),"0")&amp;"+"&amp;TEXT(MOD(ROUND(C16*100,0),10000)/100,"00.00")</f>
        <v>15+93.22</v>
      </c>
    </row>
    <row r="17" spans="1:12" x14ac:dyDescent="0.45">
      <c r="B17" s="11" t="s">
        <v>723</v>
      </c>
      <c r="C17" s="40">
        <f>Prof_PISta</f>
        <v>1700.57</v>
      </c>
      <c r="D17" s="41">
        <f>IF(Prof_Mode="parabolic",Prof_Z0+Prof_G1*((C17)-Prof_Sta0)+Prof_Kq*((C17)-Prof_Sta0)^2,IF((C17)&lt;=Prof_PISta,Prof_Z0+Prof_G1*((C17)-Prof_Sta0),Prof_PIZ+Prof_G2*((C17)-Prof_PISta)))</f>
        <v>48.197625000000002</v>
      </c>
      <c r="E17" s="11" t="str">
        <f>TEXT(INT(ROUND(C17*100,0)/10000),"0")&amp;"+"&amp;TEXT(MOD(ROUND(C17*100,0),10000)/100,"00.00")</f>
        <v>17+00.57</v>
      </c>
    </row>
    <row r="18" spans="1:12" x14ac:dyDescent="0.45">
      <c r="B18" s="11" t="s">
        <v>724</v>
      </c>
      <c r="C18" s="40">
        <f>Prof_Sta1</f>
        <v>1805.47</v>
      </c>
      <c r="D18" s="41">
        <f>IF(Prof_Mode="parabolic",Prof_Z0+Prof_G1*((C18)-Prof_Sta0)+Prof_Kq*((C18)-Prof_Sta0)^2,IF((C18)&lt;=Prof_PISta,Prof_Z0+Prof_G1*((C18)-Prof_Sta0),Prof_PIZ+Prof_G2*((C18)-Prof_PISta)))</f>
        <v>47.673000000000002</v>
      </c>
      <c r="E18" s="11" t="str">
        <f>TEXT(INT(ROUND(C18*100,0)/10000),"0")&amp;"+"&amp;TEXT(MOD(ROUND(C18*100,0),10000)/100,"00.00")</f>
        <v>18+05.47</v>
      </c>
    </row>
    <row r="20" spans="1:12" x14ac:dyDescent="0.45">
      <c r="A20" s="17" t="s">
        <v>725</v>
      </c>
      <c r="B20" s="18"/>
      <c r="C20" s="18"/>
      <c r="D20" s="18"/>
      <c r="E20" s="18"/>
      <c r="F20" s="18"/>
      <c r="G20" s="18"/>
      <c r="H20" s="18"/>
      <c r="I20" s="18"/>
      <c r="J20" s="18"/>
    </row>
    <row r="21" spans="1:12" ht="18" customHeight="1" x14ac:dyDescent="0.45">
      <c r="B21" s="19" t="s">
        <v>105</v>
      </c>
      <c r="C21" s="19" t="s">
        <v>106</v>
      </c>
      <c r="D21" s="19" t="s">
        <v>107</v>
      </c>
      <c r="E21" s="19" t="s">
        <v>108</v>
      </c>
      <c r="F21" s="19" t="s">
        <v>109</v>
      </c>
      <c r="G21" s="19" t="s">
        <v>110</v>
      </c>
    </row>
    <row r="22" spans="1:12" ht="46.5" x14ac:dyDescent="0.45">
      <c r="B22" s="4" t="s">
        <v>726</v>
      </c>
      <c r="C22" s="11"/>
      <c r="D22" s="24">
        <f>Deck_C-Deck_W/2</f>
        <v>-6.7916666666666652</v>
      </c>
      <c r="E22" s="11" t="s">
        <v>139</v>
      </c>
      <c r="F22" s="8" t="s">
        <v>727</v>
      </c>
      <c r="G22" s="16" t="s">
        <v>728</v>
      </c>
    </row>
    <row r="23" spans="1:12" x14ac:dyDescent="0.45">
      <c r="B23" s="4" t="s">
        <v>729</v>
      </c>
      <c r="C23" s="11"/>
      <c r="D23" s="24">
        <f>Deck_C+Deck_W/2</f>
        <v>6.7916666666666652</v>
      </c>
      <c r="E23" s="11" t="s">
        <v>139</v>
      </c>
      <c r="F23" s="8" t="s">
        <v>730</v>
      </c>
      <c r="G23" s="16"/>
    </row>
    <row r="24" spans="1:12" x14ac:dyDescent="0.45">
      <c r="B24" s="4" t="s">
        <v>731</v>
      </c>
      <c r="C24" s="11"/>
      <c r="D24" s="24">
        <f>IF(Deck_Mode="uniform",Deck_Uni*(Deck_YL),Deck_Crown*ABS(Deck_YL))</f>
        <v>-0.13583333333333331</v>
      </c>
      <c r="E24" s="11" t="s">
        <v>139</v>
      </c>
      <c r="F24" s="8" t="s">
        <v>732</v>
      </c>
      <c r="G24" s="16" t="s">
        <v>733</v>
      </c>
    </row>
    <row r="25" spans="1:12" x14ac:dyDescent="0.45">
      <c r="B25" s="4" t="s">
        <v>734</v>
      </c>
      <c r="C25" s="11"/>
      <c r="D25" s="24">
        <f>IF(Deck_Mode="uniform",Deck_Uni*(Deck_YR),Deck_Crown*ABS(Deck_YR))</f>
        <v>-0.13583333333333331</v>
      </c>
      <c r="E25" s="11" t="s">
        <v>139</v>
      </c>
      <c r="F25" s="8" t="s">
        <v>735</v>
      </c>
      <c r="G25" s="16" t="s">
        <v>733</v>
      </c>
    </row>
    <row r="27" spans="1:12" x14ac:dyDescent="0.45">
      <c r="A27" s="17" t="s">
        <v>736</v>
      </c>
      <c r="B27" s="18"/>
      <c r="C27" s="18"/>
      <c r="D27" s="18"/>
      <c r="E27" s="18"/>
      <c r="F27" s="18"/>
      <c r="G27" s="18"/>
      <c r="H27" s="18"/>
      <c r="I27" s="18"/>
      <c r="J27" s="18"/>
      <c r="K27" s="18"/>
      <c r="L27" s="18"/>
    </row>
    <row r="28" spans="1:12" ht="30" customHeight="1" x14ac:dyDescent="0.45">
      <c r="B28" s="19" t="s">
        <v>737</v>
      </c>
      <c r="C28" s="19" t="s">
        <v>738</v>
      </c>
      <c r="D28" s="19" t="s">
        <v>739</v>
      </c>
      <c r="E28" s="19" t="s">
        <v>740</v>
      </c>
      <c r="F28" s="19" t="s">
        <v>741</v>
      </c>
      <c r="G28" s="19" t="s">
        <v>742</v>
      </c>
      <c r="H28" s="19" t="s">
        <v>743</v>
      </c>
      <c r="I28" s="19" t="s">
        <v>744</v>
      </c>
      <c r="J28" s="19" t="s">
        <v>745</v>
      </c>
      <c r="K28" s="19" t="s">
        <v>746</v>
      </c>
      <c r="L28" s="19" t="s">
        <v>747</v>
      </c>
    </row>
    <row r="29" spans="1:12" x14ac:dyDescent="0.45">
      <c r="B29" s="11" t="s">
        <v>748</v>
      </c>
      <c r="C29" s="41">
        <f>IF(ISNUMBER(Bm_First),Bm_First,-(Bm_Gap1)/2)</f>
        <v>-4.291666666666667</v>
      </c>
      <c r="D29" s="41">
        <f>C29-Bm_Bf/24</f>
        <v>-6.291666666666667</v>
      </c>
      <c r="E29" s="41">
        <f>C29</f>
        <v>-4.291666666666667</v>
      </c>
      <c r="F29" s="41">
        <f>C29+Bm_Bf/24</f>
        <v>-2.291666666666667</v>
      </c>
      <c r="G29" s="41">
        <f>MAX(D29,MIN(0,F29))</f>
        <v>-2.291666666666667</v>
      </c>
      <c r="H29" s="41">
        <f t="shared" ref="H29:K30" si="0">IF(Deck_Mode="uniform",Deck_Uni*(D29),Deck_Crown*ABS(D29))</f>
        <v>-0.12583333333333335</v>
      </c>
      <c r="I29" s="41">
        <f t="shared" si="0"/>
        <v>-8.5833333333333345E-2</v>
      </c>
      <c r="J29" s="41">
        <f t="shared" si="0"/>
        <v>-4.5833333333333337E-2</v>
      </c>
      <c r="K29" s="41">
        <f t="shared" si="0"/>
        <v>-4.5833333333333337E-2</v>
      </c>
      <c r="L29" s="41">
        <f>MIN(H29:K29)</f>
        <v>-0.12583333333333335</v>
      </c>
    </row>
    <row r="30" spans="1:12" x14ac:dyDescent="0.45">
      <c r="B30" s="11" t="s">
        <v>749</v>
      </c>
      <c r="C30" s="41">
        <f>Bm1_Off+Bm_Gap1</f>
        <v>4.291666666666667</v>
      </c>
      <c r="D30" s="41">
        <f>C30-Bm_Bf/24</f>
        <v>2.291666666666667</v>
      </c>
      <c r="E30" s="41">
        <f>C30</f>
        <v>4.291666666666667</v>
      </c>
      <c r="F30" s="41">
        <f>C30+Bm_Bf/24</f>
        <v>6.291666666666667</v>
      </c>
      <c r="G30" s="41">
        <f>MAX(D30,MIN(0,F30))</f>
        <v>2.291666666666667</v>
      </c>
      <c r="H30" s="41">
        <f t="shared" si="0"/>
        <v>-4.5833333333333337E-2</v>
      </c>
      <c r="I30" s="41">
        <f t="shared" si="0"/>
        <v>-8.5833333333333345E-2</v>
      </c>
      <c r="J30" s="41">
        <f t="shared" si="0"/>
        <v>-0.12583333333333335</v>
      </c>
      <c r="K30" s="41">
        <f t="shared" si="0"/>
        <v>-4.5833333333333337E-2</v>
      </c>
      <c r="L30" s="41">
        <f>MIN(H30:K30)</f>
        <v>-0.12583333333333335</v>
      </c>
    </row>
    <row r="32" spans="1:12" x14ac:dyDescent="0.45">
      <c r="A32" s="17" t="s">
        <v>750</v>
      </c>
      <c r="B32" s="18"/>
      <c r="C32" s="18"/>
      <c r="D32" s="18"/>
      <c r="E32" s="18"/>
      <c r="F32" s="18"/>
      <c r="G32" s="18"/>
      <c r="H32" s="18"/>
      <c r="I32" s="18"/>
      <c r="J32" s="18"/>
    </row>
    <row r="33" spans="2:3" x14ac:dyDescent="0.45">
      <c r="B33" s="11" t="s">
        <v>751</v>
      </c>
      <c r="C33" s="42" t="str">
        <f>IF(AND(Bm1_FL&gt;=Deck_YL-0.000000001,Bm2_FR&lt;=Deck_YR+0.000000001),"PASS","FAIL")</f>
        <v>PASS</v>
      </c>
    </row>
    <row r="34" spans="2:3" x14ac:dyDescent="0.45">
      <c r="B34" s="11" t="s">
        <v>752</v>
      </c>
      <c r="C34" s="42" t="str">
        <f>IF(MIN(Bm_Gap1)&gt;=Bm_Bf/12-0.000000001,"PASS","FAIL")</f>
        <v>PASS</v>
      </c>
    </row>
    <row r="35" spans="2:3" x14ac:dyDescent="0.45">
      <c r="B35" s="11" t="s">
        <v>753</v>
      </c>
      <c r="C35" s="42" t="str">
        <f>IF(OR(Deck_Mode="crowned",Deck_Mode="uniform"),"PASS","FAIL")</f>
        <v>PASS</v>
      </c>
    </row>
    <row r="36" spans="2:3" x14ac:dyDescent="0.45">
      <c r="B36" s="11" t="s">
        <v>754</v>
      </c>
      <c r="C36" s="42" t="str">
        <f>IF(OR(Prof_Mode="brokeback",Prof_Mode="parabolic"),"PASS","FAIL")</f>
        <v>PASS</v>
      </c>
    </row>
    <row r="37" spans="2:3" x14ac:dyDescent="0.45">
      <c r="B37" s="11" t="s">
        <v>755</v>
      </c>
      <c r="C37" s="42" t="str">
        <f>IF(AND(Prof_PISta&gt;Prof_Sta0,Prof_PISta&lt;Prof_Sta1),"PASS","FAIL")</f>
        <v>PASS</v>
      </c>
    </row>
  </sheetData>
  <conditionalFormatting sqref="C33:C37">
    <cfRule type="cellIs" dxfId="44" priority="1" operator="equal">
      <formula>"PASS"</formula>
    </cfRule>
    <cfRule type="cellIs" dxfId="43" priority="2" operator="equal">
      <formula>"FAIL"</formula>
    </cfRule>
    <cfRule type="cellIs" dxfId="42" priority="3" operator="equal">
      <formula>"CHECK"</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A96A3"/>
  </sheetPr>
  <dimension ref="B1:M77"/>
  <sheetViews>
    <sheetView showGridLines="0" workbookViewId="0"/>
  </sheetViews>
  <sheetFormatPr defaultRowHeight="14.25" x14ac:dyDescent="0.45"/>
  <cols>
    <col min="1" max="1" width="2" customWidth="1"/>
    <col min="2" max="13" width="11.46484375" customWidth="1"/>
  </cols>
  <sheetData>
    <row r="1" spans="2:13" ht="20.65" x14ac:dyDescent="0.6">
      <c r="B1" s="35" t="s">
        <v>756</v>
      </c>
    </row>
    <row r="2" spans="2:13" x14ac:dyDescent="0.45">
      <c r="B2" s="8" t="s">
        <v>757</v>
      </c>
    </row>
    <row r="5" spans="2:13" ht="18" customHeight="1" x14ac:dyDescent="0.45">
      <c r="B5" s="36" t="s">
        <v>758</v>
      </c>
      <c r="C5" s="18"/>
      <c r="D5" s="18"/>
      <c r="E5" s="18"/>
      <c r="F5" s="18"/>
      <c r="G5" s="18"/>
      <c r="H5" s="18"/>
      <c r="I5" s="18"/>
      <c r="J5" s="18"/>
      <c r="K5" s="18"/>
      <c r="L5" s="18"/>
      <c r="M5" s="18"/>
    </row>
    <row r="6" spans="2:13" ht="29.45" customHeight="1" x14ac:dyDescent="0.45">
      <c r="B6" s="76" t="s">
        <v>759</v>
      </c>
      <c r="C6" s="75"/>
      <c r="D6" s="75"/>
      <c r="E6" s="75"/>
      <c r="F6" s="75"/>
      <c r="G6" s="75"/>
      <c r="H6" s="75"/>
      <c r="I6" s="75"/>
      <c r="J6" s="75"/>
      <c r="K6" s="75"/>
      <c r="L6" s="75"/>
      <c r="M6" s="75"/>
    </row>
    <row r="7" spans="2:13" ht="15" customHeight="1" x14ac:dyDescent="0.45"/>
    <row r="8" spans="2:13" ht="15" customHeight="1" x14ac:dyDescent="0.45"/>
    <row r="9" spans="2:13" ht="15" customHeight="1" x14ac:dyDescent="0.45"/>
    <row r="10" spans="2:13" ht="15" customHeight="1" x14ac:dyDescent="0.45"/>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6.25" customHeight="1" x14ac:dyDescent="0.45">
      <c r="B16" s="76" t="s">
        <v>760</v>
      </c>
      <c r="C16" s="75"/>
      <c r="D16" s="75"/>
      <c r="E16" s="75"/>
      <c r="F16" s="75"/>
      <c r="G16" s="75"/>
      <c r="H16" s="75"/>
      <c r="I16" s="75"/>
      <c r="J16" s="75"/>
      <c r="K16" s="75"/>
      <c r="L16" s="75"/>
      <c r="M16" s="75"/>
    </row>
    <row r="17" spans="2:13" ht="16.25" customHeight="1" x14ac:dyDescent="0.45">
      <c r="B17" s="76" t="s">
        <v>761</v>
      </c>
      <c r="C17" s="75"/>
      <c r="D17" s="75"/>
      <c r="E17" s="75"/>
      <c r="F17" s="75"/>
      <c r="G17" s="75"/>
      <c r="H17" s="75"/>
      <c r="I17" s="75"/>
      <c r="J17" s="75"/>
      <c r="K17" s="75"/>
      <c r="L17" s="75"/>
      <c r="M17" s="75"/>
    </row>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15" customHeight="1" x14ac:dyDescent="0.45"/>
    <row r="26" spans="2:13" ht="15" customHeight="1" x14ac:dyDescent="0.45"/>
    <row r="27" spans="2:13" ht="15" customHeight="1" x14ac:dyDescent="0.45"/>
    <row r="28" spans="2:13" ht="15" customHeight="1" x14ac:dyDescent="0.45"/>
    <row r="29" spans="2:13" ht="15" customHeight="1" x14ac:dyDescent="0.45"/>
    <row r="30" spans="2:13" ht="15" customHeight="1" x14ac:dyDescent="0.45"/>
    <row r="31" spans="2:13" ht="15" customHeight="1" x14ac:dyDescent="0.45"/>
    <row r="32" spans="2:13" ht="15" customHeight="1" x14ac:dyDescent="0.45"/>
    <row r="33" spans="2:13" ht="15" customHeight="1" x14ac:dyDescent="0.45"/>
    <row r="34" spans="2:13" ht="15" customHeight="1" x14ac:dyDescent="0.45"/>
    <row r="35" spans="2:13" ht="15" customHeight="1" x14ac:dyDescent="0.45"/>
    <row r="36" spans="2:13" ht="15" customHeight="1" x14ac:dyDescent="0.45"/>
    <row r="37" spans="2:13" ht="16.25" customHeight="1" x14ac:dyDescent="0.45">
      <c r="B37" s="74" t="s">
        <v>762</v>
      </c>
      <c r="C37" s="75"/>
      <c r="D37" s="75"/>
      <c r="E37" s="75"/>
      <c r="F37" s="75"/>
      <c r="G37" s="75"/>
      <c r="H37" s="75"/>
      <c r="I37" s="75"/>
      <c r="J37" s="75"/>
      <c r="K37" s="75"/>
      <c r="L37" s="75"/>
      <c r="M37" s="75"/>
    </row>
    <row r="39" spans="2:13" ht="18" customHeight="1" x14ac:dyDescent="0.45">
      <c r="B39" s="36" t="s">
        <v>763</v>
      </c>
      <c r="C39" s="18"/>
      <c r="D39" s="18"/>
      <c r="E39" s="18"/>
      <c r="F39" s="18"/>
      <c r="G39" s="18"/>
      <c r="H39" s="18"/>
      <c r="I39" s="18"/>
      <c r="J39" s="18"/>
      <c r="K39" s="18"/>
      <c r="L39" s="18"/>
      <c r="M39" s="18"/>
    </row>
    <row r="40" spans="2:13" ht="29.45" customHeight="1" x14ac:dyDescent="0.45">
      <c r="B40" s="76" t="s">
        <v>764</v>
      </c>
      <c r="C40" s="75"/>
      <c r="D40" s="75"/>
      <c r="E40" s="75"/>
      <c r="F40" s="75"/>
      <c r="G40" s="75"/>
      <c r="H40" s="75"/>
      <c r="I40" s="75"/>
      <c r="J40" s="75"/>
      <c r="K40" s="75"/>
      <c r="L40" s="75"/>
      <c r="M40" s="75"/>
    </row>
    <row r="41" spans="2:13" ht="15" customHeight="1" x14ac:dyDescent="0.45"/>
    <row r="42" spans="2:13" ht="15" customHeight="1" x14ac:dyDescent="0.45"/>
    <row r="43" spans="2:13" ht="15" customHeight="1" x14ac:dyDescent="0.45"/>
    <row r="44" spans="2:13" ht="15" customHeight="1" x14ac:dyDescent="0.45"/>
    <row r="45" spans="2:13" ht="15" customHeight="1" x14ac:dyDescent="0.45"/>
    <row r="46" spans="2:13" ht="15" customHeight="1" x14ac:dyDescent="0.45"/>
    <row r="47" spans="2:13" ht="15" customHeight="1" x14ac:dyDescent="0.45"/>
    <row r="48" spans="2:13" ht="15" customHeight="1" x14ac:dyDescent="0.45"/>
    <row r="49" spans="2:13" ht="15" customHeight="1" x14ac:dyDescent="0.45"/>
    <row r="50" spans="2:13" ht="15" customHeight="1" x14ac:dyDescent="0.45"/>
    <row r="51" spans="2:13" ht="15" customHeight="1" x14ac:dyDescent="0.45"/>
    <row r="52" spans="2:13" ht="15" customHeight="1" x14ac:dyDescent="0.45"/>
    <row r="53" spans="2:13" ht="15" customHeight="1" x14ac:dyDescent="0.45"/>
    <row r="54" spans="2:13" ht="15" customHeight="1" x14ac:dyDescent="0.45"/>
    <row r="55" spans="2:13" ht="15" customHeight="1" x14ac:dyDescent="0.45"/>
    <row r="56" spans="2:13" ht="15" customHeight="1" x14ac:dyDescent="0.45"/>
    <row r="57" spans="2:13" ht="15" customHeight="1" x14ac:dyDescent="0.45"/>
    <row r="58" spans="2:13" ht="15" customHeight="1" x14ac:dyDescent="0.45"/>
    <row r="59" spans="2:13" ht="15" customHeight="1" x14ac:dyDescent="0.45"/>
    <row r="60" spans="2:13" ht="16.25" customHeight="1" x14ac:dyDescent="0.45">
      <c r="B60" s="74" t="s">
        <v>765</v>
      </c>
      <c r="C60" s="75"/>
      <c r="D60" s="75"/>
      <c r="E60" s="75"/>
      <c r="F60" s="75"/>
      <c r="G60" s="75"/>
      <c r="H60" s="75"/>
      <c r="I60" s="75"/>
      <c r="J60" s="75"/>
      <c r="K60" s="75"/>
      <c r="L60" s="75"/>
      <c r="M60" s="75"/>
    </row>
    <row r="62" spans="2:13" ht="18" customHeight="1" x14ac:dyDescent="0.45">
      <c r="B62" s="36" t="s">
        <v>766</v>
      </c>
      <c r="C62" s="18"/>
      <c r="D62" s="18"/>
      <c r="E62" s="18"/>
      <c r="F62" s="18"/>
      <c r="G62" s="18"/>
      <c r="H62" s="18"/>
      <c r="I62" s="18"/>
      <c r="J62" s="18"/>
      <c r="K62" s="18"/>
      <c r="L62" s="18"/>
      <c r="M62" s="18"/>
    </row>
    <row r="63" spans="2:13" ht="15" customHeight="1" x14ac:dyDescent="0.45"/>
    <row r="64" spans="2:13" ht="15" customHeight="1" x14ac:dyDescent="0.45"/>
    <row r="65" spans="2:13" ht="15" customHeight="1" x14ac:dyDescent="0.45"/>
    <row r="66" spans="2:13" ht="29.45" customHeight="1" x14ac:dyDescent="0.45">
      <c r="B66" s="76" t="s">
        <v>767</v>
      </c>
      <c r="C66" s="75"/>
      <c r="D66" s="75"/>
      <c r="E66" s="75"/>
      <c r="F66" s="75"/>
      <c r="G66" s="75"/>
      <c r="H66" s="75"/>
      <c r="I66" s="75"/>
      <c r="J66" s="75"/>
      <c r="K66" s="75"/>
      <c r="L66" s="75"/>
      <c r="M66" s="75"/>
    </row>
    <row r="67" spans="2:13" ht="15" customHeight="1" x14ac:dyDescent="0.45"/>
    <row r="68" spans="2:13" ht="15" customHeight="1" x14ac:dyDescent="0.45"/>
    <row r="69" spans="2:13" ht="15" customHeight="1" x14ac:dyDescent="0.45"/>
    <row r="70" spans="2:13" x14ac:dyDescent="0.45">
      <c r="B70" s="77" t="s">
        <v>106</v>
      </c>
      <c r="C70" s="77" t="s">
        <v>671</v>
      </c>
      <c r="D70" s="78"/>
      <c r="E70" s="78"/>
      <c r="F70" s="78"/>
      <c r="G70" s="78"/>
      <c r="H70" s="77" t="s">
        <v>672</v>
      </c>
      <c r="I70" s="78"/>
      <c r="J70" s="78"/>
      <c r="K70" s="77" t="s">
        <v>673</v>
      </c>
      <c r="L70" s="78"/>
      <c r="M70" s="78"/>
    </row>
    <row r="71" spans="2:13" ht="15.2" customHeight="1" x14ac:dyDescent="0.45">
      <c r="B71" s="76" t="s">
        <v>768</v>
      </c>
      <c r="C71" s="76" t="s">
        <v>769</v>
      </c>
      <c r="D71" s="75"/>
      <c r="E71" s="75"/>
      <c r="F71" s="75"/>
      <c r="G71" s="75"/>
      <c r="H71" s="76" t="s">
        <v>770</v>
      </c>
      <c r="I71" s="75"/>
      <c r="J71" s="75"/>
      <c r="K71" s="76" t="s">
        <v>139</v>
      </c>
      <c r="L71" s="75"/>
      <c r="M71" s="75"/>
    </row>
    <row r="72" spans="2:13" ht="15.2" customHeight="1" x14ac:dyDescent="0.45">
      <c r="B72" s="76" t="s">
        <v>771</v>
      </c>
      <c r="C72" s="76" t="s">
        <v>772</v>
      </c>
      <c r="D72" s="75"/>
      <c r="E72" s="75"/>
      <c r="F72" s="75"/>
      <c r="G72" s="75"/>
      <c r="H72" s="76" t="s">
        <v>773</v>
      </c>
      <c r="I72" s="75"/>
      <c r="J72" s="75"/>
      <c r="K72" s="76" t="s">
        <v>139</v>
      </c>
      <c r="L72" s="75"/>
      <c r="M72" s="75"/>
    </row>
    <row r="73" spans="2:13" ht="15.2" customHeight="1" x14ac:dyDescent="0.45">
      <c r="B73" s="76" t="s">
        <v>774</v>
      </c>
      <c r="C73" s="76" t="s">
        <v>775</v>
      </c>
      <c r="D73" s="75"/>
      <c r="E73" s="75"/>
      <c r="F73" s="75"/>
      <c r="G73" s="75"/>
      <c r="H73" s="76" t="s">
        <v>776</v>
      </c>
      <c r="I73" s="75"/>
      <c r="J73" s="75"/>
      <c r="K73" s="76" t="s">
        <v>160</v>
      </c>
      <c r="L73" s="75"/>
      <c r="M73" s="75"/>
    </row>
    <row r="74" spans="2:13" ht="15.2" customHeight="1" x14ac:dyDescent="0.45">
      <c r="B74" s="76" t="s">
        <v>713</v>
      </c>
      <c r="C74" s="76" t="s">
        <v>777</v>
      </c>
      <c r="D74" s="75"/>
      <c r="E74" s="75"/>
      <c r="F74" s="75"/>
      <c r="G74" s="75"/>
      <c r="H74" s="76" t="s">
        <v>715</v>
      </c>
      <c r="I74" s="75"/>
      <c r="J74" s="75"/>
      <c r="K74" s="76" t="s">
        <v>714</v>
      </c>
      <c r="L74" s="75"/>
      <c r="M74" s="75"/>
    </row>
    <row r="75" spans="2:13" ht="15.2" customHeight="1" x14ac:dyDescent="0.45">
      <c r="B75" s="76" t="s">
        <v>778</v>
      </c>
      <c r="C75" s="76" t="s">
        <v>779</v>
      </c>
      <c r="D75" s="75"/>
      <c r="E75" s="75"/>
      <c r="F75" s="75"/>
      <c r="G75" s="75"/>
      <c r="H75" s="76" t="s">
        <v>780</v>
      </c>
      <c r="I75" s="75"/>
      <c r="J75" s="75"/>
      <c r="K75" s="76" t="s">
        <v>160</v>
      </c>
      <c r="L75" s="75"/>
      <c r="M75" s="75"/>
    </row>
    <row r="76" spans="2:13" ht="15.2" customHeight="1" x14ac:dyDescent="0.45">
      <c r="B76" s="76" t="s">
        <v>781</v>
      </c>
      <c r="C76" s="76" t="s">
        <v>782</v>
      </c>
      <c r="D76" s="75"/>
      <c r="E76" s="75"/>
      <c r="F76" s="75"/>
      <c r="G76" s="75"/>
      <c r="H76" s="76" t="s">
        <v>783</v>
      </c>
      <c r="I76" s="75"/>
      <c r="J76" s="75"/>
      <c r="K76" s="76" t="s">
        <v>139</v>
      </c>
      <c r="L76" s="75"/>
      <c r="M76" s="75"/>
    </row>
    <row r="77" spans="2:13" ht="15.2" customHeight="1" x14ac:dyDescent="0.45">
      <c r="B77" s="76" t="s">
        <v>784</v>
      </c>
      <c r="C77" s="76" t="s">
        <v>785</v>
      </c>
      <c r="D77" s="75"/>
      <c r="E77" s="75"/>
      <c r="F77" s="75"/>
      <c r="G77" s="75"/>
      <c r="H77" s="76" t="s">
        <v>786</v>
      </c>
      <c r="I77" s="75"/>
      <c r="J77" s="75"/>
      <c r="K77" s="76" t="s">
        <v>139</v>
      </c>
      <c r="L77" s="75"/>
      <c r="M77" s="75"/>
    </row>
  </sheetData>
  <mergeCells count="39">
    <mergeCell ref="B6:M6"/>
    <mergeCell ref="B71"/>
    <mergeCell ref="H71:J71"/>
    <mergeCell ref="H76:J76"/>
    <mergeCell ref="B70"/>
    <mergeCell ref="C76:G76"/>
    <mergeCell ref="C71:G71"/>
    <mergeCell ref="K74:M74"/>
    <mergeCell ref="C70:G70"/>
    <mergeCell ref="B16:M16"/>
    <mergeCell ref="B73"/>
    <mergeCell ref="C72:G72"/>
    <mergeCell ref="B66:M66"/>
    <mergeCell ref="H74:J74"/>
    <mergeCell ref="K76:M76"/>
    <mergeCell ref="B17:M17"/>
    <mergeCell ref="H70:J70"/>
    <mergeCell ref="C74:G74"/>
    <mergeCell ref="B76"/>
    <mergeCell ref="K77:M77"/>
    <mergeCell ref="C73:G73"/>
    <mergeCell ref="K71:M71"/>
    <mergeCell ref="B75"/>
    <mergeCell ref="H72:J72"/>
    <mergeCell ref="B37:M37"/>
    <mergeCell ref="K70:M70"/>
    <mergeCell ref="H75:J75"/>
    <mergeCell ref="B40:M40"/>
    <mergeCell ref="B72"/>
    <mergeCell ref="C75:G75"/>
    <mergeCell ref="K73:M73"/>
    <mergeCell ref="H73:J73"/>
    <mergeCell ref="K72:M72"/>
    <mergeCell ref="C77:G77"/>
    <mergeCell ref="B74"/>
    <mergeCell ref="B60:M60"/>
    <mergeCell ref="K75:M75"/>
    <mergeCell ref="H77:J77"/>
    <mergeCell ref="B77"/>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2A36"/>
  </sheetPr>
  <dimension ref="A1:U18"/>
  <sheetViews>
    <sheetView showGridLines="0" workbookViewId="0"/>
  </sheetViews>
  <sheetFormatPr defaultRowHeight="14.25" x14ac:dyDescent="0.45"/>
  <cols>
    <col min="1" max="1" width="3" customWidth="1"/>
    <col min="2" max="2" width="9" customWidth="1"/>
    <col min="3" max="4" width="12" customWidth="1"/>
    <col min="5" max="6" width="13" customWidth="1"/>
    <col min="7" max="12" width="12" customWidth="1"/>
    <col min="13" max="14" width="11" customWidth="1"/>
    <col min="15" max="15" width="12" customWidth="1"/>
    <col min="16" max="18" width="11" customWidth="1"/>
    <col min="19" max="19" width="9" customWidth="1"/>
    <col min="20" max="21" width="11" customWidth="1"/>
  </cols>
  <sheetData>
    <row r="1" spans="1:21" ht="17.649999999999999" x14ac:dyDescent="0.5">
      <c r="A1" s="15" t="s">
        <v>36</v>
      </c>
      <c r="O1" s="37" t="s">
        <v>111</v>
      </c>
      <c r="P1" s="2" t="str">
        <f>""&amp;TB_Project</f>
        <v>D2 I-95 Pedestrian Bridge</v>
      </c>
    </row>
    <row r="2" spans="1:21" x14ac:dyDescent="0.45">
      <c r="A2" s="8" t="s">
        <v>787</v>
      </c>
      <c r="O2" s="37" t="s">
        <v>119</v>
      </c>
      <c r="P2" s="2" t="str">
        <f>""&amp;TB_JobNo</f>
        <v/>
      </c>
    </row>
    <row r="3" spans="1:21" x14ac:dyDescent="0.45">
      <c r="O3" s="37" t="s">
        <v>694</v>
      </c>
      <c r="P3" s="2" t="str">
        <f>TB_CalcBy&amp;"  "&amp;TB_CalcDate</f>
        <v xml:space="preserve">  </v>
      </c>
    </row>
    <row r="4" spans="1:21" x14ac:dyDescent="0.45">
      <c r="O4" s="37" t="s">
        <v>695</v>
      </c>
      <c r="P4" s="2" t="str">
        <f>TB_CheckBy&amp;"  "&amp;TB_CheckDate</f>
        <v xml:space="preserve">  </v>
      </c>
    </row>
    <row r="6" spans="1:21" x14ac:dyDescent="0.45">
      <c r="A6" s="17" t="s">
        <v>788</v>
      </c>
      <c r="B6" s="18"/>
      <c r="C6" s="18"/>
      <c r="D6" s="18"/>
      <c r="E6" s="18"/>
      <c r="F6" s="18"/>
      <c r="G6" s="18"/>
      <c r="H6" s="18"/>
      <c r="I6" s="18"/>
      <c r="J6" s="18"/>
      <c r="K6" s="18"/>
      <c r="L6" s="18"/>
      <c r="M6" s="18"/>
      <c r="N6" s="18"/>
      <c r="O6" s="18"/>
      <c r="P6" s="18"/>
      <c r="Q6" s="18"/>
      <c r="R6" s="18"/>
      <c r="S6" s="18"/>
      <c r="T6" s="18"/>
    </row>
    <row r="7" spans="1:21" ht="42" customHeight="1" x14ac:dyDescent="0.45">
      <c r="B7" s="19" t="s">
        <v>789</v>
      </c>
      <c r="C7" s="19" t="s">
        <v>790</v>
      </c>
      <c r="D7" s="19" t="s">
        <v>791</v>
      </c>
      <c r="E7" s="19" t="s">
        <v>792</v>
      </c>
      <c r="F7" s="19" t="s">
        <v>793</v>
      </c>
      <c r="G7" s="19" t="s">
        <v>794</v>
      </c>
      <c r="H7" s="19" t="s">
        <v>795</v>
      </c>
      <c r="I7" s="19" t="s">
        <v>796</v>
      </c>
      <c r="J7" s="19" t="s">
        <v>797</v>
      </c>
      <c r="K7" s="19" t="s">
        <v>798</v>
      </c>
      <c r="L7" s="19" t="s">
        <v>799</v>
      </c>
      <c r="M7" s="19" t="s">
        <v>450</v>
      </c>
      <c r="N7" s="19" t="s">
        <v>800</v>
      </c>
      <c r="O7" s="19" t="s">
        <v>801</v>
      </c>
      <c r="P7" s="19" t="s">
        <v>802</v>
      </c>
      <c r="Q7" s="19" t="s">
        <v>803</v>
      </c>
      <c r="R7" s="19" t="s">
        <v>804</v>
      </c>
      <c r="S7" s="19" t="s">
        <v>805</v>
      </c>
      <c r="T7" s="19" t="s">
        <v>806</v>
      </c>
      <c r="U7" s="19" t="s">
        <v>807</v>
      </c>
    </row>
    <row r="8" spans="1:21" x14ac:dyDescent="0.45">
      <c r="B8" s="11">
        <v>1</v>
      </c>
      <c r="C8" s="40">
        <f>Sp1_Sta0</f>
        <v>1593.22</v>
      </c>
      <c r="D8" s="40">
        <f>Sp1_Sta1</f>
        <v>1700.57</v>
      </c>
      <c r="E8" s="11" t="s">
        <v>808</v>
      </c>
      <c r="F8" s="11" t="s">
        <v>809</v>
      </c>
      <c r="G8" s="41">
        <f>C8+Phys_EndClr/12</f>
        <v>1593.47</v>
      </c>
      <c r="H8" s="41">
        <f>D8-Phys_PierGap/24</f>
        <v>1700.4449999999999</v>
      </c>
      <c r="I8" s="41">
        <f>G8+Phys_Setback/12</f>
        <v>1594.22</v>
      </c>
      <c r="J8" s="41">
        <f>H8-Phys_Setback/12</f>
        <v>1699.6949999999999</v>
      </c>
      <c r="K8" s="41">
        <f>C8+Phys_DeckClr/12</f>
        <v>1593.47</v>
      </c>
      <c r="L8" s="41">
        <f>D8</f>
        <v>1700.57</v>
      </c>
      <c r="M8" s="41">
        <f>H8-G8</f>
        <v>106.97499999999991</v>
      </c>
      <c r="N8" s="41">
        <f>J8-I8</f>
        <v>105.47499999999991</v>
      </c>
      <c r="O8" s="41">
        <f>(I8+J8)/2</f>
        <v>1646.9575</v>
      </c>
      <c r="P8" s="41">
        <f>IF(Prof_Mode="parabolic",Prof_Z0+Prof_G1*((I8)-Prof_Sta0)+Prof_Kq*((I8)-Prof_Sta0)^2,IF((I8)&lt;=Prof_PISta,Prof_Z0+Prof_G1*((I8)-Prof_Sta0),Prof_PIZ+Prof_G2*((I8)-Prof_PISta)))</f>
        <v>47.665998835584539</v>
      </c>
      <c r="Q8" s="41">
        <f>IF(Prof_Mode="parabolic",Prof_Z0+Prof_G1*((J8)-Prof_Sta0)+Prof_Kq*((J8)-Prof_Sta0)^2,IF((J8)&lt;=Prof_PISta,Prof_Z0+Prof_G1*((J8)-Prof_Sta0),Prof_PIZ+Prof_G2*((J8)-Prof_PISta)))</f>
        <v>48.193251018863535</v>
      </c>
      <c r="R8" s="43">
        <f>(Q8-P8)/N8</f>
        <v>4.9988355845365885E-3</v>
      </c>
      <c r="S8" s="42" t="str">
        <f>IF(AND(C8&lt;=G8,G8&lt;I8,I8&lt;J8,J8&lt;H8,H8&lt;=D8,K8&lt;L8),"PASS","FAIL")</f>
        <v>PASS</v>
      </c>
      <c r="T8" s="40">
        <f>MC1_Lbeam</f>
        <v>106.97499999999999</v>
      </c>
      <c r="U8" s="41">
        <f>M8-T8</f>
        <v>0</v>
      </c>
    </row>
    <row r="9" spans="1:21" x14ac:dyDescent="0.45">
      <c r="B9" s="11">
        <v>2</v>
      </c>
      <c r="C9" s="40">
        <f>Sp2_Sta0</f>
        <v>1700.57</v>
      </c>
      <c r="D9" s="40">
        <f>Sp2_Sta1</f>
        <v>1805.47</v>
      </c>
      <c r="E9" s="11" t="s">
        <v>809</v>
      </c>
      <c r="F9" s="11" t="s">
        <v>810</v>
      </c>
      <c r="G9" s="41">
        <f>C9+Phys_PierGap/24</f>
        <v>1700.6949999999999</v>
      </c>
      <c r="H9" s="41">
        <f>D9-Phys_EndClr/12</f>
        <v>1805.22</v>
      </c>
      <c r="I9" s="41">
        <f>G9+Phys_Setback/12</f>
        <v>1701.4449999999999</v>
      </c>
      <c r="J9" s="41">
        <f>H9-Phys_Setback/12</f>
        <v>1804.47</v>
      </c>
      <c r="K9" s="41">
        <f>C9</f>
        <v>1700.57</v>
      </c>
      <c r="L9" s="41">
        <f>D9-Phys_DeckClr/12</f>
        <v>1805.22</v>
      </c>
      <c r="M9" s="41">
        <f>H9-G9</f>
        <v>104.52500000000009</v>
      </c>
      <c r="N9" s="41">
        <f>J9-I9</f>
        <v>103.02500000000009</v>
      </c>
      <c r="O9" s="41">
        <f>(I9+J9)/2</f>
        <v>1752.9575</v>
      </c>
      <c r="P9" s="41">
        <f>IF(Prof_Mode="parabolic",Prof_Z0+Prof_G1*((I9)-Prof_Sta0)+Prof_Kq*((I9)-Prof_Sta0)^2,IF((I9)&lt;=Prof_PISta,Prof_Z0+Prof_G1*((I9)-Prof_Sta0),Prof_PIZ+Prof_G2*((I9)-Prof_PISta)))</f>
        <v>48.193248957340323</v>
      </c>
      <c r="Q9" s="41">
        <f>IF(Prof_Mode="parabolic",Prof_Z0+Prof_G1*((J9)-Prof_Sta0)+Prof_Kq*((J9)-Prof_Sta0)^2,IF((J9)&lt;=Prof_PISta,Prof_Z0+Prof_G1*((J9)-Prof_Sta0),Prof_PIZ+Prof_G2*((J9)-Prof_PISta)))</f>
        <v>47.67800119161106</v>
      </c>
      <c r="R9" s="43">
        <f>(Q9-P9)/N9</f>
        <v>-5.0011916110581228E-3</v>
      </c>
      <c r="S9" s="42" t="str">
        <f>IF(AND(C9&lt;=G9,G9&lt;I9,I9&lt;J9,J9&lt;H9,H9&lt;=D9,K9&lt;L9),"PASS","FAIL")</f>
        <v>PASS</v>
      </c>
      <c r="T9" s="40">
        <f>MC2_Lbeam</f>
        <v>104.52500000000001</v>
      </c>
      <c r="U9" s="41">
        <f>M9-T9</f>
        <v>0</v>
      </c>
    </row>
    <row r="11" spans="1:21" x14ac:dyDescent="0.45">
      <c r="A11" s="17" t="s">
        <v>811</v>
      </c>
      <c r="B11" s="18"/>
      <c r="C11" s="18"/>
      <c r="D11" s="18"/>
      <c r="E11" s="18"/>
      <c r="F11" s="18"/>
      <c r="G11" s="18"/>
      <c r="H11" s="18"/>
      <c r="I11" s="18"/>
      <c r="J11" s="18"/>
      <c r="K11" s="18"/>
      <c r="L11" s="18"/>
      <c r="M11" s="18"/>
      <c r="N11" s="18"/>
      <c r="O11" s="18"/>
      <c r="P11" s="18"/>
      <c r="Q11" s="18"/>
      <c r="R11" s="18"/>
      <c r="S11" s="18"/>
      <c r="T11" s="18"/>
    </row>
    <row r="12" spans="1:21" ht="42" customHeight="1" x14ac:dyDescent="0.45">
      <c r="B12" s="19" t="s">
        <v>737</v>
      </c>
      <c r="C12" s="19" t="s">
        <v>789</v>
      </c>
      <c r="D12" s="19" t="s">
        <v>812</v>
      </c>
      <c r="E12" s="19" t="s">
        <v>813</v>
      </c>
      <c r="F12" s="19" t="s">
        <v>814</v>
      </c>
      <c r="G12" s="19" t="s">
        <v>815</v>
      </c>
      <c r="H12" s="19" t="s">
        <v>816</v>
      </c>
      <c r="I12" s="19" t="s">
        <v>817</v>
      </c>
      <c r="J12" s="19" t="s">
        <v>818</v>
      </c>
      <c r="K12" s="19" t="s">
        <v>819</v>
      </c>
      <c r="L12" s="19" t="s">
        <v>820</v>
      </c>
      <c r="M12" s="19" t="s">
        <v>821</v>
      </c>
      <c r="N12" s="19" t="s">
        <v>822</v>
      </c>
      <c r="O12" s="19" t="s">
        <v>823</v>
      </c>
      <c r="P12" s="19" t="s">
        <v>824</v>
      </c>
      <c r="Q12" s="19" t="s">
        <v>825</v>
      </c>
      <c r="R12" s="19" t="s">
        <v>826</v>
      </c>
      <c r="S12" s="19" t="s">
        <v>827</v>
      </c>
      <c r="T12" s="19" t="s">
        <v>828</v>
      </c>
      <c r="U12" s="19" t="s">
        <v>829</v>
      </c>
    </row>
    <row r="13" spans="1:21" x14ac:dyDescent="0.45">
      <c r="B13" s="11" t="s">
        <v>830</v>
      </c>
      <c r="C13" s="11">
        <v>1</v>
      </c>
      <c r="D13" s="40">
        <f>Bm1_Off</f>
        <v>-4.291666666666667</v>
      </c>
      <c r="E13" s="2">
        <f>Bm1_Raise</f>
        <v>0</v>
      </c>
      <c r="F13" s="41">
        <f>Sp1_LBeam</f>
        <v>106.97499999999991</v>
      </c>
      <c r="G13" s="41">
        <f>F13*SQRT(1+Sp1_Gc^2)</f>
        <v>106.97633655640617</v>
      </c>
      <c r="H13" s="2">
        <f>MC1_Skew</f>
        <v>0</v>
      </c>
      <c r="I13" s="11">
        <f>90-H13</f>
        <v>90</v>
      </c>
      <c r="J13" s="11">
        <f>90-H13</f>
        <v>90</v>
      </c>
      <c r="K13" s="44">
        <f>Phys_Setback</f>
        <v>9</v>
      </c>
      <c r="L13" s="44">
        <f>(Sp1_BrgA-Sp1_Sta0)*12</f>
        <v>12</v>
      </c>
      <c r="M13" s="44">
        <f>(Sp1_Sta1-Sp1_BrgB)*12</f>
        <v>10.5</v>
      </c>
      <c r="N13" s="44">
        <f>IF(ABS(Sp1_Gc*Bm_D*12)&lt;Des_DimP,0,-Sp1_Gc*Bm_D*12)</f>
        <v>0</v>
      </c>
      <c r="O13" s="11">
        <f>IF(N13&lt;0,2,IF(N13&gt;0,3,1))</f>
        <v>1</v>
      </c>
      <c r="P13" s="44">
        <f>MC1_NStr*MC1_Pj+MC1_NTop*MC1_PTop</f>
        <v>1753.7575000000002</v>
      </c>
      <c r="Q13" s="41">
        <f>1+MC1_Psi</f>
        <v>1.9583197042305542</v>
      </c>
      <c r="R13" s="45">
        <f>Q13*P13*G13*12/(MC1_Eci*Bm_Area)+ABS(MC1_Esh)*G13*12</f>
        <v>1.522958354318249</v>
      </c>
      <c r="S13" s="41">
        <f>G13+R13/12</f>
        <v>107.10324975259935</v>
      </c>
      <c r="T13" s="46">
        <f>ROUNDDOWN(S13,0)</f>
        <v>107</v>
      </c>
      <c r="U13" s="44">
        <f>(S13-T13)*12</f>
        <v>1.2389970311922411</v>
      </c>
    </row>
    <row r="14" spans="1:21" x14ac:dyDescent="0.45">
      <c r="B14" s="11" t="s">
        <v>831</v>
      </c>
      <c r="C14" s="11">
        <v>1</v>
      </c>
      <c r="D14" s="40">
        <f>Bm2_Off</f>
        <v>4.291666666666667</v>
      </c>
      <c r="E14" s="2">
        <f>Bm2_Raise</f>
        <v>0</v>
      </c>
      <c r="F14" s="41">
        <f>Sp1_LBeam</f>
        <v>106.97499999999991</v>
      </c>
      <c r="G14" s="41">
        <f>F14*SQRT(1+Sp1_Gc^2)</f>
        <v>106.97633655640617</v>
      </c>
      <c r="H14" s="2">
        <f>MC1_Skew</f>
        <v>0</v>
      </c>
      <c r="I14" s="11">
        <f>90-H14</f>
        <v>90</v>
      </c>
      <c r="J14" s="11">
        <f>90-H14</f>
        <v>90</v>
      </c>
      <c r="K14" s="44">
        <f>Phys_Setback</f>
        <v>9</v>
      </c>
      <c r="L14" s="44">
        <f>(Sp1_BrgA-Sp1_Sta0)*12</f>
        <v>12</v>
      </c>
      <c r="M14" s="44">
        <f>(Sp1_Sta1-Sp1_BrgB)*12</f>
        <v>10.5</v>
      </c>
      <c r="N14" s="44">
        <f>IF(ABS(Sp1_Gc*Bm_D*12)&lt;Des_DimP,0,-Sp1_Gc*Bm_D*12)</f>
        <v>0</v>
      </c>
      <c r="O14" s="11">
        <f>IF(N14&lt;0,2,IF(N14&gt;0,3,1))</f>
        <v>1</v>
      </c>
      <c r="P14" s="44">
        <f>MC1_NStr*MC1_Pj+MC1_NTop*MC1_PTop</f>
        <v>1753.7575000000002</v>
      </c>
      <c r="Q14" s="41">
        <f>1+MC1_Psi</f>
        <v>1.9583197042305542</v>
      </c>
      <c r="R14" s="45">
        <f>Q14*P14*G14*12/(MC1_Eci*Bm_Area)+ABS(MC1_Esh)*G14*12</f>
        <v>1.522958354318249</v>
      </c>
      <c r="S14" s="41">
        <f>G14+R14/12</f>
        <v>107.10324975259935</v>
      </c>
      <c r="T14" s="46">
        <f>ROUNDDOWN(S14,0)</f>
        <v>107</v>
      </c>
      <c r="U14" s="44">
        <f>(S14-T14)*12</f>
        <v>1.2389970311922411</v>
      </c>
    </row>
    <row r="15" spans="1:21" x14ac:dyDescent="0.45">
      <c r="B15" s="11" t="s">
        <v>832</v>
      </c>
      <c r="C15" s="11">
        <v>2</v>
      </c>
      <c r="D15" s="40">
        <f>Bm1_Off</f>
        <v>-4.291666666666667</v>
      </c>
      <c r="E15" s="2">
        <f>Bm1_Raise</f>
        <v>0</v>
      </c>
      <c r="F15" s="41">
        <f>Sp2_LBeam</f>
        <v>104.52500000000009</v>
      </c>
      <c r="G15" s="41">
        <f>F15*SQRT(1+Sp2_Gc^2)</f>
        <v>104.52630717716632</v>
      </c>
      <c r="H15" s="2">
        <f>MC2_Skew</f>
        <v>0</v>
      </c>
      <c r="I15" s="11">
        <f>90-H15</f>
        <v>90</v>
      </c>
      <c r="J15" s="11">
        <f>90-H15</f>
        <v>90</v>
      </c>
      <c r="K15" s="44">
        <f>Phys_Setback</f>
        <v>9</v>
      </c>
      <c r="L15" s="44">
        <f>(Sp2_BrgA-Sp2_Sta0)*12</f>
        <v>10.5</v>
      </c>
      <c r="M15" s="44">
        <f>(Sp2_Sta1-Sp2_BrgB)*12</f>
        <v>12</v>
      </c>
      <c r="N15" s="44">
        <f>IF(ABS(Sp2_Gc*Bm_D*12)&lt;Des_DimP,0,-Sp2_Gc*Bm_D*12)</f>
        <v>0</v>
      </c>
      <c r="O15" s="11">
        <f>IF(N15&lt;0,2,IF(N15&gt;0,3,1))</f>
        <v>1</v>
      </c>
      <c r="P15" s="44">
        <f>MC2_NStr*MC2_Pj+MC2_NTop*MC2_PTop</f>
        <v>1753.7575000000002</v>
      </c>
      <c r="Q15" s="41">
        <f>1+MC2_Psi</f>
        <v>1.9583197042305542</v>
      </c>
      <c r="R15" s="45">
        <f>Q15*P15*G15*12/(MC2_Eci*Bm_Area)+ABS(MC2_Esh)*G15*12</f>
        <v>1.4880787460651559</v>
      </c>
      <c r="S15" s="41">
        <f>G15+R15/12</f>
        <v>104.65031373933842</v>
      </c>
      <c r="T15" s="46">
        <f>ROUNDDOWN(S15,0)</f>
        <v>104</v>
      </c>
      <c r="U15" s="44">
        <f>(S15-T15)*12</f>
        <v>7.8037648720609809</v>
      </c>
    </row>
    <row r="16" spans="1:21" x14ac:dyDescent="0.45">
      <c r="B16" s="11" t="s">
        <v>833</v>
      </c>
      <c r="C16" s="11">
        <v>2</v>
      </c>
      <c r="D16" s="40">
        <f>Bm2_Off</f>
        <v>4.291666666666667</v>
      </c>
      <c r="E16" s="2">
        <f>Bm2_Raise</f>
        <v>0</v>
      </c>
      <c r="F16" s="41">
        <f>Sp2_LBeam</f>
        <v>104.52500000000009</v>
      </c>
      <c r="G16" s="41">
        <f>F16*SQRT(1+Sp2_Gc^2)</f>
        <v>104.52630717716632</v>
      </c>
      <c r="H16" s="2">
        <f>MC2_Skew</f>
        <v>0</v>
      </c>
      <c r="I16" s="11">
        <f>90-H16</f>
        <v>90</v>
      </c>
      <c r="J16" s="11">
        <f>90-H16</f>
        <v>90</v>
      </c>
      <c r="K16" s="44">
        <f>Phys_Setback</f>
        <v>9</v>
      </c>
      <c r="L16" s="44">
        <f>(Sp2_BrgA-Sp2_Sta0)*12</f>
        <v>10.5</v>
      </c>
      <c r="M16" s="44">
        <f>(Sp2_Sta1-Sp2_BrgB)*12</f>
        <v>12</v>
      </c>
      <c r="N16" s="44">
        <f>IF(ABS(Sp2_Gc*Bm_D*12)&lt;Des_DimP,0,-Sp2_Gc*Bm_D*12)</f>
        <v>0</v>
      </c>
      <c r="O16" s="11">
        <f>IF(N16&lt;0,2,IF(N16&gt;0,3,1))</f>
        <v>1</v>
      </c>
      <c r="P16" s="44">
        <f>MC2_NStr*MC2_Pj+MC2_NTop*MC2_PTop</f>
        <v>1753.7575000000002</v>
      </c>
      <c r="Q16" s="41">
        <f>1+MC2_Psi</f>
        <v>1.9583197042305542</v>
      </c>
      <c r="R16" s="45">
        <f>Q16*P16*G16*12/(MC2_Eci*Bm_Area)+ABS(MC2_Esh)*G16*12</f>
        <v>1.4880787460651559</v>
      </c>
      <c r="S16" s="41">
        <f>G16+R16/12</f>
        <v>104.65031373933842</v>
      </c>
      <c r="T16" s="46">
        <f>ROUNDDOWN(S16,0)</f>
        <v>104</v>
      </c>
      <c r="U16" s="44">
        <f>(S16-T16)*12</f>
        <v>7.8037648720609809</v>
      </c>
    </row>
    <row r="18" spans="2:2" x14ac:dyDescent="0.45">
      <c r="B18" s="47" t="s">
        <v>834</v>
      </c>
    </row>
  </sheetData>
  <conditionalFormatting sqref="S8:S9">
    <cfRule type="cellIs" dxfId="41" priority="1" operator="equal">
      <formula>"PASS"</formula>
    </cfRule>
    <cfRule type="cellIs" dxfId="40" priority="2" operator="equal">
      <formula>"FAIL"</formula>
    </cfRule>
    <cfRule type="cellIs" dxfId="39" priority="3" operator="equal">
      <formula>"CHECK"</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A96A3"/>
  </sheetPr>
  <dimension ref="B1:M67"/>
  <sheetViews>
    <sheetView showGridLines="0" workbookViewId="0"/>
  </sheetViews>
  <sheetFormatPr defaultRowHeight="14.25" x14ac:dyDescent="0.45"/>
  <cols>
    <col min="1" max="1" width="2" customWidth="1"/>
    <col min="2" max="13" width="11.46484375" customWidth="1"/>
  </cols>
  <sheetData>
    <row r="1" spans="2:13" ht="20.65" x14ac:dyDescent="0.6">
      <c r="B1" s="35" t="s">
        <v>835</v>
      </c>
    </row>
    <row r="2" spans="2:13" x14ac:dyDescent="0.45">
      <c r="B2" s="8" t="s">
        <v>836</v>
      </c>
    </row>
    <row r="5" spans="2:13" ht="18" customHeight="1" x14ac:dyDescent="0.45">
      <c r="B5" s="36" t="s">
        <v>837</v>
      </c>
      <c r="C5" s="18"/>
      <c r="D5" s="18"/>
      <c r="E5" s="18"/>
      <c r="F5" s="18"/>
      <c r="G5" s="18"/>
      <c r="H5" s="18"/>
      <c r="I5" s="18"/>
      <c r="J5" s="18"/>
      <c r="K5" s="18"/>
      <c r="L5" s="18"/>
      <c r="M5" s="18"/>
    </row>
    <row r="6" spans="2:13" ht="42.6" customHeight="1" x14ac:dyDescent="0.45">
      <c r="B6" s="76" t="s">
        <v>838</v>
      </c>
      <c r="C6" s="75"/>
      <c r="D6" s="75"/>
      <c r="E6" s="75"/>
      <c r="F6" s="75"/>
      <c r="G6" s="75"/>
      <c r="H6" s="75"/>
      <c r="I6" s="75"/>
      <c r="J6" s="75"/>
      <c r="K6" s="75"/>
      <c r="L6" s="75"/>
      <c r="M6" s="75"/>
    </row>
    <row r="7" spans="2:13" ht="15" customHeight="1" x14ac:dyDescent="0.45"/>
    <row r="8" spans="2:13" ht="15" customHeight="1" x14ac:dyDescent="0.45"/>
    <row r="9" spans="2:13" ht="15" customHeight="1" x14ac:dyDescent="0.45"/>
    <row r="10" spans="2:13" ht="16.25" customHeight="1" x14ac:dyDescent="0.45">
      <c r="B10" s="76" t="s">
        <v>839</v>
      </c>
      <c r="C10" s="75"/>
      <c r="D10" s="75"/>
      <c r="E10" s="75"/>
      <c r="F10" s="75"/>
      <c r="G10" s="75"/>
      <c r="H10" s="75"/>
      <c r="I10" s="75"/>
      <c r="J10" s="75"/>
      <c r="K10" s="75"/>
      <c r="L10" s="75"/>
      <c r="M10" s="75"/>
    </row>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16.25" customHeight="1" x14ac:dyDescent="0.45">
      <c r="B25" s="74" t="s">
        <v>840</v>
      </c>
      <c r="C25" s="75"/>
      <c r="D25" s="75"/>
      <c r="E25" s="75"/>
      <c r="F25" s="75"/>
      <c r="G25" s="75"/>
      <c r="H25" s="75"/>
      <c r="I25" s="75"/>
      <c r="J25" s="75"/>
      <c r="K25" s="75"/>
      <c r="L25" s="75"/>
      <c r="M25" s="75"/>
    </row>
    <row r="27" spans="2:13" ht="18" customHeight="1" x14ac:dyDescent="0.45">
      <c r="B27" s="36" t="s">
        <v>841</v>
      </c>
      <c r="C27" s="18"/>
      <c r="D27" s="18"/>
      <c r="E27" s="18"/>
      <c r="F27" s="18"/>
      <c r="G27" s="18"/>
      <c r="H27" s="18"/>
      <c r="I27" s="18"/>
      <c r="J27" s="18"/>
      <c r="K27" s="18"/>
      <c r="L27" s="18"/>
      <c r="M27" s="18"/>
    </row>
    <row r="28" spans="2:13" ht="15" customHeight="1" x14ac:dyDescent="0.45"/>
    <row r="29" spans="2:13" ht="15" customHeight="1" x14ac:dyDescent="0.45"/>
    <row r="30" spans="2:13" ht="15" customHeight="1" x14ac:dyDescent="0.45"/>
    <row r="31" spans="2:13" ht="29.45" customHeight="1" x14ac:dyDescent="0.45">
      <c r="B31" s="76" t="s">
        <v>842</v>
      </c>
      <c r="C31" s="75"/>
      <c r="D31" s="75"/>
      <c r="E31" s="75"/>
      <c r="F31" s="75"/>
      <c r="G31" s="75"/>
      <c r="H31" s="75"/>
      <c r="I31" s="75"/>
      <c r="J31" s="75"/>
      <c r="K31" s="75"/>
      <c r="L31" s="75"/>
      <c r="M31" s="75"/>
    </row>
    <row r="33" spans="2:13" ht="18" customHeight="1" x14ac:dyDescent="0.45">
      <c r="B33" s="36" t="s">
        <v>843</v>
      </c>
      <c r="C33" s="18"/>
      <c r="D33" s="18"/>
      <c r="E33" s="18"/>
      <c r="F33" s="18"/>
      <c r="G33" s="18"/>
      <c r="H33" s="18"/>
      <c r="I33" s="18"/>
      <c r="J33" s="18"/>
      <c r="K33" s="18"/>
      <c r="L33" s="18"/>
      <c r="M33" s="18"/>
    </row>
    <row r="34" spans="2:13" ht="15" customHeight="1" x14ac:dyDescent="0.45"/>
    <row r="35" spans="2:13" ht="15" customHeight="1" x14ac:dyDescent="0.45"/>
    <row r="36" spans="2:13" ht="15" customHeight="1" x14ac:dyDescent="0.45"/>
    <row r="37" spans="2:13" ht="15" customHeight="1" x14ac:dyDescent="0.45"/>
    <row r="38" spans="2:13" ht="15" customHeight="1" x14ac:dyDescent="0.45"/>
    <row r="39" spans="2:13" ht="15" customHeight="1" x14ac:dyDescent="0.45"/>
    <row r="40" spans="2:13" ht="16.25" customHeight="1" x14ac:dyDescent="0.45">
      <c r="B40" s="76" t="s">
        <v>844</v>
      </c>
      <c r="C40" s="75"/>
      <c r="D40" s="75"/>
      <c r="E40" s="75"/>
      <c r="F40" s="75"/>
      <c r="G40" s="75"/>
      <c r="H40" s="75"/>
      <c r="I40" s="75"/>
      <c r="J40" s="75"/>
      <c r="K40" s="75"/>
      <c r="L40" s="75"/>
      <c r="M40" s="75"/>
    </row>
    <row r="41" spans="2:13" ht="15" customHeight="1" x14ac:dyDescent="0.45"/>
    <row r="42" spans="2:13" ht="15" customHeight="1" x14ac:dyDescent="0.45"/>
    <row r="43" spans="2:13" ht="15" customHeight="1" x14ac:dyDescent="0.45"/>
    <row r="44" spans="2:13" ht="15" customHeight="1" x14ac:dyDescent="0.45"/>
    <row r="45" spans="2:13" ht="15" customHeight="1" x14ac:dyDescent="0.45"/>
    <row r="46" spans="2:13" ht="15" customHeight="1" x14ac:dyDescent="0.45"/>
    <row r="47" spans="2:13" ht="29.45" customHeight="1" x14ac:dyDescent="0.45">
      <c r="B47" s="79" t="s">
        <v>845</v>
      </c>
      <c r="C47" s="80"/>
      <c r="D47" s="80"/>
      <c r="E47" s="80"/>
      <c r="F47" s="80"/>
      <c r="G47" s="80"/>
      <c r="H47" s="80"/>
      <c r="I47" s="80"/>
      <c r="J47" s="80"/>
      <c r="K47" s="80"/>
      <c r="L47" s="80"/>
      <c r="M47" s="80"/>
    </row>
    <row r="48" spans="2:13" ht="15" customHeight="1" x14ac:dyDescent="0.45"/>
    <row r="49" spans="2:13" ht="15" customHeight="1" x14ac:dyDescent="0.45"/>
    <row r="50" spans="2:13" ht="15" customHeight="1" x14ac:dyDescent="0.45"/>
    <row r="51" spans="2:13" ht="15" customHeight="1" x14ac:dyDescent="0.45"/>
    <row r="52" spans="2:13" ht="15" customHeight="1" x14ac:dyDescent="0.45"/>
    <row r="53" spans="2:13" ht="15" customHeight="1" x14ac:dyDescent="0.45"/>
    <row r="54" spans="2:13" ht="15" customHeight="1" x14ac:dyDescent="0.45"/>
    <row r="55" spans="2:13" ht="15" customHeight="1" x14ac:dyDescent="0.45"/>
    <row r="56" spans="2:13" ht="15" customHeight="1" x14ac:dyDescent="0.45"/>
    <row r="57" spans="2:13" ht="15" customHeight="1" x14ac:dyDescent="0.45"/>
    <row r="58" spans="2:13" ht="15" customHeight="1" x14ac:dyDescent="0.45"/>
    <row r="59" spans="2:13" ht="15" customHeight="1" x14ac:dyDescent="0.45"/>
    <row r="60" spans="2:13" ht="15" customHeight="1" x14ac:dyDescent="0.45"/>
    <row r="61" spans="2:13" ht="16.25" customHeight="1" x14ac:dyDescent="0.45">
      <c r="B61" s="74" t="s">
        <v>846</v>
      </c>
      <c r="C61" s="75"/>
      <c r="D61" s="75"/>
      <c r="E61" s="75"/>
      <c r="F61" s="75"/>
      <c r="G61" s="75"/>
      <c r="H61" s="75"/>
      <c r="I61" s="75"/>
      <c r="J61" s="75"/>
      <c r="K61" s="75"/>
      <c r="L61" s="75"/>
      <c r="M61" s="75"/>
    </row>
    <row r="62" spans="2:13" x14ac:dyDescent="0.45">
      <c r="B62" s="77" t="s">
        <v>106</v>
      </c>
      <c r="C62" s="77" t="s">
        <v>671</v>
      </c>
      <c r="D62" s="78"/>
      <c r="E62" s="78"/>
      <c r="F62" s="78"/>
      <c r="G62" s="78"/>
      <c r="H62" s="77" t="s">
        <v>672</v>
      </c>
      <c r="I62" s="78"/>
      <c r="J62" s="78"/>
      <c r="K62" s="77" t="s">
        <v>673</v>
      </c>
      <c r="L62" s="78"/>
      <c r="M62" s="78"/>
    </row>
    <row r="63" spans="2:13" ht="15.2" customHeight="1" x14ac:dyDescent="0.45">
      <c r="B63" s="76" t="s">
        <v>847</v>
      </c>
      <c r="C63" s="76" t="s">
        <v>848</v>
      </c>
      <c r="D63" s="75"/>
      <c r="E63" s="75"/>
      <c r="F63" s="75"/>
      <c r="G63" s="75"/>
      <c r="H63" s="76" t="s">
        <v>849</v>
      </c>
      <c r="I63" s="75"/>
      <c r="J63" s="75"/>
      <c r="K63" s="76" t="s">
        <v>139</v>
      </c>
      <c r="L63" s="75"/>
      <c r="M63" s="75"/>
    </row>
    <row r="64" spans="2:13" ht="15.2" customHeight="1" x14ac:dyDescent="0.45">
      <c r="B64" s="76" t="s">
        <v>850</v>
      </c>
      <c r="C64" s="76" t="s">
        <v>851</v>
      </c>
      <c r="D64" s="75"/>
      <c r="E64" s="75"/>
      <c r="F64" s="75"/>
      <c r="G64" s="75"/>
      <c r="H64" s="76" t="s">
        <v>852</v>
      </c>
      <c r="I64" s="75"/>
      <c r="J64" s="75"/>
      <c r="K64" s="76" t="s">
        <v>139</v>
      </c>
      <c r="L64" s="75"/>
      <c r="M64" s="75"/>
    </row>
    <row r="65" spans="2:13" ht="15.2" customHeight="1" x14ac:dyDescent="0.45">
      <c r="B65" s="76" t="s">
        <v>853</v>
      </c>
      <c r="C65" s="76" t="s">
        <v>854</v>
      </c>
      <c r="D65" s="75"/>
      <c r="E65" s="75"/>
      <c r="F65" s="75"/>
      <c r="G65" s="75"/>
      <c r="H65" s="76" t="s">
        <v>855</v>
      </c>
      <c r="I65" s="75"/>
      <c r="J65" s="75"/>
      <c r="K65" s="76" t="s">
        <v>856</v>
      </c>
      <c r="L65" s="75"/>
      <c r="M65" s="75"/>
    </row>
    <row r="66" spans="2:13" ht="15.2" customHeight="1" x14ac:dyDescent="0.45">
      <c r="B66" s="76" t="s">
        <v>857</v>
      </c>
      <c r="C66" s="76" t="s">
        <v>858</v>
      </c>
      <c r="D66" s="75"/>
      <c r="E66" s="75"/>
      <c r="F66" s="75"/>
      <c r="G66" s="75"/>
      <c r="H66" s="76" t="s">
        <v>859</v>
      </c>
      <c r="I66" s="75"/>
      <c r="J66" s="75"/>
      <c r="K66" s="76" t="s">
        <v>505</v>
      </c>
      <c r="L66" s="75"/>
      <c r="M66" s="75"/>
    </row>
    <row r="67" spans="2:13" ht="15.2" customHeight="1" x14ac:dyDescent="0.45">
      <c r="B67" s="76" t="s">
        <v>860</v>
      </c>
      <c r="C67" s="76" t="s">
        <v>861</v>
      </c>
      <c r="D67" s="75"/>
      <c r="E67" s="75"/>
      <c r="F67" s="75"/>
      <c r="G67" s="75"/>
      <c r="H67" s="76" t="s">
        <v>862</v>
      </c>
      <c r="I67" s="75"/>
      <c r="J67" s="75"/>
      <c r="K67" s="76" t="s">
        <v>863</v>
      </c>
      <c r="L67" s="75"/>
      <c r="M67" s="75"/>
    </row>
  </sheetData>
  <mergeCells count="31">
    <mergeCell ref="B6:M6"/>
    <mergeCell ref="H62:J62"/>
    <mergeCell ref="K65:M65"/>
    <mergeCell ref="K66:M66"/>
    <mergeCell ref="K62:M62"/>
    <mergeCell ref="B47:M47"/>
    <mergeCell ref="H63:J63"/>
    <mergeCell ref="B25:M25"/>
    <mergeCell ref="B31:M31"/>
    <mergeCell ref="C66:G66"/>
    <mergeCell ref="K64:M64"/>
    <mergeCell ref="H64:J64"/>
    <mergeCell ref="K67:M67"/>
    <mergeCell ref="B63"/>
    <mergeCell ref="C64:G64"/>
    <mergeCell ref="B10:M10"/>
    <mergeCell ref="C65:G65"/>
    <mergeCell ref="H66:J66"/>
    <mergeCell ref="B62"/>
    <mergeCell ref="C63:G63"/>
    <mergeCell ref="H65:J65"/>
    <mergeCell ref="B40:M40"/>
    <mergeCell ref="B66"/>
    <mergeCell ref="B67"/>
    <mergeCell ref="H67:J67"/>
    <mergeCell ref="C67:G67"/>
    <mergeCell ref="K63:M63"/>
    <mergeCell ref="B65"/>
    <mergeCell ref="C62:G62"/>
    <mergeCell ref="B64"/>
    <mergeCell ref="B61:M61"/>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2A36"/>
  </sheetPr>
  <dimension ref="A1:M46"/>
  <sheetViews>
    <sheetView showGridLines="0" workbookViewId="0"/>
  </sheetViews>
  <sheetFormatPr defaultRowHeight="14.25" x14ac:dyDescent="0.45"/>
  <cols>
    <col min="1" max="1" width="3" customWidth="1"/>
    <col min="2" max="2" width="12" customWidth="1"/>
    <col min="3" max="3" width="14" customWidth="1"/>
    <col min="4" max="14" width="13" customWidth="1"/>
  </cols>
  <sheetData>
    <row r="1" spans="1:13" ht="17.649999999999999" x14ac:dyDescent="0.5">
      <c r="A1" s="15" t="s">
        <v>40</v>
      </c>
      <c r="L1" s="37" t="s">
        <v>111</v>
      </c>
      <c r="M1" s="2" t="str">
        <f>""&amp;TB_Project</f>
        <v>D2 I-95 Pedestrian Bridge</v>
      </c>
    </row>
    <row r="2" spans="1:13" x14ac:dyDescent="0.45">
      <c r="A2" s="8" t="s">
        <v>864</v>
      </c>
      <c r="L2" s="37" t="s">
        <v>119</v>
      </c>
      <c r="M2" s="2" t="str">
        <f>""&amp;TB_JobNo</f>
        <v/>
      </c>
    </row>
    <row r="3" spans="1:13" x14ac:dyDescent="0.45">
      <c r="L3" s="37" t="s">
        <v>694</v>
      </c>
      <c r="M3" s="2" t="str">
        <f>TB_CalcBy&amp;"  "&amp;TB_CalcDate</f>
        <v xml:space="preserve">  </v>
      </c>
    </row>
    <row r="4" spans="1:13" x14ac:dyDescent="0.45">
      <c r="L4" s="37" t="s">
        <v>695</v>
      </c>
      <c r="M4" s="2" t="str">
        <f>TB_CheckBy&amp;"  "&amp;TB_CheckDate</f>
        <v xml:space="preserve">  </v>
      </c>
    </row>
    <row r="6" spans="1:13" x14ac:dyDescent="0.45">
      <c r="A6" s="17" t="s">
        <v>865</v>
      </c>
      <c r="B6" s="18"/>
      <c r="C6" s="18"/>
      <c r="D6" s="18"/>
      <c r="E6" s="18"/>
      <c r="F6" s="18"/>
      <c r="G6" s="18"/>
      <c r="H6" s="18"/>
      <c r="I6" s="18"/>
      <c r="J6" s="18"/>
      <c r="K6" s="18"/>
      <c r="L6" s="18"/>
    </row>
    <row r="7" spans="1:13" ht="32" customHeight="1" x14ac:dyDescent="0.45">
      <c r="B7" s="19" t="s">
        <v>789</v>
      </c>
      <c r="C7" s="19" t="s">
        <v>866</v>
      </c>
      <c r="D7" s="19" t="s">
        <v>867</v>
      </c>
      <c r="E7" s="19" t="s">
        <v>868</v>
      </c>
      <c r="F7" s="19" t="s">
        <v>869</v>
      </c>
      <c r="G7" s="19" t="s">
        <v>870</v>
      </c>
      <c r="H7" s="19" t="s">
        <v>871</v>
      </c>
      <c r="I7" s="19" t="s">
        <v>872</v>
      </c>
      <c r="J7" s="19" t="s">
        <v>873</v>
      </c>
    </row>
    <row r="8" spans="1:13" x14ac:dyDescent="0.45">
      <c r="B8" s="11">
        <v>1</v>
      </c>
      <c r="C8" s="48">
        <f>Sp1_C</f>
        <v>0.124592744006574</v>
      </c>
      <c r="D8" s="40">
        <f>Sp1_Lb</f>
        <v>105.47499999999991</v>
      </c>
      <c r="E8" s="43">
        <f>(Sp1_Bm0-Sp1_BrgA)/Sp1_Lb</f>
        <v>-7.1106897369044861E-3</v>
      </c>
      <c r="F8" s="43">
        <f>(Sp1_Bm1-Sp1_BrgA)/Sp1_Lb</f>
        <v>1.0071106897369044</v>
      </c>
      <c r="G8" s="49">
        <f>Prof_Kq*Sp1_Lb^2+Sp1_C/3</f>
        <v>4.1530914668857999E-2</v>
      </c>
      <c r="H8" s="49">
        <f>MAX(G8/4,G8*E8*(1-E8),G8*F8*(1-F8))</f>
        <v>1.03827286672145E-2</v>
      </c>
      <c r="I8" s="48">
        <f>MC1_Net</f>
        <v>0.124592744006574</v>
      </c>
      <c r="J8" s="50">
        <f>C8-I8</f>
        <v>0</v>
      </c>
    </row>
    <row r="9" spans="1:13" x14ac:dyDescent="0.45">
      <c r="B9" s="11">
        <v>2</v>
      </c>
      <c r="C9" s="48">
        <f>Sp2_C</f>
        <v>0.56717146305500721</v>
      </c>
      <c r="D9" s="40">
        <f>Sp2_Lb</f>
        <v>103.02500000000009</v>
      </c>
      <c r="E9" s="43">
        <f>(Sp2_Bm0-Sp2_BrgA)/Sp2_Lb</f>
        <v>-7.2797864595971788E-3</v>
      </c>
      <c r="F9" s="43">
        <f>(Sp2_Bm1-Sp2_BrgA)/Sp2_Lb</f>
        <v>1.0072797864595973</v>
      </c>
      <c r="G9" s="49">
        <f>Prof_Kq*Sp2_Lb^2+Sp2_C/3</f>
        <v>0.18905715435166906</v>
      </c>
      <c r="H9" s="49">
        <f>MAX(G9/4,G9*E9*(1-E9),G9*F9*(1-F9))</f>
        <v>4.7264288587917265E-2</v>
      </c>
      <c r="I9" s="48">
        <f>MC2_Net</f>
        <v>0.56717146305500721</v>
      </c>
      <c r="J9" s="50">
        <f>C9-I9</f>
        <v>0</v>
      </c>
    </row>
    <row r="11" spans="1:13" x14ac:dyDescent="0.45">
      <c r="A11" s="17" t="s">
        <v>874</v>
      </c>
      <c r="B11" s="18"/>
      <c r="C11" s="18"/>
      <c r="D11" s="18"/>
      <c r="E11" s="18"/>
      <c r="F11" s="18"/>
      <c r="G11" s="18"/>
      <c r="H11" s="18"/>
      <c r="I11" s="18"/>
      <c r="J11" s="18"/>
      <c r="K11" s="18"/>
      <c r="L11" s="18"/>
    </row>
    <row r="12" spans="1:13" ht="32" customHeight="1" x14ac:dyDescent="0.45">
      <c r="B12" s="19" t="s">
        <v>737</v>
      </c>
      <c r="C12" s="19" t="s">
        <v>747</v>
      </c>
      <c r="D12" s="19" t="s">
        <v>813</v>
      </c>
      <c r="E12" s="19" t="s">
        <v>875</v>
      </c>
      <c r="F12" s="19" t="s">
        <v>876</v>
      </c>
    </row>
    <row r="13" spans="1:13" x14ac:dyDescent="0.45">
      <c r="B13" s="11" t="s">
        <v>830</v>
      </c>
      <c r="C13" s="40">
        <f>Bm1_dMin</f>
        <v>-0.12583333333333335</v>
      </c>
      <c r="D13" s="2">
        <f>Bm1_Raise</f>
        <v>0</v>
      </c>
      <c r="E13" s="41">
        <f>C13-Deck_T-D13/12-Bm_D-Sp1_W</f>
        <v>-3.6362160620005479</v>
      </c>
      <c r="F13" s="45">
        <f>(E13+Sup_Drop)*12</f>
        <v>0.94257871904843249</v>
      </c>
    </row>
    <row r="14" spans="1:13" x14ac:dyDescent="0.45">
      <c r="B14" s="11" t="s">
        <v>831</v>
      </c>
      <c r="C14" s="40">
        <f>Bm2_dMin</f>
        <v>-0.12583333333333335</v>
      </c>
      <c r="D14" s="2">
        <f>Bm2_Raise</f>
        <v>0</v>
      </c>
      <c r="E14" s="41">
        <f>C14-Deck_T-D14/12-Bm_D-Sp1_W</f>
        <v>-3.6362160620005479</v>
      </c>
      <c r="F14" s="45">
        <f>(E14+Sup_Drop)*12</f>
        <v>0.94257871904843249</v>
      </c>
    </row>
    <row r="15" spans="1:13" x14ac:dyDescent="0.45">
      <c r="B15" s="11" t="s">
        <v>832</v>
      </c>
      <c r="C15" s="40">
        <f>Bm1_dMin</f>
        <v>-0.12583333333333335</v>
      </c>
      <c r="D15" s="2">
        <f>Bm1_Raise</f>
        <v>0</v>
      </c>
      <c r="E15" s="41">
        <f>C15-Deck_T-D15/12-Bm_D-Sp2_W</f>
        <v>-3.6730976219212508</v>
      </c>
      <c r="F15" s="45">
        <f>(E15+Sup_Drop)*12</f>
        <v>0.49999999999999822</v>
      </c>
    </row>
    <row r="16" spans="1:13" x14ac:dyDescent="0.45">
      <c r="B16" s="11" t="s">
        <v>833</v>
      </c>
      <c r="C16" s="40">
        <f>Bm2_dMin</f>
        <v>-0.12583333333333335</v>
      </c>
      <c r="D16" s="2">
        <f>Bm2_Raise</f>
        <v>0</v>
      </c>
      <c r="E16" s="41">
        <f>C16-Deck_T-D16/12-Bm_D-Sp2_W</f>
        <v>-3.6730976219212508</v>
      </c>
      <c r="F16" s="45">
        <f>(E16+Sup_Drop)*12</f>
        <v>0.49999999999999822</v>
      </c>
    </row>
    <row r="18" spans="1:13" x14ac:dyDescent="0.45">
      <c r="B18" s="7" t="s">
        <v>877</v>
      </c>
      <c r="E18" s="51">
        <f>Bm_Hmin/12-MIN(E13:E16)</f>
        <v>3.7147642885879173</v>
      </c>
      <c r="G18" s="8" t="s">
        <v>878</v>
      </c>
    </row>
    <row r="19" spans="1:13" x14ac:dyDescent="0.45">
      <c r="B19" s="7" t="s">
        <v>879</v>
      </c>
      <c r="E19" s="52">
        <f>MIN(F13:F16)</f>
        <v>0.49999999999999822</v>
      </c>
      <c r="F19" s="42" t="str">
        <f>IF(E19&gt;=Bm_Hmin-0.00000001,"PASS","FAIL")</f>
        <v>PASS</v>
      </c>
    </row>
    <row r="21" spans="1:13" x14ac:dyDescent="0.45">
      <c r="A21" s="17" t="s">
        <v>880</v>
      </c>
      <c r="B21" s="18"/>
      <c r="C21" s="18"/>
      <c r="D21" s="18"/>
      <c r="E21" s="18"/>
      <c r="F21" s="18"/>
      <c r="G21" s="18"/>
      <c r="H21" s="18"/>
      <c r="I21" s="18"/>
      <c r="J21" s="18"/>
      <c r="K21" s="18"/>
      <c r="L21" s="18"/>
      <c r="M21" s="18"/>
    </row>
    <row r="22" spans="1:13" ht="32" customHeight="1" x14ac:dyDescent="0.45">
      <c r="B22" s="19" t="s">
        <v>737</v>
      </c>
      <c r="C22" s="19" t="s">
        <v>881</v>
      </c>
      <c r="D22" s="19" t="s">
        <v>882</v>
      </c>
      <c r="E22" s="19" t="s">
        <v>883</v>
      </c>
      <c r="F22" s="19" t="s">
        <v>720</v>
      </c>
      <c r="G22" s="19" t="s">
        <v>884</v>
      </c>
      <c r="H22" s="19" t="s">
        <v>885</v>
      </c>
      <c r="I22" s="19" t="s">
        <v>886</v>
      </c>
      <c r="J22" s="19" t="s">
        <v>887</v>
      </c>
      <c r="K22" s="19" t="s">
        <v>888</v>
      </c>
      <c r="L22" s="19" t="s">
        <v>889</v>
      </c>
      <c r="M22" s="19" t="s">
        <v>876</v>
      </c>
    </row>
    <row r="23" spans="1:13" x14ac:dyDescent="0.45">
      <c r="B23" s="11" t="s">
        <v>830</v>
      </c>
      <c r="C23" s="11" t="s">
        <v>890</v>
      </c>
      <c r="D23" s="40">
        <f>Sp1_BrgA</f>
        <v>1594.22</v>
      </c>
      <c r="E23" s="43">
        <f t="shared" ref="E23:E28" si="0">(D23-Sp1_BrgA)/Sp1_Lb</f>
        <v>0</v>
      </c>
      <c r="F23" s="41">
        <f t="shared" ref="F23:F34" si="1">IF(Prof_Mode="parabolic",Prof_Z0+Prof_G1*((D23)-Prof_Sta0)+Prof_Kq*((D23)-Prof_Sta0)^2,IF((D23)&lt;=Prof_PISta,Prof_Z0+Prof_G1*((D23)-Prof_Sta0),Prof_PIZ+Prof_G2*((D23)-Prof_PISta)))</f>
        <v>47.665998835584539</v>
      </c>
      <c r="G23" s="41">
        <f t="shared" ref="G23:G28" si="2">Sp1_ZA+(Sp1_ZB-Sp1_ZA)*E23</f>
        <v>47.665998835584539</v>
      </c>
      <c r="H23" s="43">
        <f t="shared" ref="H23:H28" si="3">Sp1_C/3*E23*(1-E23)</f>
        <v>0</v>
      </c>
      <c r="I23" s="41">
        <f>G23-Sup_Drop+H23+Bm1_Raise/12</f>
        <v>43.951234546996623</v>
      </c>
      <c r="J23" s="41">
        <f t="shared" ref="J23:J34" si="4">I23+Bm_D</f>
        <v>46.951234546996623</v>
      </c>
      <c r="K23" s="41">
        <f>F23+Bm1_dCL</f>
        <v>47.580165502251205</v>
      </c>
      <c r="L23" s="45">
        <f t="shared" ref="L23:L34" si="5">(K23-Deck_T-J23)*12</f>
        <v>1.5471714630549798</v>
      </c>
      <c r="M23" s="45">
        <f>(F23+Bm1_dMin-Deck_T-J23)*12</f>
        <v>1.06717146305499</v>
      </c>
    </row>
    <row r="24" spans="1:13" x14ac:dyDescent="0.45">
      <c r="B24" s="11" t="s">
        <v>830</v>
      </c>
      <c r="C24" s="11" t="s">
        <v>891</v>
      </c>
      <c r="D24" s="40">
        <f>Sp1_Mid</f>
        <v>1646.9575</v>
      </c>
      <c r="E24" s="43">
        <f t="shared" si="0"/>
        <v>0.5</v>
      </c>
      <c r="F24" s="41">
        <f t="shared" si="1"/>
        <v>47.929624927224033</v>
      </c>
      <c r="G24" s="41">
        <f t="shared" si="2"/>
        <v>47.92962492722404</v>
      </c>
      <c r="H24" s="43">
        <f t="shared" si="3"/>
        <v>1.03827286672145E-2</v>
      </c>
      <c r="I24" s="41">
        <f>G24-Sup_Drop+H24+Bm1_Raise/12</f>
        <v>44.225243367303342</v>
      </c>
      <c r="J24" s="41">
        <f t="shared" si="4"/>
        <v>47.225243367303342</v>
      </c>
      <c r="K24" s="41">
        <f>F24+Bm1_dCL</f>
        <v>47.8437915938907</v>
      </c>
      <c r="L24" s="45">
        <f t="shared" si="5"/>
        <v>1.422578719048289</v>
      </c>
      <c r="M24" s="45">
        <f>(F24+Bm1_dMin-Deck_T-J24)*12</f>
        <v>0.94257871904829926</v>
      </c>
    </row>
    <row r="25" spans="1:13" x14ac:dyDescent="0.45">
      <c r="B25" s="11" t="s">
        <v>830</v>
      </c>
      <c r="C25" s="11" t="s">
        <v>892</v>
      </c>
      <c r="D25" s="40">
        <f>Sp1_BrgB</f>
        <v>1699.6949999999999</v>
      </c>
      <c r="E25" s="43">
        <f t="shared" si="0"/>
        <v>1</v>
      </c>
      <c r="F25" s="41">
        <f t="shared" si="1"/>
        <v>48.193251018863535</v>
      </c>
      <c r="G25" s="41">
        <f t="shared" si="2"/>
        <v>48.193251018863535</v>
      </c>
      <c r="H25" s="43">
        <f t="shared" si="3"/>
        <v>0</v>
      </c>
      <c r="I25" s="41">
        <f>G25-Sup_Drop+H25+Bm1_Raise/12</f>
        <v>44.47848673027562</v>
      </c>
      <c r="J25" s="41">
        <f t="shared" si="4"/>
        <v>47.47848673027562</v>
      </c>
      <c r="K25" s="41">
        <f>F25+Bm1_dCL</f>
        <v>48.107417685530201</v>
      </c>
      <c r="L25" s="45">
        <f t="shared" si="5"/>
        <v>1.5471714630549798</v>
      </c>
      <c r="M25" s="45">
        <f>(F25+Bm1_dMin-Deck_T-J25)*12</f>
        <v>1.06717146305499</v>
      </c>
    </row>
    <row r="26" spans="1:13" x14ac:dyDescent="0.45">
      <c r="B26" s="11" t="s">
        <v>831</v>
      </c>
      <c r="C26" s="11" t="s">
        <v>890</v>
      </c>
      <c r="D26" s="40">
        <f>Sp1_BrgA</f>
        <v>1594.22</v>
      </c>
      <c r="E26" s="43">
        <f t="shared" si="0"/>
        <v>0</v>
      </c>
      <c r="F26" s="41">
        <f t="shared" si="1"/>
        <v>47.665998835584539</v>
      </c>
      <c r="G26" s="41">
        <f t="shared" si="2"/>
        <v>47.665998835584539</v>
      </c>
      <c r="H26" s="43">
        <f t="shared" si="3"/>
        <v>0</v>
      </c>
      <c r="I26" s="41">
        <f>G26-Sup_Drop+H26+Bm2_Raise/12</f>
        <v>43.951234546996623</v>
      </c>
      <c r="J26" s="41">
        <f t="shared" si="4"/>
        <v>46.951234546996623</v>
      </c>
      <c r="K26" s="41">
        <f>F26+Bm2_dCL</f>
        <v>47.580165502251205</v>
      </c>
      <c r="L26" s="45">
        <f t="shared" si="5"/>
        <v>1.5471714630549798</v>
      </c>
      <c r="M26" s="45">
        <f>(F26+Bm2_dMin-Deck_T-J26)*12</f>
        <v>1.06717146305499</v>
      </c>
    </row>
    <row r="27" spans="1:13" x14ac:dyDescent="0.45">
      <c r="B27" s="11" t="s">
        <v>831</v>
      </c>
      <c r="C27" s="11" t="s">
        <v>891</v>
      </c>
      <c r="D27" s="40">
        <f>Sp1_Mid</f>
        <v>1646.9575</v>
      </c>
      <c r="E27" s="43">
        <f t="shared" si="0"/>
        <v>0.5</v>
      </c>
      <c r="F27" s="41">
        <f t="shared" si="1"/>
        <v>47.929624927224033</v>
      </c>
      <c r="G27" s="41">
        <f t="shared" si="2"/>
        <v>47.92962492722404</v>
      </c>
      <c r="H27" s="43">
        <f t="shared" si="3"/>
        <v>1.03827286672145E-2</v>
      </c>
      <c r="I27" s="41">
        <f>G27-Sup_Drop+H27+Bm2_Raise/12</f>
        <v>44.225243367303342</v>
      </c>
      <c r="J27" s="41">
        <f t="shared" si="4"/>
        <v>47.225243367303342</v>
      </c>
      <c r="K27" s="41">
        <f>F27+Bm2_dCL</f>
        <v>47.8437915938907</v>
      </c>
      <c r="L27" s="45">
        <f t="shared" si="5"/>
        <v>1.422578719048289</v>
      </c>
      <c r="M27" s="45">
        <f>(F27+Bm2_dMin-Deck_T-J27)*12</f>
        <v>0.94257871904829926</v>
      </c>
    </row>
    <row r="28" spans="1:13" x14ac:dyDescent="0.45">
      <c r="B28" s="11" t="s">
        <v>831</v>
      </c>
      <c r="C28" s="11" t="s">
        <v>892</v>
      </c>
      <c r="D28" s="40">
        <f>Sp1_BrgB</f>
        <v>1699.6949999999999</v>
      </c>
      <c r="E28" s="43">
        <f t="shared" si="0"/>
        <v>1</v>
      </c>
      <c r="F28" s="41">
        <f t="shared" si="1"/>
        <v>48.193251018863535</v>
      </c>
      <c r="G28" s="41">
        <f t="shared" si="2"/>
        <v>48.193251018863535</v>
      </c>
      <c r="H28" s="43">
        <f t="shared" si="3"/>
        <v>0</v>
      </c>
      <c r="I28" s="41">
        <f>G28-Sup_Drop+H28+Bm2_Raise/12</f>
        <v>44.47848673027562</v>
      </c>
      <c r="J28" s="41">
        <f t="shared" si="4"/>
        <v>47.47848673027562</v>
      </c>
      <c r="K28" s="41">
        <f>F28+Bm2_dCL</f>
        <v>48.107417685530201</v>
      </c>
      <c r="L28" s="45">
        <f t="shared" si="5"/>
        <v>1.5471714630549798</v>
      </c>
      <c r="M28" s="45">
        <f>(F28+Bm2_dMin-Deck_T-J28)*12</f>
        <v>1.06717146305499</v>
      </c>
    </row>
    <row r="29" spans="1:13" x14ac:dyDescent="0.45">
      <c r="B29" s="11" t="s">
        <v>832</v>
      </c>
      <c r="C29" s="11" t="s">
        <v>890</v>
      </c>
      <c r="D29" s="40">
        <f>Sp2_BrgA</f>
        <v>1701.4449999999999</v>
      </c>
      <c r="E29" s="43">
        <f t="shared" ref="E29:E34" si="6">(D29-Sp2_BrgA)/Sp2_Lb</f>
        <v>0</v>
      </c>
      <c r="F29" s="41">
        <f t="shared" si="1"/>
        <v>48.193248957340323</v>
      </c>
      <c r="G29" s="41">
        <f t="shared" ref="G29:G34" si="7">Sp2_ZA+(Sp2_ZB-Sp2_ZA)*E29</f>
        <v>48.193248957340323</v>
      </c>
      <c r="H29" s="43">
        <f t="shared" ref="H29:H34" si="8">Sp2_C/3*E29*(1-E29)</f>
        <v>0</v>
      </c>
      <c r="I29" s="41">
        <f>G29-Sup_Drop+H29+Bm1_Raise/12</f>
        <v>44.478484668752408</v>
      </c>
      <c r="J29" s="41">
        <f t="shared" si="4"/>
        <v>47.478484668752408</v>
      </c>
      <c r="K29" s="41">
        <f>F29+Bm1_dCL</f>
        <v>48.10741562400699</v>
      </c>
      <c r="L29" s="45">
        <f t="shared" si="5"/>
        <v>1.5471714630549798</v>
      </c>
      <c r="M29" s="45">
        <f>(F29+Bm1_dMin-Deck_T-J29)*12</f>
        <v>1.06717146305499</v>
      </c>
    </row>
    <row r="30" spans="1:13" x14ac:dyDescent="0.45">
      <c r="B30" s="11" t="s">
        <v>832</v>
      </c>
      <c r="C30" s="11" t="s">
        <v>891</v>
      </c>
      <c r="D30" s="40">
        <f>Sp2_Mid</f>
        <v>1752.9575</v>
      </c>
      <c r="E30" s="43">
        <f t="shared" si="6"/>
        <v>0.5</v>
      </c>
      <c r="F30" s="41">
        <f t="shared" si="1"/>
        <v>47.935625074475695</v>
      </c>
      <c r="G30" s="41">
        <f t="shared" si="7"/>
        <v>47.935625074475695</v>
      </c>
      <c r="H30" s="43">
        <f t="shared" si="8"/>
        <v>4.7264288587917265E-2</v>
      </c>
      <c r="I30" s="41">
        <f>G30-Sup_Drop+H30+Bm1_Raise/12</f>
        <v>44.268125074475698</v>
      </c>
      <c r="J30" s="41">
        <f t="shared" si="4"/>
        <v>47.268125074475698</v>
      </c>
      <c r="K30" s="41">
        <f>F30+Bm1_dCL</f>
        <v>47.849791741142361</v>
      </c>
      <c r="L30" s="45">
        <f t="shared" si="5"/>
        <v>0.97999999999996135</v>
      </c>
      <c r="M30" s="45">
        <f>(F30+Bm1_dMin-Deck_T-J30)*12</f>
        <v>0.49999999999997158</v>
      </c>
    </row>
    <row r="31" spans="1:13" x14ac:dyDescent="0.45">
      <c r="B31" s="11" t="s">
        <v>832</v>
      </c>
      <c r="C31" s="11" t="s">
        <v>892</v>
      </c>
      <c r="D31" s="40">
        <f>Sp2_BrgB</f>
        <v>1804.47</v>
      </c>
      <c r="E31" s="43">
        <f t="shared" si="6"/>
        <v>1</v>
      </c>
      <c r="F31" s="41">
        <f t="shared" si="1"/>
        <v>47.67800119161106</v>
      </c>
      <c r="G31" s="41">
        <f t="shared" si="7"/>
        <v>47.67800119161106</v>
      </c>
      <c r="H31" s="43">
        <f t="shared" si="8"/>
        <v>0</v>
      </c>
      <c r="I31" s="41">
        <f>G31-Sup_Drop+H31+Bm1_Raise/12</f>
        <v>43.963236903023144</v>
      </c>
      <c r="J31" s="41">
        <f t="shared" si="4"/>
        <v>46.963236903023144</v>
      </c>
      <c r="K31" s="41">
        <f>F31+Bm1_dCL</f>
        <v>47.592167858277726</v>
      </c>
      <c r="L31" s="45">
        <f t="shared" si="5"/>
        <v>1.5471714630549798</v>
      </c>
      <c r="M31" s="45">
        <f>(F31+Bm1_dMin-Deck_T-J31)*12</f>
        <v>1.06717146305499</v>
      </c>
    </row>
    <row r="32" spans="1:13" x14ac:dyDescent="0.45">
      <c r="B32" s="11" t="s">
        <v>833</v>
      </c>
      <c r="C32" s="11" t="s">
        <v>890</v>
      </c>
      <c r="D32" s="40">
        <f>Sp2_BrgA</f>
        <v>1701.4449999999999</v>
      </c>
      <c r="E32" s="43">
        <f t="shared" si="6"/>
        <v>0</v>
      </c>
      <c r="F32" s="41">
        <f t="shared" si="1"/>
        <v>48.193248957340323</v>
      </c>
      <c r="G32" s="41">
        <f t="shared" si="7"/>
        <v>48.193248957340323</v>
      </c>
      <c r="H32" s="43">
        <f t="shared" si="8"/>
        <v>0</v>
      </c>
      <c r="I32" s="41">
        <f>G32-Sup_Drop+H32+Bm2_Raise/12</f>
        <v>44.478484668752408</v>
      </c>
      <c r="J32" s="41">
        <f t="shared" si="4"/>
        <v>47.478484668752408</v>
      </c>
      <c r="K32" s="41">
        <f>F32+Bm2_dCL</f>
        <v>48.10741562400699</v>
      </c>
      <c r="L32" s="45">
        <f t="shared" si="5"/>
        <v>1.5471714630549798</v>
      </c>
      <c r="M32" s="45">
        <f>(F32+Bm2_dMin-Deck_T-J32)*12</f>
        <v>1.06717146305499</v>
      </c>
    </row>
    <row r="33" spans="1:13" x14ac:dyDescent="0.45">
      <c r="B33" s="11" t="s">
        <v>833</v>
      </c>
      <c r="C33" s="11" t="s">
        <v>891</v>
      </c>
      <c r="D33" s="40">
        <f>Sp2_Mid</f>
        <v>1752.9575</v>
      </c>
      <c r="E33" s="43">
        <f t="shared" si="6"/>
        <v>0.5</v>
      </c>
      <c r="F33" s="41">
        <f t="shared" si="1"/>
        <v>47.935625074475695</v>
      </c>
      <c r="G33" s="41">
        <f t="shared" si="7"/>
        <v>47.935625074475695</v>
      </c>
      <c r="H33" s="43">
        <f t="shared" si="8"/>
        <v>4.7264288587917265E-2</v>
      </c>
      <c r="I33" s="41">
        <f>G33-Sup_Drop+H33+Bm2_Raise/12</f>
        <v>44.268125074475698</v>
      </c>
      <c r="J33" s="41">
        <f t="shared" si="4"/>
        <v>47.268125074475698</v>
      </c>
      <c r="K33" s="41">
        <f>F33+Bm2_dCL</f>
        <v>47.849791741142361</v>
      </c>
      <c r="L33" s="45">
        <f t="shared" si="5"/>
        <v>0.97999999999996135</v>
      </c>
      <c r="M33" s="45">
        <f>(F33+Bm2_dMin-Deck_T-J33)*12</f>
        <v>0.49999999999997158</v>
      </c>
    </row>
    <row r="34" spans="1:13" x14ac:dyDescent="0.45">
      <c r="B34" s="11" t="s">
        <v>833</v>
      </c>
      <c r="C34" s="11" t="s">
        <v>892</v>
      </c>
      <c r="D34" s="40">
        <f>Sp2_BrgB</f>
        <v>1804.47</v>
      </c>
      <c r="E34" s="43">
        <f t="shared" si="6"/>
        <v>1</v>
      </c>
      <c r="F34" s="41">
        <f t="shared" si="1"/>
        <v>47.67800119161106</v>
      </c>
      <c r="G34" s="41">
        <f t="shared" si="7"/>
        <v>47.67800119161106</v>
      </c>
      <c r="H34" s="43">
        <f t="shared" si="8"/>
        <v>0</v>
      </c>
      <c r="I34" s="41">
        <f>G34-Sup_Drop+H34+Bm2_Raise/12</f>
        <v>43.963236903023144</v>
      </c>
      <c r="J34" s="41">
        <f t="shared" si="4"/>
        <v>46.963236903023144</v>
      </c>
      <c r="K34" s="41">
        <f>F34+Bm2_dCL</f>
        <v>47.592167858277726</v>
      </c>
      <c r="L34" s="45">
        <f t="shared" si="5"/>
        <v>1.5471714630549798</v>
      </c>
      <c r="M34" s="45">
        <f>(F34+Bm2_dMin-Deck_T-J34)*12</f>
        <v>1.06717146305499</v>
      </c>
    </row>
    <row r="36" spans="1:13" x14ac:dyDescent="0.45">
      <c r="A36" s="17" t="s">
        <v>893</v>
      </c>
      <c r="B36" s="18"/>
      <c r="C36" s="18"/>
      <c r="D36" s="18"/>
      <c r="E36" s="18"/>
      <c r="F36" s="18"/>
      <c r="G36" s="18"/>
      <c r="H36" s="18"/>
      <c r="I36" s="18"/>
      <c r="J36" s="18"/>
      <c r="K36" s="18"/>
      <c r="L36" s="18"/>
    </row>
    <row r="37" spans="1:13" ht="32" customHeight="1" x14ac:dyDescent="0.45">
      <c r="B37" s="19" t="s">
        <v>737</v>
      </c>
      <c r="C37" s="19" t="s">
        <v>894</v>
      </c>
      <c r="D37" s="19" t="s">
        <v>895</v>
      </c>
      <c r="E37" s="19" t="s">
        <v>896</v>
      </c>
      <c r="F37" s="19" t="s">
        <v>897</v>
      </c>
      <c r="G37" s="19" t="s">
        <v>898</v>
      </c>
      <c r="H37" s="19" t="s">
        <v>899</v>
      </c>
    </row>
    <row r="38" spans="1:13" x14ac:dyDescent="0.45">
      <c r="B38" s="11" t="s">
        <v>830</v>
      </c>
      <c r="C38" s="45">
        <f>L23</f>
        <v>1.5471714630549798</v>
      </c>
      <c r="D38" s="45">
        <f>L24</f>
        <v>1.422578719048289</v>
      </c>
      <c r="E38" s="45">
        <f>L25</f>
        <v>1.5471714630549798</v>
      </c>
      <c r="F38" s="43">
        <f>(K24-(K23+K25)/2)*12</f>
        <v>0</v>
      </c>
      <c r="G38" s="53">
        <f>Sp1_C</f>
        <v>0.124592744006574</v>
      </c>
      <c r="H38" s="11" t="str">
        <f>IF(ROUND(F38,6)&lt;0,"Case 2",IF(ROUND(F38,6)&gt;G38,"Case 4",IF(ROUND(F38,6)&gt;0,"Case 3","Case 1")))</f>
        <v>Case 1</v>
      </c>
    </row>
    <row r="39" spans="1:13" x14ac:dyDescent="0.45">
      <c r="B39" s="11" t="s">
        <v>831</v>
      </c>
      <c r="C39" s="45">
        <f>L26</f>
        <v>1.5471714630549798</v>
      </c>
      <c r="D39" s="45">
        <f>L27</f>
        <v>1.422578719048289</v>
      </c>
      <c r="E39" s="45">
        <f>L28</f>
        <v>1.5471714630549798</v>
      </c>
      <c r="F39" s="43">
        <f>(K27-(K26+K28)/2)*12</f>
        <v>0</v>
      </c>
      <c r="G39" s="53">
        <f>Sp1_C</f>
        <v>0.124592744006574</v>
      </c>
      <c r="H39" s="11" t="str">
        <f>IF(ROUND(F39,6)&lt;0,"Case 2",IF(ROUND(F39,6)&gt;G39,"Case 4",IF(ROUND(F39,6)&gt;0,"Case 3","Case 1")))</f>
        <v>Case 1</v>
      </c>
    </row>
    <row r="40" spans="1:13" x14ac:dyDescent="0.45">
      <c r="B40" s="11" t="s">
        <v>832</v>
      </c>
      <c r="C40" s="45">
        <f>L29</f>
        <v>1.5471714630549798</v>
      </c>
      <c r="D40" s="45">
        <f>L30</f>
        <v>0.97999999999996135</v>
      </c>
      <c r="E40" s="45">
        <f>L31</f>
        <v>1.5471714630549798</v>
      </c>
      <c r="F40" s="43">
        <f>(K30-(K29+K31)/2)*12</f>
        <v>8.5265128291212022E-14</v>
      </c>
      <c r="G40" s="53">
        <f>Sp2_C</f>
        <v>0.56717146305500721</v>
      </c>
      <c r="H40" s="11" t="str">
        <f>IF(ROUND(F40,6)&lt;0,"Case 2",IF(ROUND(F40,6)&gt;G40,"Case 4",IF(ROUND(F40,6)&gt;0,"Case 3","Case 1")))</f>
        <v>Case 1</v>
      </c>
    </row>
    <row r="41" spans="1:13" x14ac:dyDescent="0.45">
      <c r="B41" s="11" t="s">
        <v>833</v>
      </c>
      <c r="C41" s="45">
        <f>L32</f>
        <v>1.5471714630549798</v>
      </c>
      <c r="D41" s="45">
        <f>L33</f>
        <v>0.97999999999996135</v>
      </c>
      <c r="E41" s="45">
        <f>L34</f>
        <v>1.5471714630549798</v>
      </c>
      <c r="F41" s="43">
        <f>(K33-(K32+K34)/2)*12</f>
        <v>8.5265128291212022E-14</v>
      </c>
      <c r="G41" s="53">
        <f>Sp2_C</f>
        <v>0.56717146305500721</v>
      </c>
      <c r="H41" s="11" t="str">
        <f>IF(ROUND(F41,6)&lt;0,"Case 2",IF(ROUND(F41,6)&gt;G41,"Case 4",IF(ROUND(F41,6)&gt;0,"Case 3","Case 1")))</f>
        <v>Case 1</v>
      </c>
    </row>
    <row r="43" spans="1:13" x14ac:dyDescent="0.45">
      <c r="A43" s="17" t="s">
        <v>900</v>
      </c>
      <c r="B43" s="18"/>
      <c r="C43" s="18"/>
      <c r="D43" s="18"/>
      <c r="E43" s="18"/>
      <c r="F43" s="18"/>
      <c r="G43" s="18"/>
      <c r="H43" s="18"/>
      <c r="I43" s="18"/>
      <c r="J43" s="18"/>
      <c r="K43" s="18"/>
      <c r="L43" s="18"/>
    </row>
    <row r="44" spans="1:13" ht="32" customHeight="1" x14ac:dyDescent="0.45">
      <c r="B44" s="19" t="s">
        <v>789</v>
      </c>
      <c r="C44" s="19" t="s">
        <v>901</v>
      </c>
      <c r="D44" s="19" t="s">
        <v>902</v>
      </c>
      <c r="E44" s="19" t="s">
        <v>903</v>
      </c>
      <c r="F44" s="19" t="s">
        <v>904</v>
      </c>
      <c r="G44" s="19" t="s">
        <v>905</v>
      </c>
      <c r="H44" s="19" t="s">
        <v>906</v>
      </c>
      <c r="I44" s="19" t="s">
        <v>907</v>
      </c>
      <c r="J44" s="19" t="s">
        <v>908</v>
      </c>
    </row>
    <row r="45" spans="1:13" x14ac:dyDescent="0.45">
      <c r="B45" s="11">
        <v>1</v>
      </c>
      <c r="C45" s="40">
        <f>MC1_Drel</f>
        <v>1.3711621824106019</v>
      </c>
      <c r="D45" s="40">
        <f>MC1_D120</f>
        <v>3.3554492587274489</v>
      </c>
      <c r="E45" s="40">
        <f>MC1_Dnc</f>
        <v>-2.4716060425989741</v>
      </c>
      <c r="F45" s="40">
        <f>MC1_Dc</f>
        <v>-0.75925047212190155</v>
      </c>
      <c r="G45" s="43">
        <f>D45+E45+F45</f>
        <v>0.12459274400657327</v>
      </c>
      <c r="H45" s="48">
        <f>MC1_Net</f>
        <v>0.124592744006574</v>
      </c>
      <c r="I45" s="48">
        <f>Sp1_C</f>
        <v>0.124592744006574</v>
      </c>
      <c r="J45" s="42" t="str">
        <f>IF(AND(ABS(G45-H45)&lt;0.000000001,ABS(H45-I45)&lt;0.000000001),"PASS","FAIL")</f>
        <v>PASS</v>
      </c>
    </row>
    <row r="46" spans="1:13" x14ac:dyDescent="0.45">
      <c r="B46" s="11">
        <v>2</v>
      </c>
      <c r="C46" s="40">
        <f>MC2_Drel</f>
        <v>1.4647225816175331</v>
      </c>
      <c r="D46" s="40">
        <f>MC2_D120</f>
        <v>3.5081217611761781</v>
      </c>
      <c r="E46" s="40">
        <f>MC2_Dnc</f>
        <v>-2.2498277075689281</v>
      </c>
      <c r="F46" s="40">
        <f>MC2_Dc</f>
        <v>-0.6911225905522429</v>
      </c>
      <c r="G46" s="43">
        <f>D46+E46+F46</f>
        <v>0.5671714630550071</v>
      </c>
      <c r="H46" s="48">
        <f>MC2_Net</f>
        <v>0.56717146305500721</v>
      </c>
      <c r="I46" s="48">
        <f>Sp2_C</f>
        <v>0.56717146305500721</v>
      </c>
      <c r="J46" s="42" t="str">
        <f>IF(AND(ABS(G46-H46)&lt;0.000000001,ABS(H46-I46)&lt;0.000000001),"PASS","FAIL")</f>
        <v>PASS</v>
      </c>
    </row>
  </sheetData>
  <conditionalFormatting sqref="F19">
    <cfRule type="cellIs" dxfId="38" priority="1" operator="equal">
      <formula>"PASS"</formula>
    </cfRule>
    <cfRule type="cellIs" dxfId="37" priority="2" operator="equal">
      <formula>"FAIL"</formula>
    </cfRule>
    <cfRule type="cellIs" dxfId="36" priority="3" operator="equal">
      <formula>"CHECK"</formula>
    </cfRule>
  </conditionalFormatting>
  <conditionalFormatting sqref="J45:J46">
    <cfRule type="cellIs" dxfId="35" priority="4" operator="equal">
      <formula>"PASS"</formula>
    </cfRule>
    <cfRule type="cellIs" dxfId="34" priority="5" operator="equal">
      <formula>"FAIL"</formula>
    </cfRule>
    <cfRule type="cellIs" dxfId="33" priority="6" operator="equal">
      <formula>"CHECK"</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A96A3"/>
  </sheetPr>
  <dimension ref="B1:M80"/>
  <sheetViews>
    <sheetView showGridLines="0" workbookViewId="0"/>
  </sheetViews>
  <sheetFormatPr defaultRowHeight="14.25" x14ac:dyDescent="0.45"/>
  <cols>
    <col min="1" max="1" width="2" customWidth="1"/>
    <col min="2" max="13" width="11.46484375" customWidth="1"/>
  </cols>
  <sheetData>
    <row r="1" spans="2:13" ht="20.65" x14ac:dyDescent="0.6">
      <c r="B1" s="35" t="s">
        <v>909</v>
      </c>
    </row>
    <row r="2" spans="2:13" x14ac:dyDescent="0.45">
      <c r="B2" s="8" t="s">
        <v>910</v>
      </c>
    </row>
    <row r="5" spans="2:13" ht="18" customHeight="1" x14ac:dyDescent="0.45">
      <c r="B5" s="36" t="s">
        <v>911</v>
      </c>
      <c r="C5" s="18"/>
      <c r="D5" s="18"/>
      <c r="E5" s="18"/>
      <c r="F5" s="18"/>
      <c r="G5" s="18"/>
      <c r="H5" s="18"/>
      <c r="I5" s="18"/>
      <c r="J5" s="18"/>
      <c r="K5" s="18"/>
      <c r="L5" s="18"/>
      <c r="M5" s="18"/>
    </row>
    <row r="6" spans="2:13" ht="29.45" customHeight="1" x14ac:dyDescent="0.45">
      <c r="B6" s="76" t="s">
        <v>912</v>
      </c>
      <c r="C6" s="75"/>
      <c r="D6" s="75"/>
      <c r="E6" s="75"/>
      <c r="F6" s="75"/>
      <c r="G6" s="75"/>
      <c r="H6" s="75"/>
      <c r="I6" s="75"/>
      <c r="J6" s="75"/>
      <c r="K6" s="75"/>
      <c r="L6" s="75"/>
      <c r="M6" s="75"/>
    </row>
    <row r="7" spans="2:13" ht="15" customHeight="1" x14ac:dyDescent="0.45"/>
    <row r="8" spans="2:13" ht="15" customHeight="1" x14ac:dyDescent="0.45"/>
    <row r="9" spans="2:13" ht="15" customHeight="1" x14ac:dyDescent="0.45"/>
    <row r="10" spans="2:13" ht="15" customHeight="1" x14ac:dyDescent="0.45"/>
    <row r="11" spans="2:13" ht="15" customHeight="1" x14ac:dyDescent="0.45"/>
    <row r="12" spans="2:13" ht="15" customHeight="1" x14ac:dyDescent="0.45"/>
    <row r="14" spans="2:13" ht="18" customHeight="1" x14ac:dyDescent="0.45">
      <c r="B14" s="36" t="s">
        <v>913</v>
      </c>
      <c r="C14" s="18"/>
      <c r="D14" s="18"/>
      <c r="E14" s="18"/>
      <c r="F14" s="18"/>
      <c r="G14" s="18"/>
      <c r="H14" s="18"/>
      <c r="I14" s="18"/>
      <c r="J14" s="18"/>
      <c r="K14" s="18"/>
      <c r="L14" s="18"/>
      <c r="M14" s="18"/>
    </row>
    <row r="15" spans="2:13" ht="15" customHeight="1" x14ac:dyDescent="0.45"/>
    <row r="16" spans="2:13" ht="15" customHeight="1" x14ac:dyDescent="0.45"/>
    <row r="17" spans="2:13" ht="15" customHeight="1" x14ac:dyDescent="0.45"/>
    <row r="18" spans="2:13" ht="29.45" customHeight="1" x14ac:dyDescent="0.45">
      <c r="B18" s="76" t="s">
        <v>914</v>
      </c>
      <c r="C18" s="75"/>
      <c r="D18" s="75"/>
      <c r="E18" s="75"/>
      <c r="F18" s="75"/>
      <c r="G18" s="75"/>
      <c r="H18" s="75"/>
      <c r="I18" s="75"/>
      <c r="J18" s="75"/>
      <c r="K18" s="75"/>
      <c r="L18" s="75"/>
      <c r="M18" s="75"/>
    </row>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29.45" customHeight="1" x14ac:dyDescent="0.45">
      <c r="B25" s="76" t="s">
        <v>915</v>
      </c>
      <c r="C25" s="75"/>
      <c r="D25" s="75"/>
      <c r="E25" s="75"/>
      <c r="F25" s="75"/>
      <c r="G25" s="75"/>
      <c r="H25" s="75"/>
      <c r="I25" s="75"/>
      <c r="J25" s="75"/>
      <c r="K25" s="75"/>
      <c r="L25" s="75"/>
      <c r="M25" s="75"/>
    </row>
    <row r="26" spans="2:13" ht="15" customHeight="1" x14ac:dyDescent="0.45"/>
    <row r="27" spans="2:13" ht="15" customHeight="1" x14ac:dyDescent="0.45"/>
    <row r="28" spans="2:13" ht="15" customHeight="1" x14ac:dyDescent="0.45"/>
    <row r="29" spans="2:13" ht="16.25" customHeight="1" x14ac:dyDescent="0.45">
      <c r="B29" s="76" t="s">
        <v>916</v>
      </c>
      <c r="C29" s="75"/>
      <c r="D29" s="75"/>
      <c r="E29" s="75"/>
      <c r="F29" s="75"/>
      <c r="G29" s="75"/>
      <c r="H29" s="75"/>
      <c r="I29" s="75"/>
      <c r="J29" s="75"/>
      <c r="K29" s="75"/>
      <c r="L29" s="75"/>
      <c r="M29" s="75"/>
    </row>
    <row r="30" spans="2:13" ht="15" customHeight="1" x14ac:dyDescent="0.45"/>
    <row r="31" spans="2:13" ht="15" customHeight="1" x14ac:dyDescent="0.45"/>
    <row r="32" spans="2:13" ht="15" customHeight="1" x14ac:dyDescent="0.45"/>
    <row r="33" spans="2:13" ht="15" customHeight="1" x14ac:dyDescent="0.45"/>
    <row r="34" spans="2:13" ht="15" customHeight="1" x14ac:dyDescent="0.45"/>
    <row r="35" spans="2:13" ht="15" customHeight="1" x14ac:dyDescent="0.45"/>
    <row r="36" spans="2:13" ht="15" customHeight="1" x14ac:dyDescent="0.45"/>
    <row r="37" spans="2:13" ht="15" customHeight="1" x14ac:dyDescent="0.45"/>
    <row r="38" spans="2:13" ht="15" customHeight="1" x14ac:dyDescent="0.45"/>
    <row r="39" spans="2:13" ht="15" customHeight="1" x14ac:dyDescent="0.45"/>
    <row r="40" spans="2:13" ht="15" customHeight="1" x14ac:dyDescent="0.45"/>
    <row r="41" spans="2:13" ht="15" customHeight="1" x14ac:dyDescent="0.45"/>
    <row r="42" spans="2:13" ht="15" customHeight="1" x14ac:dyDescent="0.45"/>
    <row r="43" spans="2:13" ht="15" customHeight="1" x14ac:dyDescent="0.45"/>
    <row r="44" spans="2:13" ht="15" customHeight="1" x14ac:dyDescent="0.45"/>
    <row r="45" spans="2:13" ht="15" customHeight="1" x14ac:dyDescent="0.45"/>
    <row r="46" spans="2:13" ht="15" customHeight="1" x14ac:dyDescent="0.45"/>
    <row r="47" spans="2:13" ht="15" customHeight="1" x14ac:dyDescent="0.45"/>
    <row r="48" spans="2:13" ht="16.25" customHeight="1" x14ac:dyDescent="0.45">
      <c r="B48" s="74" t="s">
        <v>917</v>
      </c>
      <c r="C48" s="75"/>
      <c r="D48" s="75"/>
      <c r="E48" s="75"/>
      <c r="F48" s="75"/>
      <c r="G48" s="75"/>
      <c r="H48" s="75"/>
      <c r="I48" s="75"/>
      <c r="J48" s="75"/>
      <c r="K48" s="75"/>
      <c r="L48" s="75"/>
      <c r="M48" s="75"/>
    </row>
    <row r="49" ht="15" customHeight="1" x14ac:dyDescent="0.45"/>
    <row r="50" ht="15" customHeight="1" x14ac:dyDescent="0.45"/>
    <row r="51" ht="15" customHeight="1" x14ac:dyDescent="0.45"/>
    <row r="52" ht="15" customHeight="1" x14ac:dyDescent="0.45"/>
    <row r="53" ht="15" customHeight="1" x14ac:dyDescent="0.45"/>
    <row r="54" ht="15" customHeight="1" x14ac:dyDescent="0.45"/>
    <row r="55" ht="15" customHeight="1" x14ac:dyDescent="0.45"/>
    <row r="56" ht="15" customHeight="1" x14ac:dyDescent="0.45"/>
    <row r="57" ht="15" customHeight="1" x14ac:dyDescent="0.45"/>
    <row r="58" ht="15" customHeight="1" x14ac:dyDescent="0.45"/>
    <row r="59" ht="15" customHeight="1" x14ac:dyDescent="0.45"/>
    <row r="60" ht="15" customHeight="1" x14ac:dyDescent="0.45"/>
    <row r="61" ht="15" customHeight="1" x14ac:dyDescent="0.45"/>
    <row r="62" ht="15" customHeight="1" x14ac:dyDescent="0.45"/>
    <row r="63" ht="15" customHeight="1" x14ac:dyDescent="0.45"/>
    <row r="64" ht="15" customHeight="1" x14ac:dyDescent="0.45"/>
    <row r="65" spans="2:13" ht="15" customHeight="1" x14ac:dyDescent="0.45"/>
    <row r="66" spans="2:13" ht="15" customHeight="1" x14ac:dyDescent="0.45"/>
    <row r="67" spans="2:13" ht="16.25" customHeight="1" x14ac:dyDescent="0.45">
      <c r="B67" s="74" t="s">
        <v>918</v>
      </c>
      <c r="C67" s="75"/>
      <c r="D67" s="75"/>
      <c r="E67" s="75"/>
      <c r="F67" s="75"/>
      <c r="G67" s="75"/>
      <c r="H67" s="75"/>
      <c r="I67" s="75"/>
      <c r="J67" s="75"/>
      <c r="K67" s="75"/>
      <c r="L67" s="75"/>
      <c r="M67" s="75"/>
    </row>
    <row r="69" spans="2:13" ht="18" customHeight="1" x14ac:dyDescent="0.45">
      <c r="B69" s="36" t="s">
        <v>919</v>
      </c>
      <c r="C69" s="18"/>
      <c r="D69" s="18"/>
      <c r="E69" s="18"/>
      <c r="F69" s="18"/>
      <c r="G69" s="18"/>
      <c r="H69" s="18"/>
      <c r="I69" s="18"/>
      <c r="J69" s="18"/>
      <c r="K69" s="18"/>
      <c r="L69" s="18"/>
      <c r="M69" s="18"/>
    </row>
    <row r="70" spans="2:13" ht="29.45" customHeight="1" x14ac:dyDescent="0.45">
      <c r="B70" s="76" t="s">
        <v>920</v>
      </c>
      <c r="C70" s="75"/>
      <c r="D70" s="75"/>
      <c r="E70" s="75"/>
      <c r="F70" s="75"/>
      <c r="G70" s="75"/>
      <c r="H70" s="75"/>
      <c r="I70" s="75"/>
      <c r="J70" s="75"/>
      <c r="K70" s="75"/>
      <c r="L70" s="75"/>
      <c r="M70" s="75"/>
    </row>
    <row r="71" spans="2:13" ht="15" customHeight="1" x14ac:dyDescent="0.45"/>
    <row r="72" spans="2:13" ht="15" customHeight="1" x14ac:dyDescent="0.45"/>
    <row r="73" spans="2:13" ht="15" customHeight="1" x14ac:dyDescent="0.45"/>
    <row r="74" spans="2:13" ht="16.25" customHeight="1" x14ac:dyDescent="0.45">
      <c r="B74" s="76" t="s">
        <v>921</v>
      </c>
      <c r="C74" s="75"/>
      <c r="D74" s="75"/>
      <c r="E74" s="75"/>
      <c r="F74" s="75"/>
      <c r="G74" s="75"/>
      <c r="H74" s="75"/>
      <c r="I74" s="75"/>
      <c r="J74" s="75"/>
      <c r="K74" s="75"/>
      <c r="L74" s="75"/>
      <c r="M74" s="75"/>
    </row>
    <row r="75" spans="2:13" x14ac:dyDescent="0.45">
      <c r="B75" s="77" t="s">
        <v>106</v>
      </c>
      <c r="C75" s="77" t="s">
        <v>671</v>
      </c>
      <c r="D75" s="78"/>
      <c r="E75" s="78"/>
      <c r="F75" s="78"/>
      <c r="G75" s="78"/>
      <c r="H75" s="77" t="s">
        <v>672</v>
      </c>
      <c r="I75" s="78"/>
      <c r="J75" s="78"/>
      <c r="K75" s="77" t="s">
        <v>673</v>
      </c>
      <c r="L75" s="78"/>
      <c r="M75" s="78"/>
    </row>
    <row r="76" spans="2:13" ht="15.2" customHeight="1" x14ac:dyDescent="0.45">
      <c r="B76" s="76" t="s">
        <v>240</v>
      </c>
      <c r="C76" s="76" t="s">
        <v>922</v>
      </c>
      <c r="D76" s="75"/>
      <c r="E76" s="75"/>
      <c r="F76" s="75"/>
      <c r="G76" s="75"/>
      <c r="H76" s="76" t="s">
        <v>923</v>
      </c>
      <c r="I76" s="75"/>
      <c r="J76" s="75"/>
      <c r="K76" s="76" t="s">
        <v>215</v>
      </c>
      <c r="L76" s="75"/>
      <c r="M76" s="75"/>
    </row>
    <row r="77" spans="2:13" ht="15.2" customHeight="1" x14ac:dyDescent="0.45">
      <c r="B77" s="76" t="s">
        <v>653</v>
      </c>
      <c r="C77" s="76" t="s">
        <v>924</v>
      </c>
      <c r="D77" s="75"/>
      <c r="E77" s="75"/>
      <c r="F77" s="75"/>
      <c r="G77" s="75"/>
      <c r="H77" s="76" t="s">
        <v>925</v>
      </c>
      <c r="I77" s="75"/>
      <c r="J77" s="75"/>
      <c r="K77" s="76" t="s">
        <v>139</v>
      </c>
      <c r="L77" s="75"/>
      <c r="M77" s="75"/>
    </row>
    <row r="78" spans="2:13" ht="15.2" customHeight="1" x14ac:dyDescent="0.45">
      <c r="B78" s="76" t="s">
        <v>926</v>
      </c>
      <c r="C78" s="76" t="s">
        <v>927</v>
      </c>
      <c r="D78" s="75"/>
      <c r="E78" s="75"/>
      <c r="F78" s="75"/>
      <c r="G78" s="75"/>
      <c r="H78" s="76" t="s">
        <v>928</v>
      </c>
      <c r="I78" s="75"/>
      <c r="J78" s="75"/>
      <c r="K78" s="76" t="s">
        <v>929</v>
      </c>
      <c r="L78" s="75"/>
      <c r="M78" s="75"/>
    </row>
    <row r="79" spans="2:13" ht="15.2" customHeight="1" x14ac:dyDescent="0.45">
      <c r="B79" s="76" t="s">
        <v>930</v>
      </c>
      <c r="C79" s="76" t="s">
        <v>931</v>
      </c>
      <c r="D79" s="75"/>
      <c r="E79" s="75"/>
      <c r="F79" s="75"/>
      <c r="G79" s="75"/>
      <c r="H79" s="76" t="s">
        <v>932</v>
      </c>
      <c r="I79" s="75"/>
      <c r="J79" s="75"/>
      <c r="K79" s="76" t="s">
        <v>139</v>
      </c>
      <c r="L79" s="75"/>
      <c r="M79" s="75"/>
    </row>
    <row r="80" spans="2:13" ht="15.2" customHeight="1" x14ac:dyDescent="0.45">
      <c r="B80" s="76" t="s">
        <v>933</v>
      </c>
      <c r="C80" s="76" t="s">
        <v>934</v>
      </c>
      <c r="D80" s="75"/>
      <c r="E80" s="75"/>
      <c r="F80" s="75"/>
      <c r="G80" s="75"/>
      <c r="H80" s="76" t="s">
        <v>935</v>
      </c>
      <c r="I80" s="75"/>
      <c r="J80" s="75"/>
      <c r="K80" s="76" t="s">
        <v>215</v>
      </c>
      <c r="L80" s="75"/>
      <c r="M80" s="75"/>
    </row>
  </sheetData>
  <mergeCells count="32">
    <mergeCell ref="B6:M6"/>
    <mergeCell ref="H76:J76"/>
    <mergeCell ref="B77"/>
    <mergeCell ref="K78:M78"/>
    <mergeCell ref="C76:G76"/>
    <mergeCell ref="H78:J78"/>
    <mergeCell ref="B25:M25"/>
    <mergeCell ref="B78"/>
    <mergeCell ref="B18:M18"/>
    <mergeCell ref="C78:G78"/>
    <mergeCell ref="K76:M76"/>
    <mergeCell ref="B80"/>
    <mergeCell ref="B76"/>
    <mergeCell ref="B29:M29"/>
    <mergeCell ref="B79"/>
    <mergeCell ref="K77:M77"/>
    <mergeCell ref="C79:G79"/>
    <mergeCell ref="B75"/>
    <mergeCell ref="H80:J80"/>
    <mergeCell ref="H75:J75"/>
    <mergeCell ref="C75:G75"/>
    <mergeCell ref="B74:M74"/>
    <mergeCell ref="C80:G80"/>
    <mergeCell ref="H77:J77"/>
    <mergeCell ref="K80:M80"/>
    <mergeCell ref="K79:M79"/>
    <mergeCell ref="B70:M70"/>
    <mergeCell ref="B48:M48"/>
    <mergeCell ref="C77:G77"/>
    <mergeCell ref="B67:M67"/>
    <mergeCell ref="H79:J79"/>
    <mergeCell ref="K75:M75"/>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2A36"/>
  </sheetPr>
  <dimension ref="A1:Q30"/>
  <sheetViews>
    <sheetView showGridLines="0" workbookViewId="0">
      <pane xSplit="2" ySplit="6" topLeftCell="C7" activePane="bottomRight" state="frozen"/>
      <selection pane="topRight"/>
      <selection pane="bottomLeft"/>
      <selection pane="bottomRight"/>
    </sheetView>
  </sheetViews>
  <sheetFormatPr defaultRowHeight="14.25" x14ac:dyDescent="0.45"/>
  <cols>
    <col min="1" max="1" width="3" customWidth="1"/>
    <col min="2" max="2" width="30" customWidth="1"/>
    <col min="3" max="4" width="12" customWidth="1"/>
    <col min="5" max="17" width="11.46484375" customWidth="1"/>
  </cols>
  <sheetData>
    <row r="1" spans="1:17" ht="17.649999999999999" x14ac:dyDescent="0.5">
      <c r="A1" s="15" t="s">
        <v>936</v>
      </c>
      <c r="N1" s="37" t="s">
        <v>111</v>
      </c>
      <c r="O1" s="2" t="str">
        <f>""&amp;TB_Project</f>
        <v>D2 I-95 Pedestrian Bridge</v>
      </c>
    </row>
    <row r="2" spans="1:17" x14ac:dyDescent="0.45">
      <c r="A2" s="8" t="s">
        <v>937</v>
      </c>
      <c r="N2" s="37" t="s">
        <v>119</v>
      </c>
      <c r="O2" s="2" t="str">
        <f>""&amp;TB_JobNo</f>
        <v/>
      </c>
    </row>
    <row r="3" spans="1:17" x14ac:dyDescent="0.45">
      <c r="N3" s="37" t="s">
        <v>694</v>
      </c>
      <c r="O3" s="2" t="str">
        <f>TB_CalcBy&amp;"  "&amp;TB_CalcDate</f>
        <v xml:space="preserve">  </v>
      </c>
    </row>
    <row r="4" spans="1:17" x14ac:dyDescent="0.45">
      <c r="N4" s="37" t="s">
        <v>695</v>
      </c>
      <c r="O4" s="2" t="str">
        <f>TB_CheckBy&amp;"  "&amp;TB_CheckDate</f>
        <v xml:space="preserve">  </v>
      </c>
    </row>
    <row r="6" spans="1:17" x14ac:dyDescent="0.45">
      <c r="A6" s="17" t="s">
        <v>439</v>
      </c>
      <c r="B6" s="18"/>
      <c r="C6" s="18"/>
      <c r="D6" s="18"/>
      <c r="E6" s="18"/>
      <c r="F6" s="18"/>
      <c r="G6" s="18"/>
      <c r="H6" s="18"/>
      <c r="I6" s="18"/>
      <c r="J6" s="18"/>
      <c r="K6" s="18"/>
      <c r="L6" s="18"/>
      <c r="M6" s="18"/>
      <c r="N6" s="18"/>
      <c r="O6" s="18"/>
      <c r="P6" s="18"/>
      <c r="Q6" s="18"/>
    </row>
    <row r="7" spans="1:17" ht="30" customHeight="1" x14ac:dyDescent="0.45">
      <c r="B7" s="19" t="s">
        <v>881</v>
      </c>
      <c r="C7" s="19" t="s">
        <v>738</v>
      </c>
      <c r="D7" s="19" t="s">
        <v>938</v>
      </c>
      <c r="E7" s="19" t="s">
        <v>939</v>
      </c>
      <c r="F7" s="19" t="s">
        <v>940</v>
      </c>
      <c r="G7" s="19" t="s">
        <v>941</v>
      </c>
      <c r="H7" s="19" t="s">
        <v>942</v>
      </c>
      <c r="I7" s="19" t="s">
        <v>943</v>
      </c>
      <c r="J7" s="19" t="s">
        <v>944</v>
      </c>
      <c r="K7" s="19" t="s">
        <v>945</v>
      </c>
      <c r="L7" s="19" t="s">
        <v>946</v>
      </c>
      <c r="M7" s="19" t="s">
        <v>947</v>
      </c>
      <c r="N7" s="19" t="s">
        <v>948</v>
      </c>
      <c r="O7" s="19" t="s">
        <v>949</v>
      </c>
      <c r="P7" s="19" t="s">
        <v>940</v>
      </c>
      <c r="Q7" s="19" t="s">
        <v>950</v>
      </c>
    </row>
    <row r="8" spans="1:17" x14ac:dyDescent="0.45">
      <c r="B8" s="7" t="s">
        <v>719</v>
      </c>
      <c r="E8" s="41">
        <f>Sp1_Sta0</f>
        <v>1593.22</v>
      </c>
      <c r="F8" s="41">
        <f>Sp1_BrgA</f>
        <v>1594.22</v>
      </c>
      <c r="G8" s="41">
        <f>Sp1_BrgA+1*Sp1_Lb/Des_FGEInc</f>
        <v>1604.7674999999999</v>
      </c>
      <c r="H8" s="41">
        <f>Sp1_BrgA+2*Sp1_Lb/Des_FGEInc</f>
        <v>1615.3150000000001</v>
      </c>
      <c r="I8" s="41">
        <f>Sp1_BrgA+3*Sp1_Lb/Des_FGEInc</f>
        <v>1625.8625</v>
      </c>
      <c r="J8" s="41">
        <f>Sp1_BrgA+4*Sp1_Lb/Des_FGEInc</f>
        <v>1636.41</v>
      </c>
      <c r="K8" s="41">
        <f>Sp1_BrgA+5*Sp1_Lb/Des_FGEInc</f>
        <v>1646.9575</v>
      </c>
      <c r="L8" s="41">
        <f>Sp1_BrgA+6*Sp1_Lb/Des_FGEInc</f>
        <v>1657.5049999999999</v>
      </c>
      <c r="M8" s="41">
        <f>Sp1_BrgA+7*Sp1_Lb/Des_FGEInc</f>
        <v>1668.0525</v>
      </c>
      <c r="N8" s="41">
        <f>Sp1_BrgA+8*Sp1_Lb/Des_FGEInc</f>
        <v>1678.6</v>
      </c>
      <c r="O8" s="41">
        <f>Sp1_BrgA+9*Sp1_Lb/Des_FGEInc</f>
        <v>1689.1475</v>
      </c>
      <c r="P8" s="41">
        <f>Sp1_BrgB</f>
        <v>1699.6949999999999</v>
      </c>
      <c r="Q8" s="41">
        <f>Sp1_Sta1</f>
        <v>1700.57</v>
      </c>
    </row>
    <row r="9" spans="1:17" x14ac:dyDescent="0.45">
      <c r="B9" s="11" t="s">
        <v>721</v>
      </c>
      <c r="E9" s="54" t="str">
        <f t="shared" ref="E9:Q9" si="0">TEXT(INT(ROUND(E8*100,0)/10000),"0")&amp;"+"&amp;TEXT(MOD(ROUND(E8*100,0),10000)/100,"00.00")</f>
        <v>15+93.22</v>
      </c>
      <c r="F9" s="54" t="str">
        <f t="shared" si="0"/>
        <v>15+94.22</v>
      </c>
      <c r="G9" s="54" t="str">
        <f t="shared" si="0"/>
        <v>16+04.77</v>
      </c>
      <c r="H9" s="54" t="str">
        <f t="shared" si="0"/>
        <v>16+15.32</v>
      </c>
      <c r="I9" s="54" t="str">
        <f t="shared" si="0"/>
        <v>16+25.86</v>
      </c>
      <c r="J9" s="54" t="str">
        <f t="shared" si="0"/>
        <v>16+36.41</v>
      </c>
      <c r="K9" s="54" t="str">
        <f t="shared" si="0"/>
        <v>16+46.96</v>
      </c>
      <c r="L9" s="54" t="str">
        <f t="shared" si="0"/>
        <v>16+57.51</v>
      </c>
      <c r="M9" s="54" t="str">
        <f t="shared" si="0"/>
        <v>16+68.05</v>
      </c>
      <c r="N9" s="54" t="str">
        <f t="shared" si="0"/>
        <v>16+78.60</v>
      </c>
      <c r="O9" s="54" t="str">
        <f t="shared" si="0"/>
        <v>16+89.15</v>
      </c>
      <c r="P9" s="54" t="str">
        <f t="shared" si="0"/>
        <v>16+99.70</v>
      </c>
      <c r="Q9" s="54" t="str">
        <f t="shared" si="0"/>
        <v>17+00.57</v>
      </c>
    </row>
    <row r="10" spans="1:17" x14ac:dyDescent="0.45">
      <c r="B10" s="11" t="s">
        <v>951</v>
      </c>
      <c r="E10" s="55" t="str">
        <f t="shared" ref="E10:Q10" si="1">IF(AND(E8&gt;=Sp1_Dk0-0.000000001,E8&lt;=Sp1_Dk1+0.000000001),"deck","PGL ext.")</f>
        <v>PGL ext.</v>
      </c>
      <c r="F10" s="55" t="str">
        <f t="shared" si="1"/>
        <v>deck</v>
      </c>
      <c r="G10" s="55" t="str">
        <f t="shared" si="1"/>
        <v>deck</v>
      </c>
      <c r="H10" s="55" t="str">
        <f t="shared" si="1"/>
        <v>deck</v>
      </c>
      <c r="I10" s="55" t="str">
        <f t="shared" si="1"/>
        <v>deck</v>
      </c>
      <c r="J10" s="55" t="str">
        <f t="shared" si="1"/>
        <v>deck</v>
      </c>
      <c r="K10" s="55" t="str">
        <f t="shared" si="1"/>
        <v>deck</v>
      </c>
      <c r="L10" s="55" t="str">
        <f t="shared" si="1"/>
        <v>deck</v>
      </c>
      <c r="M10" s="55" t="str">
        <f t="shared" si="1"/>
        <v>deck</v>
      </c>
      <c r="N10" s="55" t="str">
        <f t="shared" si="1"/>
        <v>deck</v>
      </c>
      <c r="O10" s="55" t="str">
        <f t="shared" si="1"/>
        <v>deck</v>
      </c>
      <c r="P10" s="55" t="str">
        <f t="shared" si="1"/>
        <v>deck</v>
      </c>
      <c r="Q10" s="55" t="str">
        <f t="shared" si="1"/>
        <v>deck</v>
      </c>
    </row>
    <row r="11" spans="1:17" x14ac:dyDescent="0.45">
      <c r="B11" s="7" t="s">
        <v>952</v>
      </c>
      <c r="E11" s="41">
        <f t="shared" ref="E11:Q11" si="2">IF(Prof_Mode="parabolic",Prof_Z0+Prof_G1*((E8)-Prof_Sta0)+Prof_Kq*((E8)-Prof_Sta0)^2,IF((E8)&lt;=Prof_PISta,Prof_Z0+Prof_G1*((E8)-Prof_Sta0),Prof_PIZ+Prof_G2*((E8)-Prof_PISta)))</f>
        <v>47.661000000000001</v>
      </c>
      <c r="F11" s="41">
        <f t="shared" si="2"/>
        <v>47.665998835584539</v>
      </c>
      <c r="G11" s="41">
        <f t="shared" si="2"/>
        <v>47.718724053912439</v>
      </c>
      <c r="H11" s="41">
        <f t="shared" si="2"/>
        <v>47.771449272240339</v>
      </c>
      <c r="I11" s="41">
        <f t="shared" si="2"/>
        <v>47.82417449056824</v>
      </c>
      <c r="J11" s="41">
        <f t="shared" si="2"/>
        <v>47.876899708896133</v>
      </c>
      <c r="K11" s="41">
        <f t="shared" si="2"/>
        <v>47.929624927224033</v>
      </c>
      <c r="L11" s="41">
        <f t="shared" si="2"/>
        <v>47.982350145551933</v>
      </c>
      <c r="M11" s="41">
        <f t="shared" si="2"/>
        <v>48.035075363879834</v>
      </c>
      <c r="N11" s="41">
        <f t="shared" si="2"/>
        <v>48.087800582207734</v>
      </c>
      <c r="O11" s="41">
        <f t="shared" si="2"/>
        <v>48.140525800535634</v>
      </c>
      <c r="P11" s="41">
        <f t="shared" si="2"/>
        <v>48.193251018863535</v>
      </c>
      <c r="Q11" s="41">
        <f t="shared" si="2"/>
        <v>48.197625000000002</v>
      </c>
    </row>
    <row r="12" spans="1:17" x14ac:dyDescent="0.45">
      <c r="B12" s="11" t="s">
        <v>953</v>
      </c>
      <c r="C12" s="40">
        <f>Deck_YL</f>
        <v>-6.7916666666666652</v>
      </c>
      <c r="D12" s="41">
        <f>IF(Deck_Mode="uniform",Deck_Uni*(C12),Deck_Crown*ABS(C12))</f>
        <v>-0.13583333333333331</v>
      </c>
      <c r="E12" s="56">
        <f t="shared" ref="E12:Q16" si="3">E$11+$D12</f>
        <v>47.525166666666671</v>
      </c>
      <c r="F12" s="56">
        <f t="shared" si="3"/>
        <v>47.530165502251208</v>
      </c>
      <c r="G12" s="56">
        <f t="shared" si="3"/>
        <v>47.582890720579108</v>
      </c>
      <c r="H12" s="56">
        <f t="shared" si="3"/>
        <v>47.635615938907009</v>
      </c>
      <c r="I12" s="56">
        <f t="shared" si="3"/>
        <v>47.688341157234909</v>
      </c>
      <c r="J12" s="56">
        <f t="shared" si="3"/>
        <v>47.741066375562802</v>
      </c>
      <c r="K12" s="56">
        <f t="shared" si="3"/>
        <v>47.793791593890703</v>
      </c>
      <c r="L12" s="56">
        <f t="shared" si="3"/>
        <v>47.846516812218603</v>
      </c>
      <c r="M12" s="56">
        <f t="shared" si="3"/>
        <v>47.899242030546503</v>
      </c>
      <c r="N12" s="56">
        <f t="shared" si="3"/>
        <v>47.951967248874404</v>
      </c>
      <c r="O12" s="56">
        <f t="shared" si="3"/>
        <v>48.004692467202304</v>
      </c>
      <c r="P12" s="56">
        <f t="shared" si="3"/>
        <v>48.057417685530204</v>
      </c>
      <c r="Q12" s="56">
        <f t="shared" si="3"/>
        <v>48.061791666666672</v>
      </c>
    </row>
    <row r="13" spans="1:17" x14ac:dyDescent="0.45">
      <c r="B13" s="11" t="s">
        <v>954</v>
      </c>
      <c r="C13" s="40">
        <f>Bm1_Off</f>
        <v>-4.291666666666667</v>
      </c>
      <c r="D13" s="41">
        <f>IF(Deck_Mode="uniform",Deck_Uni*(C13),Deck_Crown*ABS(C13))</f>
        <v>-8.5833333333333345E-2</v>
      </c>
      <c r="E13" s="56">
        <f t="shared" si="3"/>
        <v>47.575166666666668</v>
      </c>
      <c r="F13" s="56">
        <f t="shared" si="3"/>
        <v>47.580165502251205</v>
      </c>
      <c r="G13" s="56">
        <f t="shared" si="3"/>
        <v>47.632890720579105</v>
      </c>
      <c r="H13" s="56">
        <f t="shared" si="3"/>
        <v>47.685615938907006</v>
      </c>
      <c r="I13" s="56">
        <f t="shared" si="3"/>
        <v>47.738341157234906</v>
      </c>
      <c r="J13" s="56">
        <f t="shared" si="3"/>
        <v>47.791066375562799</v>
      </c>
      <c r="K13" s="56">
        <f t="shared" si="3"/>
        <v>47.8437915938907</v>
      </c>
      <c r="L13" s="56">
        <f t="shared" si="3"/>
        <v>47.8965168122186</v>
      </c>
      <c r="M13" s="56">
        <f t="shared" si="3"/>
        <v>47.9492420305465</v>
      </c>
      <c r="N13" s="56">
        <f t="shared" si="3"/>
        <v>48.001967248874401</v>
      </c>
      <c r="O13" s="56">
        <f t="shared" si="3"/>
        <v>48.054692467202301</v>
      </c>
      <c r="P13" s="56">
        <f t="shared" si="3"/>
        <v>48.107417685530201</v>
      </c>
      <c r="Q13" s="56">
        <f t="shared" si="3"/>
        <v>48.111791666666669</v>
      </c>
    </row>
    <row r="14" spans="1:17" x14ac:dyDescent="0.45">
      <c r="B14" s="11" t="s">
        <v>955</v>
      </c>
      <c r="C14" s="41">
        <v>0</v>
      </c>
      <c r="D14" s="41">
        <f>IF(Deck_Mode="uniform",Deck_Uni*(C14),Deck_Crown*ABS(C14))</f>
        <v>0</v>
      </c>
      <c r="E14" s="56">
        <f t="shared" si="3"/>
        <v>47.661000000000001</v>
      </c>
      <c r="F14" s="56">
        <f t="shared" si="3"/>
        <v>47.665998835584539</v>
      </c>
      <c r="G14" s="56">
        <f t="shared" si="3"/>
        <v>47.718724053912439</v>
      </c>
      <c r="H14" s="56">
        <f t="shared" si="3"/>
        <v>47.771449272240339</v>
      </c>
      <c r="I14" s="56">
        <f t="shared" si="3"/>
        <v>47.82417449056824</v>
      </c>
      <c r="J14" s="56">
        <f t="shared" si="3"/>
        <v>47.876899708896133</v>
      </c>
      <c r="K14" s="56">
        <f t="shared" si="3"/>
        <v>47.929624927224033</v>
      </c>
      <c r="L14" s="56">
        <f t="shared" si="3"/>
        <v>47.982350145551933</v>
      </c>
      <c r="M14" s="56">
        <f t="shared" si="3"/>
        <v>48.035075363879834</v>
      </c>
      <c r="N14" s="56">
        <f t="shared" si="3"/>
        <v>48.087800582207734</v>
      </c>
      <c r="O14" s="56">
        <f t="shared" si="3"/>
        <v>48.140525800535634</v>
      </c>
      <c r="P14" s="56">
        <f t="shared" si="3"/>
        <v>48.193251018863535</v>
      </c>
      <c r="Q14" s="56">
        <f t="shared" si="3"/>
        <v>48.197625000000002</v>
      </c>
    </row>
    <row r="15" spans="1:17" x14ac:dyDescent="0.45">
      <c r="B15" s="11" t="s">
        <v>956</v>
      </c>
      <c r="C15" s="40">
        <f>Bm2_Off</f>
        <v>4.291666666666667</v>
      </c>
      <c r="D15" s="41">
        <f>IF(Deck_Mode="uniform",Deck_Uni*(C15),Deck_Crown*ABS(C15))</f>
        <v>-8.5833333333333345E-2</v>
      </c>
      <c r="E15" s="56">
        <f t="shared" si="3"/>
        <v>47.575166666666668</v>
      </c>
      <c r="F15" s="56">
        <f t="shared" si="3"/>
        <v>47.580165502251205</v>
      </c>
      <c r="G15" s="56">
        <f t="shared" si="3"/>
        <v>47.632890720579105</v>
      </c>
      <c r="H15" s="56">
        <f t="shared" si="3"/>
        <v>47.685615938907006</v>
      </c>
      <c r="I15" s="56">
        <f t="shared" si="3"/>
        <v>47.738341157234906</v>
      </c>
      <c r="J15" s="56">
        <f t="shared" si="3"/>
        <v>47.791066375562799</v>
      </c>
      <c r="K15" s="56">
        <f t="shared" si="3"/>
        <v>47.8437915938907</v>
      </c>
      <c r="L15" s="56">
        <f t="shared" si="3"/>
        <v>47.8965168122186</v>
      </c>
      <c r="M15" s="56">
        <f t="shared" si="3"/>
        <v>47.9492420305465</v>
      </c>
      <c r="N15" s="56">
        <f t="shared" si="3"/>
        <v>48.001967248874401</v>
      </c>
      <c r="O15" s="56">
        <f t="shared" si="3"/>
        <v>48.054692467202301</v>
      </c>
      <c r="P15" s="56">
        <f t="shared" si="3"/>
        <v>48.107417685530201</v>
      </c>
      <c r="Q15" s="56">
        <f t="shared" si="3"/>
        <v>48.111791666666669</v>
      </c>
    </row>
    <row r="16" spans="1:17" x14ac:dyDescent="0.45">
      <c r="B16" s="11" t="s">
        <v>957</v>
      </c>
      <c r="C16" s="40">
        <f>Deck_YR</f>
        <v>6.7916666666666652</v>
      </c>
      <c r="D16" s="41">
        <f>IF(Deck_Mode="uniform",Deck_Uni*(C16),Deck_Crown*ABS(C16))</f>
        <v>-0.13583333333333331</v>
      </c>
      <c r="E16" s="56">
        <f t="shared" si="3"/>
        <v>47.525166666666671</v>
      </c>
      <c r="F16" s="56">
        <f t="shared" si="3"/>
        <v>47.530165502251208</v>
      </c>
      <c r="G16" s="56">
        <f t="shared" si="3"/>
        <v>47.582890720579108</v>
      </c>
      <c r="H16" s="56">
        <f t="shared" si="3"/>
        <v>47.635615938907009</v>
      </c>
      <c r="I16" s="56">
        <f t="shared" si="3"/>
        <v>47.688341157234909</v>
      </c>
      <c r="J16" s="56">
        <f t="shared" si="3"/>
        <v>47.741066375562802</v>
      </c>
      <c r="K16" s="56">
        <f t="shared" si="3"/>
        <v>47.793791593890703</v>
      </c>
      <c r="L16" s="56">
        <f t="shared" si="3"/>
        <v>47.846516812218603</v>
      </c>
      <c r="M16" s="56">
        <f t="shared" si="3"/>
        <v>47.899242030546503</v>
      </c>
      <c r="N16" s="56">
        <f t="shared" si="3"/>
        <v>47.951967248874404</v>
      </c>
      <c r="O16" s="56">
        <f t="shared" si="3"/>
        <v>48.004692467202304</v>
      </c>
      <c r="P16" s="56">
        <f t="shared" si="3"/>
        <v>48.057417685530204</v>
      </c>
      <c r="Q16" s="56">
        <f t="shared" si="3"/>
        <v>48.061791666666672</v>
      </c>
    </row>
    <row r="17" spans="1:17" x14ac:dyDescent="0.45">
      <c r="B17" s="11" t="s">
        <v>958</v>
      </c>
      <c r="C17" s="41">
        <f>Sp1_Lb/Des_FGEInc</f>
        <v>10.547499999999991</v>
      </c>
    </row>
    <row r="19" spans="1:17" x14ac:dyDescent="0.45">
      <c r="A19" s="17" t="s">
        <v>440</v>
      </c>
      <c r="B19" s="18"/>
      <c r="C19" s="18"/>
      <c r="D19" s="18"/>
      <c r="E19" s="18"/>
      <c r="F19" s="18"/>
      <c r="G19" s="18"/>
      <c r="H19" s="18"/>
      <c r="I19" s="18"/>
      <c r="J19" s="18"/>
      <c r="K19" s="18"/>
      <c r="L19" s="18"/>
      <c r="M19" s="18"/>
      <c r="N19" s="18"/>
      <c r="O19" s="18"/>
      <c r="P19" s="18"/>
      <c r="Q19" s="18"/>
    </row>
    <row r="20" spans="1:17" ht="30" customHeight="1" x14ac:dyDescent="0.45">
      <c r="B20" s="19" t="s">
        <v>881</v>
      </c>
      <c r="C20" s="19" t="s">
        <v>738</v>
      </c>
      <c r="D20" s="19" t="s">
        <v>938</v>
      </c>
      <c r="E20" s="19" t="s">
        <v>950</v>
      </c>
      <c r="F20" s="19" t="s">
        <v>940</v>
      </c>
      <c r="G20" s="19" t="s">
        <v>941</v>
      </c>
      <c r="H20" s="19" t="s">
        <v>942</v>
      </c>
      <c r="I20" s="19" t="s">
        <v>943</v>
      </c>
      <c r="J20" s="19" t="s">
        <v>944</v>
      </c>
      <c r="K20" s="19" t="s">
        <v>945</v>
      </c>
      <c r="L20" s="19" t="s">
        <v>946</v>
      </c>
      <c r="M20" s="19" t="s">
        <v>947</v>
      </c>
      <c r="N20" s="19" t="s">
        <v>948</v>
      </c>
      <c r="O20" s="19" t="s">
        <v>949</v>
      </c>
      <c r="P20" s="19" t="s">
        <v>940</v>
      </c>
      <c r="Q20" s="19" t="s">
        <v>959</v>
      </c>
    </row>
    <row r="21" spans="1:17" x14ac:dyDescent="0.45">
      <c r="B21" s="7" t="s">
        <v>719</v>
      </c>
      <c r="E21" s="41">
        <f>Sp2_Sta0</f>
        <v>1700.57</v>
      </c>
      <c r="F21" s="41">
        <f>Sp2_BrgA</f>
        <v>1701.4449999999999</v>
      </c>
      <c r="G21" s="41">
        <f>Sp2_BrgA+1*Sp2_Lb/Des_FGEInc</f>
        <v>1711.7474999999999</v>
      </c>
      <c r="H21" s="41">
        <f>Sp2_BrgA+2*Sp2_Lb/Des_FGEInc</f>
        <v>1722.05</v>
      </c>
      <c r="I21" s="41">
        <f>Sp2_BrgA+3*Sp2_Lb/Des_FGEInc</f>
        <v>1732.3525</v>
      </c>
      <c r="J21" s="41">
        <f>Sp2_BrgA+4*Sp2_Lb/Des_FGEInc</f>
        <v>1742.655</v>
      </c>
      <c r="K21" s="41">
        <f>Sp2_BrgA+5*Sp2_Lb/Des_FGEInc</f>
        <v>1752.9575</v>
      </c>
      <c r="L21" s="41">
        <f>Sp2_BrgA+6*Sp2_Lb/Des_FGEInc</f>
        <v>1763.26</v>
      </c>
      <c r="M21" s="41">
        <f>Sp2_BrgA+7*Sp2_Lb/Des_FGEInc</f>
        <v>1773.5625</v>
      </c>
      <c r="N21" s="41">
        <f>Sp2_BrgA+8*Sp2_Lb/Des_FGEInc</f>
        <v>1783.865</v>
      </c>
      <c r="O21" s="41">
        <f>Sp2_BrgA+9*Sp2_Lb/Des_FGEInc</f>
        <v>1794.1675</v>
      </c>
      <c r="P21" s="41">
        <f>Sp2_BrgB</f>
        <v>1804.47</v>
      </c>
      <c r="Q21" s="41">
        <f>Sp2_Sta1</f>
        <v>1805.47</v>
      </c>
    </row>
    <row r="22" spans="1:17" x14ac:dyDescent="0.45">
      <c r="B22" s="11" t="s">
        <v>721</v>
      </c>
      <c r="E22" s="54" t="str">
        <f t="shared" ref="E22:Q22" si="4">TEXT(INT(ROUND(E21*100,0)/10000),"0")&amp;"+"&amp;TEXT(MOD(ROUND(E21*100,0),10000)/100,"00.00")</f>
        <v>17+00.57</v>
      </c>
      <c r="F22" s="54" t="str">
        <f t="shared" si="4"/>
        <v>17+01.45</v>
      </c>
      <c r="G22" s="54" t="str">
        <f t="shared" si="4"/>
        <v>17+11.75</v>
      </c>
      <c r="H22" s="54" t="str">
        <f t="shared" si="4"/>
        <v>17+22.05</v>
      </c>
      <c r="I22" s="54" t="str">
        <f t="shared" si="4"/>
        <v>17+32.35</v>
      </c>
      <c r="J22" s="54" t="str">
        <f t="shared" si="4"/>
        <v>17+42.66</v>
      </c>
      <c r="K22" s="54" t="str">
        <f t="shared" si="4"/>
        <v>17+52.96</v>
      </c>
      <c r="L22" s="54" t="str">
        <f t="shared" si="4"/>
        <v>17+63.26</v>
      </c>
      <c r="M22" s="54" t="str">
        <f t="shared" si="4"/>
        <v>17+73.56</v>
      </c>
      <c r="N22" s="54" t="str">
        <f t="shared" si="4"/>
        <v>17+83.87</v>
      </c>
      <c r="O22" s="54" t="str">
        <f t="shared" si="4"/>
        <v>17+94.17</v>
      </c>
      <c r="P22" s="54" t="str">
        <f t="shared" si="4"/>
        <v>18+04.47</v>
      </c>
      <c r="Q22" s="54" t="str">
        <f t="shared" si="4"/>
        <v>18+05.47</v>
      </c>
    </row>
    <row r="23" spans="1:17" x14ac:dyDescent="0.45">
      <c r="B23" s="11" t="s">
        <v>951</v>
      </c>
      <c r="E23" s="55" t="str">
        <f t="shared" ref="E23:Q23" si="5">IF(AND(E21&gt;=Sp2_Dk0-0.000000001,E21&lt;=Sp2_Dk1+0.000000001),"deck","PGL ext.")</f>
        <v>deck</v>
      </c>
      <c r="F23" s="55" t="str">
        <f t="shared" si="5"/>
        <v>deck</v>
      </c>
      <c r="G23" s="55" t="str">
        <f t="shared" si="5"/>
        <v>deck</v>
      </c>
      <c r="H23" s="55" t="str">
        <f t="shared" si="5"/>
        <v>deck</v>
      </c>
      <c r="I23" s="55" t="str">
        <f t="shared" si="5"/>
        <v>deck</v>
      </c>
      <c r="J23" s="55" t="str">
        <f t="shared" si="5"/>
        <v>deck</v>
      </c>
      <c r="K23" s="55" t="str">
        <f t="shared" si="5"/>
        <v>deck</v>
      </c>
      <c r="L23" s="55" t="str">
        <f t="shared" si="5"/>
        <v>deck</v>
      </c>
      <c r="M23" s="55" t="str">
        <f t="shared" si="5"/>
        <v>deck</v>
      </c>
      <c r="N23" s="55" t="str">
        <f t="shared" si="5"/>
        <v>deck</v>
      </c>
      <c r="O23" s="55" t="str">
        <f t="shared" si="5"/>
        <v>deck</v>
      </c>
      <c r="P23" s="55" t="str">
        <f t="shared" si="5"/>
        <v>deck</v>
      </c>
      <c r="Q23" s="55" t="str">
        <f t="shared" si="5"/>
        <v>PGL ext.</v>
      </c>
    </row>
    <row r="24" spans="1:17" x14ac:dyDescent="0.45">
      <c r="B24" s="7" t="s">
        <v>952</v>
      </c>
      <c r="E24" s="41">
        <f t="shared" ref="E24:Q24" si="6">IF(Prof_Mode="parabolic",Prof_Z0+Prof_G1*((E21)-Prof_Sta0)+Prof_Kq*((E21)-Prof_Sta0)^2,IF((E21)&lt;=Prof_PISta,Prof_Z0+Prof_G1*((E21)-Prof_Sta0),Prof_PIZ+Prof_G2*((E21)-Prof_PISta)))</f>
        <v>48.197625000000002</v>
      </c>
      <c r="F24" s="41">
        <f t="shared" si="6"/>
        <v>48.193248957340323</v>
      </c>
      <c r="G24" s="41">
        <f t="shared" si="6"/>
        <v>48.141724180767397</v>
      </c>
      <c r="H24" s="41">
        <f t="shared" si="6"/>
        <v>48.090199404194472</v>
      </c>
      <c r="I24" s="41">
        <f t="shared" si="6"/>
        <v>48.038674627621546</v>
      </c>
      <c r="J24" s="41">
        <f t="shared" si="6"/>
        <v>47.987149851048621</v>
      </c>
      <c r="K24" s="41">
        <f t="shared" si="6"/>
        <v>47.935625074475695</v>
      </c>
      <c r="L24" s="41">
        <f t="shared" si="6"/>
        <v>47.884100297902769</v>
      </c>
      <c r="M24" s="41">
        <f t="shared" si="6"/>
        <v>47.832575521329836</v>
      </c>
      <c r="N24" s="41">
        <f t="shared" si="6"/>
        <v>47.781050744756911</v>
      </c>
      <c r="O24" s="41">
        <f t="shared" si="6"/>
        <v>47.729525968183985</v>
      </c>
      <c r="P24" s="41">
        <f t="shared" si="6"/>
        <v>47.67800119161106</v>
      </c>
      <c r="Q24" s="41">
        <f t="shared" si="6"/>
        <v>47.673000000000002</v>
      </c>
    </row>
    <row r="25" spans="1:17" x14ac:dyDescent="0.45">
      <c r="B25" s="11" t="s">
        <v>953</v>
      </c>
      <c r="C25" s="40">
        <f>Deck_YL</f>
        <v>-6.7916666666666652</v>
      </c>
      <c r="D25" s="41">
        <f>IF(Deck_Mode="uniform",Deck_Uni*(C25),Deck_Crown*ABS(C25))</f>
        <v>-0.13583333333333331</v>
      </c>
      <c r="E25" s="56">
        <f t="shared" ref="E25:Q29" si="7">E$24+$D25</f>
        <v>48.061791666666672</v>
      </c>
      <c r="F25" s="56">
        <f t="shared" si="7"/>
        <v>48.057415624006993</v>
      </c>
      <c r="G25" s="56">
        <f t="shared" si="7"/>
        <v>48.005890847434067</v>
      </c>
      <c r="H25" s="56">
        <f t="shared" si="7"/>
        <v>47.954366070861141</v>
      </c>
      <c r="I25" s="56">
        <f t="shared" si="7"/>
        <v>47.902841294288216</v>
      </c>
      <c r="J25" s="56">
        <f t="shared" si="7"/>
        <v>47.85131651771529</v>
      </c>
      <c r="K25" s="56">
        <f t="shared" si="7"/>
        <v>47.799791741142364</v>
      </c>
      <c r="L25" s="56">
        <f t="shared" si="7"/>
        <v>47.748266964569439</v>
      </c>
      <c r="M25" s="56">
        <f t="shared" si="7"/>
        <v>47.696742187996506</v>
      </c>
      <c r="N25" s="56">
        <f t="shared" si="7"/>
        <v>47.64521741142358</v>
      </c>
      <c r="O25" s="56">
        <f t="shared" si="7"/>
        <v>47.593692634850655</v>
      </c>
      <c r="P25" s="56">
        <f t="shared" si="7"/>
        <v>47.542167858277729</v>
      </c>
      <c r="Q25" s="56">
        <f t="shared" si="7"/>
        <v>47.537166666666671</v>
      </c>
    </row>
    <row r="26" spans="1:17" x14ac:dyDescent="0.45">
      <c r="B26" s="11" t="s">
        <v>960</v>
      </c>
      <c r="C26" s="40">
        <f>Bm1_Off</f>
        <v>-4.291666666666667</v>
      </c>
      <c r="D26" s="41">
        <f>IF(Deck_Mode="uniform",Deck_Uni*(C26),Deck_Crown*ABS(C26))</f>
        <v>-8.5833333333333345E-2</v>
      </c>
      <c r="E26" s="56">
        <f t="shared" si="7"/>
        <v>48.111791666666669</v>
      </c>
      <c r="F26" s="56">
        <f t="shared" si="7"/>
        <v>48.10741562400699</v>
      </c>
      <c r="G26" s="56">
        <f t="shared" si="7"/>
        <v>48.055890847434064</v>
      </c>
      <c r="H26" s="56">
        <f t="shared" si="7"/>
        <v>48.004366070861138</v>
      </c>
      <c r="I26" s="56">
        <f t="shared" si="7"/>
        <v>47.952841294288213</v>
      </c>
      <c r="J26" s="56">
        <f t="shared" si="7"/>
        <v>47.901316517715287</v>
      </c>
      <c r="K26" s="56">
        <f t="shared" si="7"/>
        <v>47.849791741142361</v>
      </c>
      <c r="L26" s="56">
        <f t="shared" si="7"/>
        <v>47.798266964569436</v>
      </c>
      <c r="M26" s="56">
        <f t="shared" si="7"/>
        <v>47.746742187996503</v>
      </c>
      <c r="N26" s="56">
        <f t="shared" si="7"/>
        <v>47.695217411423577</v>
      </c>
      <c r="O26" s="56">
        <f t="shared" si="7"/>
        <v>47.643692634850652</v>
      </c>
      <c r="P26" s="56">
        <f t="shared" si="7"/>
        <v>47.592167858277726</v>
      </c>
      <c r="Q26" s="56">
        <f t="shared" si="7"/>
        <v>47.587166666666668</v>
      </c>
    </row>
    <row r="27" spans="1:17" x14ac:dyDescent="0.45">
      <c r="B27" s="11" t="s">
        <v>955</v>
      </c>
      <c r="C27" s="41">
        <v>0</v>
      </c>
      <c r="D27" s="41">
        <f>IF(Deck_Mode="uniform",Deck_Uni*(C27),Deck_Crown*ABS(C27))</f>
        <v>0</v>
      </c>
      <c r="E27" s="56">
        <f t="shared" si="7"/>
        <v>48.197625000000002</v>
      </c>
      <c r="F27" s="56">
        <f t="shared" si="7"/>
        <v>48.193248957340323</v>
      </c>
      <c r="G27" s="56">
        <f t="shared" si="7"/>
        <v>48.141724180767397</v>
      </c>
      <c r="H27" s="56">
        <f t="shared" si="7"/>
        <v>48.090199404194472</v>
      </c>
      <c r="I27" s="56">
        <f t="shared" si="7"/>
        <v>48.038674627621546</v>
      </c>
      <c r="J27" s="56">
        <f t="shared" si="7"/>
        <v>47.987149851048621</v>
      </c>
      <c r="K27" s="56">
        <f t="shared" si="7"/>
        <v>47.935625074475695</v>
      </c>
      <c r="L27" s="56">
        <f t="shared" si="7"/>
        <v>47.884100297902769</v>
      </c>
      <c r="M27" s="56">
        <f t="shared" si="7"/>
        <v>47.832575521329836</v>
      </c>
      <c r="N27" s="56">
        <f t="shared" si="7"/>
        <v>47.781050744756911</v>
      </c>
      <c r="O27" s="56">
        <f t="shared" si="7"/>
        <v>47.729525968183985</v>
      </c>
      <c r="P27" s="56">
        <f t="shared" si="7"/>
        <v>47.67800119161106</v>
      </c>
      <c r="Q27" s="56">
        <f t="shared" si="7"/>
        <v>47.673000000000002</v>
      </c>
    </row>
    <row r="28" spans="1:17" x14ac:dyDescent="0.45">
      <c r="B28" s="11" t="s">
        <v>961</v>
      </c>
      <c r="C28" s="40">
        <f>Bm2_Off</f>
        <v>4.291666666666667</v>
      </c>
      <c r="D28" s="41">
        <f>IF(Deck_Mode="uniform",Deck_Uni*(C28),Deck_Crown*ABS(C28))</f>
        <v>-8.5833333333333345E-2</v>
      </c>
      <c r="E28" s="56">
        <f t="shared" si="7"/>
        <v>48.111791666666669</v>
      </c>
      <c r="F28" s="56">
        <f t="shared" si="7"/>
        <v>48.10741562400699</v>
      </c>
      <c r="G28" s="56">
        <f t="shared" si="7"/>
        <v>48.055890847434064</v>
      </c>
      <c r="H28" s="56">
        <f t="shared" si="7"/>
        <v>48.004366070861138</v>
      </c>
      <c r="I28" s="56">
        <f t="shared" si="7"/>
        <v>47.952841294288213</v>
      </c>
      <c r="J28" s="56">
        <f t="shared" si="7"/>
        <v>47.901316517715287</v>
      </c>
      <c r="K28" s="56">
        <f t="shared" si="7"/>
        <v>47.849791741142361</v>
      </c>
      <c r="L28" s="56">
        <f t="shared" si="7"/>
        <v>47.798266964569436</v>
      </c>
      <c r="M28" s="56">
        <f t="shared" si="7"/>
        <v>47.746742187996503</v>
      </c>
      <c r="N28" s="56">
        <f t="shared" si="7"/>
        <v>47.695217411423577</v>
      </c>
      <c r="O28" s="56">
        <f t="shared" si="7"/>
        <v>47.643692634850652</v>
      </c>
      <c r="P28" s="56">
        <f t="shared" si="7"/>
        <v>47.592167858277726</v>
      </c>
      <c r="Q28" s="56">
        <f t="shared" si="7"/>
        <v>47.587166666666668</v>
      </c>
    </row>
    <row r="29" spans="1:17" x14ac:dyDescent="0.45">
      <c r="B29" s="11" t="s">
        <v>957</v>
      </c>
      <c r="C29" s="40">
        <f>Deck_YR</f>
        <v>6.7916666666666652</v>
      </c>
      <c r="D29" s="41">
        <f>IF(Deck_Mode="uniform",Deck_Uni*(C29),Deck_Crown*ABS(C29))</f>
        <v>-0.13583333333333331</v>
      </c>
      <c r="E29" s="56">
        <f t="shared" si="7"/>
        <v>48.061791666666672</v>
      </c>
      <c r="F29" s="56">
        <f t="shared" si="7"/>
        <v>48.057415624006993</v>
      </c>
      <c r="G29" s="56">
        <f t="shared" si="7"/>
        <v>48.005890847434067</v>
      </c>
      <c r="H29" s="56">
        <f t="shared" si="7"/>
        <v>47.954366070861141</v>
      </c>
      <c r="I29" s="56">
        <f t="shared" si="7"/>
        <v>47.902841294288216</v>
      </c>
      <c r="J29" s="56">
        <f t="shared" si="7"/>
        <v>47.85131651771529</v>
      </c>
      <c r="K29" s="56">
        <f t="shared" si="7"/>
        <v>47.799791741142364</v>
      </c>
      <c r="L29" s="56">
        <f t="shared" si="7"/>
        <v>47.748266964569439</v>
      </c>
      <c r="M29" s="56">
        <f t="shared" si="7"/>
        <v>47.696742187996506</v>
      </c>
      <c r="N29" s="56">
        <f t="shared" si="7"/>
        <v>47.64521741142358</v>
      </c>
      <c r="O29" s="56">
        <f t="shared" si="7"/>
        <v>47.593692634850655</v>
      </c>
      <c r="P29" s="56">
        <f t="shared" si="7"/>
        <v>47.542167858277729</v>
      </c>
      <c r="Q29" s="56">
        <f t="shared" si="7"/>
        <v>47.537166666666671</v>
      </c>
    </row>
    <row r="30" spans="1:17" x14ac:dyDescent="0.45">
      <c r="B30" s="11" t="s">
        <v>958</v>
      </c>
      <c r="C30" s="41">
        <f>Sp2_Lb/Des_FGEInc</f>
        <v>10.302500000000009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A96A3"/>
  </sheetPr>
  <dimension ref="B1:M35"/>
  <sheetViews>
    <sheetView showGridLines="0" workbookViewId="0"/>
  </sheetViews>
  <sheetFormatPr defaultRowHeight="14.25" x14ac:dyDescent="0.45"/>
  <cols>
    <col min="1" max="1" width="2" customWidth="1"/>
    <col min="2" max="13" width="11.46484375" customWidth="1"/>
  </cols>
  <sheetData>
    <row r="1" spans="2:13" ht="20.65" x14ac:dyDescent="0.6">
      <c r="B1" s="35" t="s">
        <v>962</v>
      </c>
    </row>
    <row r="2" spans="2:13" x14ac:dyDescent="0.45">
      <c r="B2" s="8" t="s">
        <v>963</v>
      </c>
    </row>
    <row r="5" spans="2:13" ht="18" customHeight="1" x14ac:dyDescent="0.45">
      <c r="B5" s="36" t="s">
        <v>964</v>
      </c>
      <c r="C5" s="18"/>
      <c r="D5" s="18"/>
      <c r="E5" s="18"/>
      <c r="F5" s="18"/>
      <c r="G5" s="18"/>
      <c r="H5" s="18"/>
      <c r="I5" s="18"/>
      <c r="J5" s="18"/>
      <c r="K5" s="18"/>
      <c r="L5" s="18"/>
      <c r="M5" s="18"/>
    </row>
    <row r="6" spans="2:13" ht="16.25" customHeight="1" x14ac:dyDescent="0.45">
      <c r="B6" s="76" t="s">
        <v>965</v>
      </c>
      <c r="C6" s="75"/>
      <c r="D6" s="75"/>
      <c r="E6" s="75"/>
      <c r="F6" s="75"/>
      <c r="G6" s="75"/>
      <c r="H6" s="75"/>
      <c r="I6" s="75"/>
      <c r="J6" s="75"/>
      <c r="K6" s="75"/>
      <c r="L6" s="75"/>
      <c r="M6" s="75"/>
    </row>
    <row r="7" spans="2:13" ht="15" customHeight="1" x14ac:dyDescent="0.45"/>
    <row r="8" spans="2:13" ht="15" customHeight="1" x14ac:dyDescent="0.45"/>
    <row r="9" spans="2:13" ht="15" customHeight="1" x14ac:dyDescent="0.45"/>
    <row r="11" spans="2:13" ht="18" customHeight="1" x14ac:dyDescent="0.45">
      <c r="B11" s="36" t="s">
        <v>966</v>
      </c>
      <c r="C11" s="18"/>
      <c r="D11" s="18"/>
      <c r="E11" s="18"/>
      <c r="F11" s="18"/>
      <c r="G11" s="18"/>
      <c r="H11" s="18"/>
      <c r="I11" s="18"/>
      <c r="J11" s="18"/>
      <c r="K11" s="18"/>
      <c r="L11" s="18"/>
      <c r="M11" s="18"/>
    </row>
    <row r="12" spans="2:13" ht="15" customHeight="1" x14ac:dyDescent="0.45"/>
    <row r="13" spans="2:13" ht="15" customHeight="1" x14ac:dyDescent="0.45"/>
    <row r="14" spans="2:13" ht="15" customHeight="1" x14ac:dyDescent="0.45"/>
    <row r="15" spans="2:13" ht="29.45" customHeight="1" x14ac:dyDescent="0.45">
      <c r="B15" s="76" t="s">
        <v>967</v>
      </c>
      <c r="C15" s="75"/>
      <c r="D15" s="75"/>
      <c r="E15" s="75"/>
      <c r="F15" s="75"/>
      <c r="G15" s="75"/>
      <c r="H15" s="75"/>
      <c r="I15" s="75"/>
      <c r="J15" s="75"/>
      <c r="K15" s="75"/>
      <c r="L15" s="75"/>
      <c r="M15" s="75"/>
    </row>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15" customHeight="1" x14ac:dyDescent="0.45"/>
    <row r="26" spans="2:13" ht="15" customHeight="1" x14ac:dyDescent="0.45"/>
    <row r="27" spans="2:13" ht="15" customHeight="1" x14ac:dyDescent="0.45"/>
    <row r="28" spans="2:13" ht="15" customHeight="1" x14ac:dyDescent="0.45"/>
    <row r="29" spans="2:13" ht="15" customHeight="1" x14ac:dyDescent="0.45"/>
    <row r="30" spans="2:13" ht="16.25" customHeight="1" x14ac:dyDescent="0.45">
      <c r="B30" s="74" t="s">
        <v>968</v>
      </c>
      <c r="C30" s="75"/>
      <c r="D30" s="75"/>
      <c r="E30" s="75"/>
      <c r="F30" s="75"/>
      <c r="G30" s="75"/>
      <c r="H30" s="75"/>
      <c r="I30" s="75"/>
      <c r="J30" s="75"/>
      <c r="K30" s="75"/>
      <c r="L30" s="75"/>
      <c r="M30" s="75"/>
    </row>
    <row r="31" spans="2:13" ht="29.45" customHeight="1" x14ac:dyDescent="0.45">
      <c r="B31" s="79" t="s">
        <v>969</v>
      </c>
      <c r="C31" s="80"/>
      <c r="D31" s="80"/>
      <c r="E31" s="80"/>
      <c r="F31" s="80"/>
      <c r="G31" s="80"/>
      <c r="H31" s="80"/>
      <c r="I31" s="80"/>
      <c r="J31" s="80"/>
      <c r="K31" s="80"/>
      <c r="L31" s="80"/>
      <c r="M31" s="80"/>
    </row>
    <row r="32" spans="2:13" x14ac:dyDescent="0.45">
      <c r="B32" s="77" t="s">
        <v>106</v>
      </c>
      <c r="C32" s="77" t="s">
        <v>671</v>
      </c>
      <c r="D32" s="78"/>
      <c r="E32" s="78"/>
      <c r="F32" s="78"/>
      <c r="G32" s="78"/>
      <c r="H32" s="77" t="s">
        <v>672</v>
      </c>
      <c r="I32" s="78"/>
      <c r="J32" s="78"/>
      <c r="K32" s="77" t="s">
        <v>673</v>
      </c>
      <c r="L32" s="78"/>
      <c r="M32" s="78"/>
    </row>
    <row r="33" spans="2:13" ht="15.2" customHeight="1" x14ac:dyDescent="0.45">
      <c r="B33" s="76" t="s">
        <v>198</v>
      </c>
      <c r="C33" s="76" t="s">
        <v>970</v>
      </c>
      <c r="D33" s="75"/>
      <c r="E33" s="75"/>
      <c r="F33" s="75"/>
      <c r="G33" s="75"/>
      <c r="H33" s="76" t="s">
        <v>631</v>
      </c>
      <c r="I33" s="75"/>
      <c r="J33" s="75"/>
      <c r="K33" s="76" t="s">
        <v>971</v>
      </c>
      <c r="L33" s="75"/>
      <c r="M33" s="75"/>
    </row>
    <row r="34" spans="2:13" ht="15.2" customHeight="1" x14ac:dyDescent="0.45">
      <c r="B34" s="76" t="s">
        <v>972</v>
      </c>
      <c r="C34" s="76" t="s">
        <v>973</v>
      </c>
      <c r="D34" s="75"/>
      <c r="E34" s="75"/>
      <c r="F34" s="75"/>
      <c r="G34" s="75"/>
      <c r="H34" s="76" t="s">
        <v>974</v>
      </c>
      <c r="I34" s="75"/>
      <c r="J34" s="75"/>
      <c r="K34" s="76" t="s">
        <v>139</v>
      </c>
      <c r="L34" s="75"/>
      <c r="M34" s="75"/>
    </row>
    <row r="35" spans="2:13" ht="15.2" customHeight="1" x14ac:dyDescent="0.45">
      <c r="B35" s="76" t="s">
        <v>975</v>
      </c>
      <c r="C35" s="76" t="s">
        <v>976</v>
      </c>
      <c r="D35" s="75"/>
      <c r="E35" s="75"/>
      <c r="F35" s="75"/>
      <c r="G35" s="75"/>
      <c r="H35" s="76" t="s">
        <v>977</v>
      </c>
      <c r="I35" s="75"/>
      <c r="J35" s="75"/>
      <c r="K35" s="76" t="s">
        <v>139</v>
      </c>
      <c r="L35" s="75"/>
      <c r="M35" s="75"/>
    </row>
  </sheetData>
  <mergeCells count="20">
    <mergeCell ref="B35"/>
    <mergeCell ref="C35:G35"/>
    <mergeCell ref="B30:M30"/>
    <mergeCell ref="B6:M6"/>
    <mergeCell ref="H33:J33"/>
    <mergeCell ref="B15:M15"/>
    <mergeCell ref="H35:J35"/>
    <mergeCell ref="K34:M34"/>
    <mergeCell ref="K33:M33"/>
    <mergeCell ref="C32:G32"/>
    <mergeCell ref="B31:M31"/>
    <mergeCell ref="B34"/>
    <mergeCell ref="H34:J34"/>
    <mergeCell ref="K35:M35"/>
    <mergeCell ref="C34:G34"/>
    <mergeCell ref="K32:M32"/>
    <mergeCell ref="B33"/>
    <mergeCell ref="C33:G33"/>
    <mergeCell ref="B32"/>
    <mergeCell ref="H32:J32"/>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2A36"/>
  </sheetPr>
  <dimension ref="A1:W38"/>
  <sheetViews>
    <sheetView showGridLines="0" workbookViewId="0"/>
  </sheetViews>
  <sheetFormatPr defaultRowHeight="14.25" x14ac:dyDescent="0.45"/>
  <cols>
    <col min="1" max="1" width="3" customWidth="1"/>
    <col min="2" max="2" width="12" customWidth="1"/>
    <col min="3" max="23" width="11.46484375" customWidth="1"/>
  </cols>
  <sheetData>
    <row r="1" spans="1:23" ht="17.649999999999999" x14ac:dyDescent="0.5">
      <c r="A1" s="15" t="s">
        <v>48</v>
      </c>
      <c r="P1" s="37" t="s">
        <v>111</v>
      </c>
      <c r="Q1" s="2" t="str">
        <f>""&amp;TB_Project</f>
        <v>D2 I-95 Pedestrian Bridge</v>
      </c>
    </row>
    <row r="2" spans="1:23" x14ac:dyDescent="0.45">
      <c r="A2" s="8" t="s">
        <v>978</v>
      </c>
      <c r="P2" s="37" t="s">
        <v>119</v>
      </c>
      <c r="Q2" s="2" t="str">
        <f>""&amp;TB_JobNo</f>
        <v/>
      </c>
    </row>
    <row r="3" spans="1:23" x14ac:dyDescent="0.45">
      <c r="P3" s="37" t="s">
        <v>694</v>
      </c>
      <c r="Q3" s="2" t="str">
        <f>TB_CalcBy&amp;"  "&amp;TB_CalcDate</f>
        <v xml:space="preserve">  </v>
      </c>
    </row>
    <row r="4" spans="1:23" x14ac:dyDescent="0.45">
      <c r="P4" s="37" t="s">
        <v>695</v>
      </c>
      <c r="Q4" s="2" t="str">
        <f>TB_CheckBy&amp;"  "&amp;TB_CheckDate</f>
        <v xml:space="preserve">  </v>
      </c>
    </row>
    <row r="6" spans="1:23" x14ac:dyDescent="0.45">
      <c r="A6" s="17" t="s">
        <v>979</v>
      </c>
      <c r="B6" s="18"/>
      <c r="C6" s="18"/>
      <c r="D6" s="18"/>
      <c r="E6" s="18"/>
      <c r="F6" s="18"/>
      <c r="G6" s="18"/>
      <c r="H6" s="18"/>
      <c r="I6" s="18"/>
      <c r="J6" s="18"/>
      <c r="K6" s="18"/>
      <c r="L6" s="18"/>
      <c r="M6" s="18"/>
      <c r="N6" s="18"/>
      <c r="O6" s="18"/>
      <c r="P6" s="18"/>
      <c r="Q6" s="18"/>
      <c r="R6" s="18"/>
      <c r="S6" s="18"/>
      <c r="T6" s="18"/>
      <c r="U6" s="18"/>
      <c r="V6" s="18"/>
    </row>
    <row r="7" spans="1:23" ht="42" customHeight="1" x14ac:dyDescent="0.45">
      <c r="B7" s="19" t="s">
        <v>980</v>
      </c>
      <c r="C7" s="19" t="s">
        <v>789</v>
      </c>
      <c r="D7" s="19" t="s">
        <v>981</v>
      </c>
      <c r="E7" s="19" t="s">
        <v>737</v>
      </c>
      <c r="F7" s="19" t="s">
        <v>982</v>
      </c>
      <c r="G7" s="19" t="s">
        <v>812</v>
      </c>
      <c r="H7" s="19" t="s">
        <v>983</v>
      </c>
      <c r="I7" s="19" t="s">
        <v>984</v>
      </c>
      <c r="J7" s="19" t="s">
        <v>985</v>
      </c>
      <c r="K7" s="19" t="s">
        <v>986</v>
      </c>
      <c r="L7" s="19" t="s">
        <v>987</v>
      </c>
      <c r="M7" s="19" t="s">
        <v>988</v>
      </c>
      <c r="N7" s="19" t="s">
        <v>989</v>
      </c>
      <c r="O7" s="19" t="s">
        <v>990</v>
      </c>
      <c r="P7" s="19" t="s">
        <v>991</v>
      </c>
      <c r="Q7" s="19" t="s">
        <v>992</v>
      </c>
      <c r="R7" s="19" t="s">
        <v>993</v>
      </c>
      <c r="S7" s="19" t="s">
        <v>994</v>
      </c>
      <c r="T7" s="19" t="s">
        <v>995</v>
      </c>
      <c r="U7" s="19" t="s">
        <v>996</v>
      </c>
      <c r="V7" s="19" t="s">
        <v>997</v>
      </c>
      <c r="W7" s="19" t="s">
        <v>998</v>
      </c>
    </row>
    <row r="8" spans="1:23" x14ac:dyDescent="0.45">
      <c r="B8" s="11" t="s">
        <v>808</v>
      </c>
      <c r="C8" s="11">
        <v>1</v>
      </c>
      <c r="D8" s="11" t="s">
        <v>999</v>
      </c>
      <c r="E8" s="11">
        <v>1</v>
      </c>
      <c r="F8" s="11" t="s">
        <v>830</v>
      </c>
      <c r="G8" s="40">
        <f>Bm1_Off</f>
        <v>-4.291666666666667</v>
      </c>
      <c r="H8" s="40">
        <f>Sp1_BrgA</f>
        <v>1594.22</v>
      </c>
      <c r="I8" s="2">
        <f>EB1_PadL</f>
        <v>10</v>
      </c>
      <c r="J8" s="53">
        <f>EB1_Pad</f>
        <v>2.5625</v>
      </c>
      <c r="K8" s="41">
        <f t="shared" ref="K8:K15" si="0">H8-I8/24</f>
        <v>1593.8033333333333</v>
      </c>
      <c r="L8" s="41">
        <f t="shared" ref="L8:L15" si="1">H8+I8/24</f>
        <v>1594.6366666666668</v>
      </c>
      <c r="M8" s="49">
        <f t="shared" ref="M8:N11" si="2">(K8-Sp1_BrgA)/Sp1_Lb</f>
        <v>-3.9503831871698777E-3</v>
      </c>
      <c r="N8" s="49">
        <f t="shared" si="2"/>
        <v>3.9503831871698777E-3</v>
      </c>
      <c r="O8" s="49">
        <f>(H8-Sp1_BrgA)/Sp1_Lb</f>
        <v>0</v>
      </c>
      <c r="P8" s="41">
        <f>(Sp1_ZA+(Sp1_ZB-Sp1_ZA)*(M8)-Sup_Drop+Sp1_C/3*(M8)*(1-(M8))+(Bm1_Raise)/12)</f>
        <v>43.948986987697523</v>
      </c>
      <c r="Q8" s="41">
        <f>(Sp1_ZA+(Sp1_ZB-Sp1_ZA)*(N8)-Sup_Drop+Sp1_C/3*(N8)*(1-(N8))+(Bm1_Raise)/12)</f>
        <v>43.95348081007208</v>
      </c>
      <c r="R8" s="41">
        <f>(Sp1_ZA+(Sp1_ZB-Sp1_ZA)*(O8)-Sup_Drop+Sp1_C/3*(O8)*(1-(O8))+(Bm1_Raise)/12)</f>
        <v>43.951234546996623</v>
      </c>
      <c r="S8" s="43">
        <f t="shared" ref="S8:S15" si="3">(P8+Q8)/2</f>
        <v>43.951233898884801</v>
      </c>
      <c r="T8" s="43">
        <f t="shared" ref="T8:T15" si="4">(Q8-P8)/(I8/12)</f>
        <v>5.3925868494673068E-3</v>
      </c>
      <c r="U8" s="43">
        <f t="shared" ref="U8:U15" si="5">(R8-S8)*12</f>
        <v>7.7773418638571457E-6</v>
      </c>
      <c r="V8" s="43">
        <f t="shared" ref="V8:V15" si="6">S8-J8/12</f>
        <v>43.737692232218137</v>
      </c>
      <c r="W8" s="42" t="str">
        <f>IF(AND(K8&gt;=Sp1_Bm0-0.000000001,L8&lt;=Sp1_Bm1+0.000000001),"PASS","FAIL")</f>
        <v>PASS</v>
      </c>
    </row>
    <row r="9" spans="1:23" x14ac:dyDescent="0.45">
      <c r="B9" s="11" t="s">
        <v>808</v>
      </c>
      <c r="C9" s="11">
        <v>1</v>
      </c>
      <c r="D9" s="11" t="s">
        <v>999</v>
      </c>
      <c r="E9" s="11">
        <v>2</v>
      </c>
      <c r="F9" s="11" t="s">
        <v>831</v>
      </c>
      <c r="G9" s="40">
        <f>Bm2_Off</f>
        <v>4.291666666666667</v>
      </c>
      <c r="H9" s="40">
        <f>Sp1_BrgA</f>
        <v>1594.22</v>
      </c>
      <c r="I9" s="2">
        <f>EB1_PadL</f>
        <v>10</v>
      </c>
      <c r="J9" s="53">
        <f>EB1_Pad</f>
        <v>2.5625</v>
      </c>
      <c r="K9" s="41">
        <f t="shared" si="0"/>
        <v>1593.8033333333333</v>
      </c>
      <c r="L9" s="41">
        <f t="shared" si="1"/>
        <v>1594.6366666666668</v>
      </c>
      <c r="M9" s="49">
        <f t="shared" si="2"/>
        <v>-3.9503831871698777E-3</v>
      </c>
      <c r="N9" s="49">
        <f t="shared" si="2"/>
        <v>3.9503831871698777E-3</v>
      </c>
      <c r="O9" s="49">
        <f>(H9-Sp1_BrgA)/Sp1_Lb</f>
        <v>0</v>
      </c>
      <c r="P9" s="41">
        <f>(Sp1_ZA+(Sp1_ZB-Sp1_ZA)*(M9)-Sup_Drop+Sp1_C/3*(M9)*(1-(M9))+(Bm2_Raise)/12)</f>
        <v>43.948986987697523</v>
      </c>
      <c r="Q9" s="41">
        <f>(Sp1_ZA+(Sp1_ZB-Sp1_ZA)*(N9)-Sup_Drop+Sp1_C/3*(N9)*(1-(N9))+(Bm2_Raise)/12)</f>
        <v>43.95348081007208</v>
      </c>
      <c r="R9" s="41">
        <f>(Sp1_ZA+(Sp1_ZB-Sp1_ZA)*(O9)-Sup_Drop+Sp1_C/3*(O9)*(1-(O9))+(Bm2_Raise)/12)</f>
        <v>43.951234546996623</v>
      </c>
      <c r="S9" s="43">
        <f t="shared" si="3"/>
        <v>43.951233898884801</v>
      </c>
      <c r="T9" s="43">
        <f t="shared" si="4"/>
        <v>5.3925868494673068E-3</v>
      </c>
      <c r="U9" s="43">
        <f t="shared" si="5"/>
        <v>7.7773418638571457E-6</v>
      </c>
      <c r="V9" s="43">
        <f t="shared" si="6"/>
        <v>43.737692232218137</v>
      </c>
      <c r="W9" s="42" t="str">
        <f>IF(AND(K9&gt;=Sp1_Bm0-0.000000001,L9&lt;=Sp1_Bm1+0.000000001),"PASS","FAIL")</f>
        <v>PASS</v>
      </c>
    </row>
    <row r="10" spans="1:23" x14ac:dyDescent="0.45">
      <c r="B10" s="11" t="s">
        <v>809</v>
      </c>
      <c r="C10" s="11">
        <v>1</v>
      </c>
      <c r="D10" s="11" t="s">
        <v>1000</v>
      </c>
      <c r="E10" s="11">
        <v>1</v>
      </c>
      <c r="F10" s="11" t="s">
        <v>830</v>
      </c>
      <c r="G10" s="40">
        <f>Bm1_Off</f>
        <v>-4.291666666666667</v>
      </c>
      <c r="H10" s="40">
        <f>Sp1_BrgB</f>
        <v>1699.6949999999999</v>
      </c>
      <c r="I10" s="2">
        <f>Pier_PadL</f>
        <v>10</v>
      </c>
      <c r="J10" s="53">
        <f>Pier_Pad</f>
        <v>2.5625</v>
      </c>
      <c r="K10" s="41">
        <f t="shared" si="0"/>
        <v>1699.2783333333332</v>
      </c>
      <c r="L10" s="41">
        <f t="shared" si="1"/>
        <v>1700.1116666666667</v>
      </c>
      <c r="M10" s="49">
        <f t="shared" si="2"/>
        <v>0.99604961681283011</v>
      </c>
      <c r="N10" s="49">
        <f t="shared" si="2"/>
        <v>1.0039503831871699</v>
      </c>
      <c r="O10" s="49">
        <f>(H10-Sp1_BrgA)/Sp1_Lb</f>
        <v>1</v>
      </c>
      <c r="P10" s="41">
        <f>(Sp1_ZA+(Sp1_ZB-Sp1_ZA)*(M10)-Sup_Drop+Sp1_C/3*(M10)*(1-(M10))+(Bm1_Raise)/12)</f>
        <v>44.476567297030634</v>
      </c>
      <c r="Q10" s="41">
        <f>(Sp1_ZA+(Sp1_ZB-Sp1_ZA)*(N10)-Sup_Drop+Sp1_C/3*(N10)*(1-(N10))+(Bm1_Raise)/12)</f>
        <v>44.480404867296961</v>
      </c>
      <c r="R10" s="41">
        <f>(Sp1_ZA+(Sp1_ZB-Sp1_ZA)*(O10)-Sup_Drop+Sp1_C/3*(O10)*(1-(O10))+(Bm1_Raise)/12)</f>
        <v>44.47848673027562</v>
      </c>
      <c r="S10" s="43">
        <f t="shared" si="3"/>
        <v>44.478486082163798</v>
      </c>
      <c r="T10" s="43">
        <f t="shared" si="4"/>
        <v>4.6050843195928337E-3</v>
      </c>
      <c r="U10" s="43">
        <f t="shared" si="5"/>
        <v>7.7773418638571457E-6</v>
      </c>
      <c r="V10" s="43">
        <f t="shared" si="6"/>
        <v>44.264944415497133</v>
      </c>
      <c r="W10" s="42" t="str">
        <f>IF(AND(K10&gt;=Sp1_Bm0-0.000000001,L10&lt;=Sp1_Bm1+0.000000001),"PASS","FAIL")</f>
        <v>PASS</v>
      </c>
    </row>
    <row r="11" spans="1:23" x14ac:dyDescent="0.45">
      <c r="B11" s="11" t="s">
        <v>809</v>
      </c>
      <c r="C11" s="11">
        <v>1</v>
      </c>
      <c r="D11" s="11" t="s">
        <v>1000</v>
      </c>
      <c r="E11" s="11">
        <v>2</v>
      </c>
      <c r="F11" s="11" t="s">
        <v>831</v>
      </c>
      <c r="G11" s="40">
        <f>Bm2_Off</f>
        <v>4.291666666666667</v>
      </c>
      <c r="H11" s="40">
        <f>Sp1_BrgB</f>
        <v>1699.6949999999999</v>
      </c>
      <c r="I11" s="2">
        <f>Pier_PadL</f>
        <v>10</v>
      </c>
      <c r="J11" s="53">
        <f>Pier_Pad</f>
        <v>2.5625</v>
      </c>
      <c r="K11" s="41">
        <f t="shared" si="0"/>
        <v>1699.2783333333332</v>
      </c>
      <c r="L11" s="41">
        <f t="shared" si="1"/>
        <v>1700.1116666666667</v>
      </c>
      <c r="M11" s="49">
        <f t="shared" si="2"/>
        <v>0.99604961681283011</v>
      </c>
      <c r="N11" s="49">
        <f t="shared" si="2"/>
        <v>1.0039503831871699</v>
      </c>
      <c r="O11" s="49">
        <f>(H11-Sp1_BrgA)/Sp1_Lb</f>
        <v>1</v>
      </c>
      <c r="P11" s="41">
        <f>(Sp1_ZA+(Sp1_ZB-Sp1_ZA)*(M11)-Sup_Drop+Sp1_C/3*(M11)*(1-(M11))+(Bm2_Raise)/12)</f>
        <v>44.476567297030634</v>
      </c>
      <c r="Q11" s="41">
        <f>(Sp1_ZA+(Sp1_ZB-Sp1_ZA)*(N11)-Sup_Drop+Sp1_C/3*(N11)*(1-(N11))+(Bm2_Raise)/12)</f>
        <v>44.480404867296961</v>
      </c>
      <c r="R11" s="41">
        <f>(Sp1_ZA+(Sp1_ZB-Sp1_ZA)*(O11)-Sup_Drop+Sp1_C/3*(O11)*(1-(O11))+(Bm2_Raise)/12)</f>
        <v>44.47848673027562</v>
      </c>
      <c r="S11" s="43">
        <f t="shared" si="3"/>
        <v>44.478486082163798</v>
      </c>
      <c r="T11" s="43">
        <f t="shared" si="4"/>
        <v>4.6050843195928337E-3</v>
      </c>
      <c r="U11" s="43">
        <f t="shared" si="5"/>
        <v>7.7773418638571457E-6</v>
      </c>
      <c r="V11" s="43">
        <f t="shared" si="6"/>
        <v>44.264944415497133</v>
      </c>
      <c r="W11" s="42" t="str">
        <f>IF(AND(K11&gt;=Sp1_Bm0-0.000000001,L11&lt;=Sp1_Bm1+0.000000001),"PASS","FAIL")</f>
        <v>PASS</v>
      </c>
    </row>
    <row r="12" spans="1:23" x14ac:dyDescent="0.45">
      <c r="B12" s="11" t="s">
        <v>809</v>
      </c>
      <c r="C12" s="11">
        <v>2</v>
      </c>
      <c r="D12" s="11" t="s">
        <v>999</v>
      </c>
      <c r="E12" s="11">
        <v>1</v>
      </c>
      <c r="F12" s="11" t="s">
        <v>832</v>
      </c>
      <c r="G12" s="40">
        <f>Bm1_Off</f>
        <v>-4.291666666666667</v>
      </c>
      <c r="H12" s="40">
        <f>Sp2_BrgA</f>
        <v>1701.4449999999999</v>
      </c>
      <c r="I12" s="2">
        <f>Pier_PadL</f>
        <v>10</v>
      </c>
      <c r="J12" s="53">
        <f>Pier_Pad</f>
        <v>2.5625</v>
      </c>
      <c r="K12" s="41">
        <f t="shared" si="0"/>
        <v>1701.0283333333332</v>
      </c>
      <c r="L12" s="41">
        <f t="shared" si="1"/>
        <v>1701.8616666666667</v>
      </c>
      <c r="M12" s="49">
        <f t="shared" ref="M12:N15" si="7">(K12-Sp2_BrgA)/Sp2_Lb</f>
        <v>-4.0443258108880569E-3</v>
      </c>
      <c r="N12" s="49">
        <f t="shared" si="7"/>
        <v>4.0443258108880569E-3</v>
      </c>
      <c r="O12" s="49">
        <f>(H12-Sp2_BrgA)/Sp2_Lb</f>
        <v>0</v>
      </c>
      <c r="P12" s="41">
        <f>(Sp2_ZA+(Sp2_ZB-Sp2_ZA)*(M12)-Sup_Drop+Sp2_C/3*(M12)*(1-(M12))+(Bm1_Raise)/12)</f>
        <v>44.479800797534452</v>
      </c>
      <c r="Q12" s="41">
        <f>(Sp2_ZA+(Sp2_ZB-Sp2_ZA)*(N12)-Sup_Drop+Sp2_C/3*(N12)*(1-(N12))+(Bm1_Raise)/12)</f>
        <v>44.477162355316722</v>
      </c>
      <c r="R12" s="41">
        <f>(Sp2_ZA+(Sp2_ZB-Sp2_ZA)*(O12)-Sup_Drop+Sp2_C/3*(O12)*(1-(O12))+(Bm1_Raise)/12)</f>
        <v>44.478484668752408</v>
      </c>
      <c r="S12" s="43">
        <f t="shared" si="3"/>
        <v>44.478481576425587</v>
      </c>
      <c r="T12" s="43">
        <f t="shared" si="4"/>
        <v>-3.1661306612761563E-3</v>
      </c>
      <c r="U12" s="43">
        <f t="shared" si="5"/>
        <v>3.710792185529499E-5</v>
      </c>
      <c r="V12" s="43">
        <f t="shared" si="6"/>
        <v>44.264939909758922</v>
      </c>
      <c r="W12" s="42" t="str">
        <f>IF(AND(K12&gt;=Sp2_Bm0-0.000000001,L12&lt;=Sp2_Bm1+0.000000001),"PASS","FAIL")</f>
        <v>PASS</v>
      </c>
    </row>
    <row r="13" spans="1:23" x14ac:dyDescent="0.45">
      <c r="B13" s="11" t="s">
        <v>809</v>
      </c>
      <c r="C13" s="11">
        <v>2</v>
      </c>
      <c r="D13" s="11" t="s">
        <v>999</v>
      </c>
      <c r="E13" s="11">
        <v>2</v>
      </c>
      <c r="F13" s="11" t="s">
        <v>833</v>
      </c>
      <c r="G13" s="40">
        <f>Bm2_Off</f>
        <v>4.291666666666667</v>
      </c>
      <c r="H13" s="40">
        <f>Sp2_BrgA</f>
        <v>1701.4449999999999</v>
      </c>
      <c r="I13" s="2">
        <f>Pier_PadL</f>
        <v>10</v>
      </c>
      <c r="J13" s="53">
        <f>Pier_Pad</f>
        <v>2.5625</v>
      </c>
      <c r="K13" s="41">
        <f t="shared" si="0"/>
        <v>1701.0283333333332</v>
      </c>
      <c r="L13" s="41">
        <f t="shared" si="1"/>
        <v>1701.8616666666667</v>
      </c>
      <c r="M13" s="49">
        <f t="shared" si="7"/>
        <v>-4.0443258108880569E-3</v>
      </c>
      <c r="N13" s="49">
        <f t="shared" si="7"/>
        <v>4.0443258108880569E-3</v>
      </c>
      <c r="O13" s="49">
        <f>(H13-Sp2_BrgA)/Sp2_Lb</f>
        <v>0</v>
      </c>
      <c r="P13" s="41">
        <f>(Sp2_ZA+(Sp2_ZB-Sp2_ZA)*(M13)-Sup_Drop+Sp2_C/3*(M13)*(1-(M13))+(Bm2_Raise)/12)</f>
        <v>44.479800797534452</v>
      </c>
      <c r="Q13" s="41">
        <f>(Sp2_ZA+(Sp2_ZB-Sp2_ZA)*(N13)-Sup_Drop+Sp2_C/3*(N13)*(1-(N13))+(Bm2_Raise)/12)</f>
        <v>44.477162355316722</v>
      </c>
      <c r="R13" s="41">
        <f>(Sp2_ZA+(Sp2_ZB-Sp2_ZA)*(O13)-Sup_Drop+Sp2_C/3*(O13)*(1-(O13))+(Bm2_Raise)/12)</f>
        <v>44.478484668752408</v>
      </c>
      <c r="S13" s="43">
        <f t="shared" si="3"/>
        <v>44.478481576425587</v>
      </c>
      <c r="T13" s="43">
        <f t="shared" si="4"/>
        <v>-3.1661306612761563E-3</v>
      </c>
      <c r="U13" s="43">
        <f t="shared" si="5"/>
        <v>3.710792185529499E-5</v>
      </c>
      <c r="V13" s="43">
        <f t="shared" si="6"/>
        <v>44.264939909758922</v>
      </c>
      <c r="W13" s="42" t="str">
        <f>IF(AND(K13&gt;=Sp2_Bm0-0.000000001,L13&lt;=Sp2_Bm1+0.000000001),"PASS","FAIL")</f>
        <v>PASS</v>
      </c>
    </row>
    <row r="14" spans="1:23" x14ac:dyDescent="0.45">
      <c r="B14" s="11" t="s">
        <v>810</v>
      </c>
      <c r="C14" s="11">
        <v>2</v>
      </c>
      <c r="D14" s="11" t="s">
        <v>1000</v>
      </c>
      <c r="E14" s="11">
        <v>1</v>
      </c>
      <c r="F14" s="11" t="s">
        <v>832</v>
      </c>
      <c r="G14" s="40">
        <f>Bm1_Off</f>
        <v>-4.291666666666667</v>
      </c>
      <c r="H14" s="40">
        <f>Sp2_BrgB</f>
        <v>1804.47</v>
      </c>
      <c r="I14" s="2">
        <f>EB2_PadL</f>
        <v>10</v>
      </c>
      <c r="J14" s="53">
        <f>EB2_Pad</f>
        <v>2.5625</v>
      </c>
      <c r="K14" s="41">
        <f t="shared" si="0"/>
        <v>1804.0533333333333</v>
      </c>
      <c r="L14" s="41">
        <f t="shared" si="1"/>
        <v>1804.8866666666668</v>
      </c>
      <c r="M14" s="49">
        <f t="shared" si="7"/>
        <v>0.99595567418911191</v>
      </c>
      <c r="N14" s="49">
        <f t="shared" si="7"/>
        <v>1.004044325810888</v>
      </c>
      <c r="O14" s="49">
        <f>(H14-Sp2_BrgA)/Sp2_Lb</f>
        <v>1</v>
      </c>
      <c r="P14" s="41">
        <f>(Sp2_ZA+(Sp2_ZB-Sp2_ZA)*(M14)-Sup_Drop+Sp2_C/3*(M14)*(1-(M14))+(Bm1_Raise)/12)</f>
        <v>43.966082249263344</v>
      </c>
      <c r="Q14" s="41">
        <f>(Sp2_ZA+(Sp2_ZB-Sp2_ZA)*(N14)-Sup_Drop+Sp2_C/3*(N14)*(1-(N14))+(Bm1_Raise)/12)</f>
        <v>43.960385372129309</v>
      </c>
      <c r="R14" s="41">
        <f>(Sp2_ZA+(Sp2_ZB-Sp2_ZA)*(O14)-Sup_Drop+Sp2_C/3*(O14)*(1-(O14))+(Bm1_Raise)/12)</f>
        <v>43.963236903023144</v>
      </c>
      <c r="S14" s="43">
        <f t="shared" si="3"/>
        <v>43.963233810696323</v>
      </c>
      <c r="T14" s="43">
        <f t="shared" si="4"/>
        <v>-6.8362525608421263E-3</v>
      </c>
      <c r="U14" s="43">
        <f t="shared" si="5"/>
        <v>3.710792185529499E-5</v>
      </c>
      <c r="V14" s="43">
        <f t="shared" si="6"/>
        <v>43.749692144029659</v>
      </c>
      <c r="W14" s="42" t="str">
        <f>IF(AND(K14&gt;=Sp2_Bm0-0.000000001,L14&lt;=Sp2_Bm1+0.000000001),"PASS","FAIL")</f>
        <v>PASS</v>
      </c>
    </row>
    <row r="15" spans="1:23" x14ac:dyDescent="0.45">
      <c r="B15" s="11" t="s">
        <v>810</v>
      </c>
      <c r="C15" s="11">
        <v>2</v>
      </c>
      <c r="D15" s="11" t="s">
        <v>1000</v>
      </c>
      <c r="E15" s="11">
        <v>2</v>
      </c>
      <c r="F15" s="11" t="s">
        <v>833</v>
      </c>
      <c r="G15" s="40">
        <f>Bm2_Off</f>
        <v>4.291666666666667</v>
      </c>
      <c r="H15" s="40">
        <f>Sp2_BrgB</f>
        <v>1804.47</v>
      </c>
      <c r="I15" s="2">
        <f>EB2_PadL</f>
        <v>10</v>
      </c>
      <c r="J15" s="53">
        <f>EB2_Pad</f>
        <v>2.5625</v>
      </c>
      <c r="K15" s="41">
        <f t="shared" si="0"/>
        <v>1804.0533333333333</v>
      </c>
      <c r="L15" s="41">
        <f t="shared" si="1"/>
        <v>1804.8866666666668</v>
      </c>
      <c r="M15" s="49">
        <f t="shared" si="7"/>
        <v>0.99595567418911191</v>
      </c>
      <c r="N15" s="49">
        <f t="shared" si="7"/>
        <v>1.004044325810888</v>
      </c>
      <c r="O15" s="49">
        <f>(H15-Sp2_BrgA)/Sp2_Lb</f>
        <v>1</v>
      </c>
      <c r="P15" s="41">
        <f>(Sp2_ZA+(Sp2_ZB-Sp2_ZA)*(M15)-Sup_Drop+Sp2_C/3*(M15)*(1-(M15))+(Bm2_Raise)/12)</f>
        <v>43.966082249263344</v>
      </c>
      <c r="Q15" s="41">
        <f>(Sp2_ZA+(Sp2_ZB-Sp2_ZA)*(N15)-Sup_Drop+Sp2_C/3*(N15)*(1-(N15))+(Bm2_Raise)/12)</f>
        <v>43.960385372129309</v>
      </c>
      <c r="R15" s="41">
        <f>(Sp2_ZA+(Sp2_ZB-Sp2_ZA)*(O15)-Sup_Drop+Sp2_C/3*(O15)*(1-(O15))+(Bm2_Raise)/12)</f>
        <v>43.963236903023144</v>
      </c>
      <c r="S15" s="43">
        <f t="shared" si="3"/>
        <v>43.963233810696323</v>
      </c>
      <c r="T15" s="43">
        <f t="shared" si="4"/>
        <v>-6.8362525608421263E-3</v>
      </c>
      <c r="U15" s="43">
        <f t="shared" si="5"/>
        <v>3.710792185529499E-5</v>
      </c>
      <c r="V15" s="43">
        <f t="shared" si="6"/>
        <v>43.749692144029659</v>
      </c>
      <c r="W15" s="42" t="str">
        <f>IF(AND(K15&gt;=Sp2_Bm0-0.000000001,L15&lt;=Sp2_Bm1+0.000000001),"PASS","FAIL")</f>
        <v>PASS</v>
      </c>
    </row>
    <row r="17" spans="1:22" x14ac:dyDescent="0.45">
      <c r="A17" s="17" t="s">
        <v>1001</v>
      </c>
      <c r="B17" s="18"/>
      <c r="C17" s="18"/>
      <c r="D17" s="18"/>
      <c r="E17" s="18"/>
      <c r="F17" s="18"/>
      <c r="G17" s="18"/>
      <c r="H17" s="18"/>
      <c r="I17" s="18"/>
      <c r="J17" s="18"/>
      <c r="K17" s="18"/>
      <c r="L17" s="18"/>
      <c r="M17" s="18"/>
      <c r="N17" s="18"/>
      <c r="O17" s="18"/>
      <c r="P17" s="18"/>
      <c r="Q17" s="18"/>
      <c r="R17" s="18"/>
      <c r="S17" s="18"/>
      <c r="T17" s="18"/>
      <c r="U17" s="18"/>
      <c r="V17" s="18"/>
    </row>
    <row r="18" spans="1:22" ht="32" customHeight="1" x14ac:dyDescent="0.45">
      <c r="B18" s="19" t="s">
        <v>980</v>
      </c>
      <c r="C18" s="19" t="s">
        <v>982</v>
      </c>
      <c r="D18" s="19" t="s">
        <v>1002</v>
      </c>
      <c r="E18" s="19" t="s">
        <v>1003</v>
      </c>
      <c r="F18" s="19" t="s">
        <v>983</v>
      </c>
      <c r="G18" s="19" t="s">
        <v>1004</v>
      </c>
      <c r="H18" s="19" t="s">
        <v>1005</v>
      </c>
      <c r="I18" s="19" t="s">
        <v>1006</v>
      </c>
      <c r="J18" s="19" t="s">
        <v>1007</v>
      </c>
      <c r="K18" s="19" t="s">
        <v>1008</v>
      </c>
      <c r="L18" s="19" t="s">
        <v>1009</v>
      </c>
      <c r="M18" s="19" t="s">
        <v>1010</v>
      </c>
    </row>
    <row r="19" spans="1:22" x14ac:dyDescent="0.45">
      <c r="B19" s="11" t="s">
        <v>808</v>
      </c>
      <c r="C19" s="11" t="s">
        <v>830</v>
      </c>
      <c r="D19" s="40">
        <f>Sp1_Sta0</f>
        <v>1593.22</v>
      </c>
      <c r="E19" s="41">
        <f>Sp1_Sta0+EB1_PedL/12</f>
        <v>1595.72</v>
      </c>
      <c r="F19" s="41">
        <f>H8</f>
        <v>1594.22</v>
      </c>
      <c r="G19" s="43">
        <f>V8</f>
        <v>43.737692232218137</v>
      </c>
      <c r="H19" s="43">
        <f>T8</f>
        <v>5.3925868494673068E-3</v>
      </c>
      <c r="I19" s="41">
        <f>G19+H19*(D19-F19)</f>
        <v>43.73229964536867</v>
      </c>
      <c r="J19" s="41">
        <f>G19+H19*(E19-F19)</f>
        <v>43.745781112492338</v>
      </c>
      <c r="K19" s="41">
        <f t="shared" ref="K19:L22" si="8">I19</f>
        <v>43.73229964536867</v>
      </c>
      <c r="L19" s="41">
        <f t="shared" si="8"/>
        <v>43.745781112492338</v>
      </c>
      <c r="M19" s="42" t="str">
        <f>IF(AND(K8&gt;=MIN(D19,E19)-0.000000001,L8&lt;=MAX(D19,E19)+0.000000001),"PASS","FAIL")</f>
        <v>PASS</v>
      </c>
    </row>
    <row r="20" spans="1:22" x14ac:dyDescent="0.45">
      <c r="B20" s="11" t="s">
        <v>808</v>
      </c>
      <c r="C20" s="11" t="s">
        <v>831</v>
      </c>
      <c r="D20" s="40">
        <f>Sp1_Sta0</f>
        <v>1593.22</v>
      </c>
      <c r="E20" s="41">
        <f>Sp1_Sta0+EB1_PedL/12</f>
        <v>1595.72</v>
      </c>
      <c r="F20" s="41">
        <f>H9</f>
        <v>1594.22</v>
      </c>
      <c r="G20" s="43">
        <f>V9</f>
        <v>43.737692232218137</v>
      </c>
      <c r="H20" s="43">
        <f>T9</f>
        <v>5.3925868494673068E-3</v>
      </c>
      <c r="I20" s="41">
        <f>G20+H20*(D20-F20)</f>
        <v>43.73229964536867</v>
      </c>
      <c r="J20" s="41">
        <f>G20+H20*(E20-F20)</f>
        <v>43.745781112492338</v>
      </c>
      <c r="K20" s="41">
        <f t="shared" si="8"/>
        <v>43.73229964536867</v>
      </c>
      <c r="L20" s="41">
        <f t="shared" si="8"/>
        <v>43.745781112492338</v>
      </c>
      <c r="M20" s="42" t="str">
        <f>IF(AND(K9&gt;=MIN(D20,E20)-0.000000001,L9&lt;=MAX(D20,E20)+0.000000001),"PASS","FAIL")</f>
        <v>PASS</v>
      </c>
    </row>
    <row r="21" spans="1:22" x14ac:dyDescent="0.45">
      <c r="B21" s="11" t="s">
        <v>810</v>
      </c>
      <c r="C21" s="11" t="s">
        <v>832</v>
      </c>
      <c r="D21" s="40">
        <f>Sp2_Sta1</f>
        <v>1805.47</v>
      </c>
      <c r="E21" s="41">
        <f>Sp2_Sta1-EB2_PedL/12</f>
        <v>1802.97</v>
      </c>
      <c r="F21" s="41">
        <f>H14</f>
        <v>1804.47</v>
      </c>
      <c r="G21" s="43">
        <f>V14</f>
        <v>43.749692144029659</v>
      </c>
      <c r="H21" s="43">
        <f>T14</f>
        <v>-6.8362525608421263E-3</v>
      </c>
      <c r="I21" s="41">
        <f>G21+H21*(D21-F21)</f>
        <v>43.742855891468814</v>
      </c>
      <c r="J21" s="41">
        <f>G21+H21*(E21-F21)</f>
        <v>43.759946522870919</v>
      </c>
      <c r="K21" s="41">
        <f t="shared" si="8"/>
        <v>43.742855891468814</v>
      </c>
      <c r="L21" s="41">
        <f t="shared" si="8"/>
        <v>43.759946522870919</v>
      </c>
      <c r="M21" s="42" t="str">
        <f>IF(AND(K14&gt;=MIN(D21,E21)-0.000000001,L14&lt;=MAX(D21,E21)+0.000000001),"PASS","FAIL")</f>
        <v>PASS</v>
      </c>
    </row>
    <row r="22" spans="1:22" x14ac:dyDescent="0.45">
      <c r="B22" s="11" t="s">
        <v>810</v>
      </c>
      <c r="C22" s="11" t="s">
        <v>833</v>
      </c>
      <c r="D22" s="40">
        <f>Sp2_Sta1</f>
        <v>1805.47</v>
      </c>
      <c r="E22" s="41">
        <f>Sp2_Sta1-EB2_PedL/12</f>
        <v>1802.97</v>
      </c>
      <c r="F22" s="41">
        <f>H15</f>
        <v>1804.47</v>
      </c>
      <c r="G22" s="43">
        <f>V15</f>
        <v>43.749692144029659</v>
      </c>
      <c r="H22" s="43">
        <f>T15</f>
        <v>-6.8362525608421263E-3</v>
      </c>
      <c r="I22" s="41">
        <f>G22+H22*(D22-F22)</f>
        <v>43.742855891468814</v>
      </c>
      <c r="J22" s="41">
        <f>G22+H22*(E22-F22)</f>
        <v>43.759946522870919</v>
      </c>
      <c r="K22" s="41">
        <f t="shared" si="8"/>
        <v>43.742855891468814</v>
      </c>
      <c r="L22" s="41">
        <f t="shared" si="8"/>
        <v>43.759946522870919</v>
      </c>
      <c r="M22" s="42" t="str">
        <f>IF(AND(K15&gt;=MIN(D22,E22)-0.000000001,L15&lt;=MAX(D22,E22)+0.000000001),"PASS","FAIL")</f>
        <v>PASS</v>
      </c>
    </row>
    <row r="24" spans="1:22" x14ac:dyDescent="0.45">
      <c r="A24" s="17" t="s">
        <v>1011</v>
      </c>
      <c r="B24" s="18"/>
      <c r="C24" s="18"/>
      <c r="D24" s="18"/>
      <c r="E24" s="18"/>
      <c r="F24" s="18"/>
      <c r="G24" s="18"/>
      <c r="H24" s="18"/>
      <c r="I24" s="18"/>
      <c r="J24" s="18"/>
      <c r="K24" s="18"/>
      <c r="L24" s="18"/>
      <c r="M24" s="18"/>
      <c r="N24" s="18"/>
      <c r="O24" s="18"/>
      <c r="P24" s="18"/>
      <c r="Q24" s="18"/>
      <c r="R24" s="18"/>
      <c r="S24" s="18"/>
      <c r="T24" s="18"/>
      <c r="U24" s="18"/>
      <c r="V24" s="18"/>
    </row>
    <row r="25" spans="1:22" ht="32" customHeight="1" x14ac:dyDescent="0.45">
      <c r="B25" s="19" t="s">
        <v>737</v>
      </c>
      <c r="C25" s="19" t="s">
        <v>1012</v>
      </c>
      <c r="D25" s="19" t="s">
        <v>1013</v>
      </c>
      <c r="E25" s="19" t="s">
        <v>1014</v>
      </c>
      <c r="F25" s="19" t="s">
        <v>1015</v>
      </c>
      <c r="G25" s="19" t="s">
        <v>1016</v>
      </c>
      <c r="H25" s="19" t="s">
        <v>1017</v>
      </c>
      <c r="I25" s="19" t="s">
        <v>1018</v>
      </c>
      <c r="J25" s="19" t="s">
        <v>1019</v>
      </c>
      <c r="K25" s="19" t="s">
        <v>1020</v>
      </c>
      <c r="L25" s="19" t="s">
        <v>1021</v>
      </c>
    </row>
    <row r="26" spans="1:22" x14ac:dyDescent="0.45">
      <c r="B26" s="11" t="s">
        <v>1022</v>
      </c>
      <c r="C26" s="41">
        <f>Pier_Sta-Pier_PedL/24</f>
        <v>1698.57</v>
      </c>
      <c r="D26" s="41">
        <f>L10</f>
        <v>1700.1116666666667</v>
      </c>
      <c r="E26" s="41">
        <f>K12</f>
        <v>1701.0283333333332</v>
      </c>
      <c r="F26" s="41">
        <f>Pier_Sta+Pier_PedL/24</f>
        <v>1702.57</v>
      </c>
      <c r="G26" s="41">
        <f>V10+T10*(C26-H10)</f>
        <v>44.259763695637588</v>
      </c>
      <c r="H26" s="41">
        <f>V10+T10*(D26-H10)</f>
        <v>44.266863200630297</v>
      </c>
      <c r="I26" s="41">
        <f>V12+T12*(E26-H12)</f>
        <v>44.266259130867788</v>
      </c>
      <c r="J26" s="41">
        <f>V12+T12*(F26-H12)</f>
        <v>44.261378012764986</v>
      </c>
      <c r="K26" s="41">
        <f>H26+(I26-H26)*(Pier_Sta-D26)/(E26-D26)</f>
        <v>44.266561165749039</v>
      </c>
      <c r="L26" s="42" t="str">
        <f>IF(AND(C26&lt;D26,D26&lt;E26,E26&lt;F26,K10&gt;=C26-0.000000001,L12&lt;=F26+0.000000001),"PASS","FAIL")</f>
        <v>PASS</v>
      </c>
    </row>
    <row r="27" spans="1:22" x14ac:dyDescent="0.45">
      <c r="B27" s="11" t="s">
        <v>1023</v>
      </c>
      <c r="C27" s="41">
        <f>Pier_Sta-Pier_PedL/24</f>
        <v>1698.57</v>
      </c>
      <c r="D27" s="41">
        <f>L11</f>
        <v>1700.1116666666667</v>
      </c>
      <c r="E27" s="41">
        <f>K13</f>
        <v>1701.0283333333332</v>
      </c>
      <c r="F27" s="41">
        <f>Pier_Sta+Pier_PedL/24</f>
        <v>1702.57</v>
      </c>
      <c r="G27" s="41">
        <f>V11+T11*(C27-H11)</f>
        <v>44.259763695637588</v>
      </c>
      <c r="H27" s="41">
        <f>V11+T11*(D27-H11)</f>
        <v>44.266863200630297</v>
      </c>
      <c r="I27" s="41">
        <f>V13+T13*(E27-H13)</f>
        <v>44.266259130867788</v>
      </c>
      <c r="J27" s="41">
        <f>V13+T13*(F27-H13)</f>
        <v>44.261378012764986</v>
      </c>
      <c r="K27" s="41">
        <f>H27+(I27-H27)*(Pier_Sta-D27)/(E27-D27)</f>
        <v>44.266561165749039</v>
      </c>
      <c r="L27" s="42" t="str">
        <f>IF(AND(C27&lt;D27,D27&lt;E27,E27&lt;F27,K11&gt;=C27-0.000000001,L13&lt;=F27+0.000000001),"PASS","FAIL")</f>
        <v>PASS</v>
      </c>
    </row>
    <row r="29" spans="1:22" x14ac:dyDescent="0.45">
      <c r="A29" s="17" t="s">
        <v>1024</v>
      </c>
      <c r="B29" s="18"/>
      <c r="C29" s="18"/>
      <c r="D29" s="18"/>
      <c r="E29" s="18"/>
      <c r="F29" s="18"/>
      <c r="G29" s="18"/>
      <c r="H29" s="18"/>
      <c r="I29" s="18"/>
      <c r="J29" s="18"/>
      <c r="K29" s="18"/>
      <c r="L29" s="18"/>
      <c r="M29" s="18"/>
      <c r="N29" s="18"/>
      <c r="O29" s="18"/>
      <c r="P29" s="18"/>
      <c r="Q29" s="18"/>
      <c r="R29" s="18"/>
      <c r="S29" s="18"/>
      <c r="T29" s="18"/>
      <c r="U29" s="18"/>
      <c r="V29" s="18"/>
    </row>
    <row r="30" spans="1:22" ht="32" customHeight="1" x14ac:dyDescent="0.45">
      <c r="B30" s="19" t="s">
        <v>1025</v>
      </c>
      <c r="C30" s="19" t="s">
        <v>789</v>
      </c>
      <c r="D30" s="19" t="s">
        <v>737</v>
      </c>
      <c r="E30" s="19" t="s">
        <v>649</v>
      </c>
      <c r="F30" s="19" t="s">
        <v>795</v>
      </c>
      <c r="G30" s="19" t="s">
        <v>1026</v>
      </c>
      <c r="H30" s="19" t="s">
        <v>1027</v>
      </c>
      <c r="I30" s="19" t="s">
        <v>1028</v>
      </c>
      <c r="J30" s="19" t="s">
        <v>1029</v>
      </c>
      <c r="K30" s="19" t="s">
        <v>1030</v>
      </c>
      <c r="L30" s="19" t="s">
        <v>1031</v>
      </c>
      <c r="M30" s="19" t="s">
        <v>1032</v>
      </c>
    </row>
    <row r="31" spans="1:22" x14ac:dyDescent="0.45">
      <c r="B31" s="11" t="s">
        <v>1033</v>
      </c>
      <c r="C31" s="11">
        <v>1</v>
      </c>
      <c r="D31" s="11">
        <v>1</v>
      </c>
      <c r="E31" s="2" t="str">
        <f t="shared" ref="E31:E38" si="9">Des_PadType</f>
        <v>F</v>
      </c>
      <c r="F31" s="11">
        <v>1</v>
      </c>
      <c r="G31" s="2">
        <f t="shared" ref="G31:G38" si="10">Des_PlanCase</f>
        <v>1</v>
      </c>
      <c r="H31" s="45">
        <f t="shared" ref="H31:H38" si="11">T8*100</f>
        <v>0.53925868494673068</v>
      </c>
      <c r="I31" s="54" t="str">
        <f t="shared" ref="I31:I38" si="12">IF(ABS(T8)&gt;Des_BevelLimit,"YES","NO")</f>
        <v>NO</v>
      </c>
      <c r="J31" s="11" t="str">
        <f t="shared" ref="J31:J38" si="13">IF(I31="YES",IF(OR(E31="D",E31="E",E31="F",E31="G",E31="H",E31="J",E31="AA",E31="AB"),12,IF(E31="K",13.5,"N/A")),"N/A")</f>
        <v>N/A</v>
      </c>
      <c r="K31" s="11" t="str">
        <f t="shared" ref="K31:K38" si="14">IF(I31="NO","N/A",IF(T8&gt;0,0.5+J31*T8,0.5))</f>
        <v>N/A</v>
      </c>
      <c r="L31" s="11" t="str">
        <f t="shared" ref="L31:L38" si="15">IF(I31="NO","N/A",IF(T8&lt;0,0.5-J31*T8,0.5))</f>
        <v>N/A</v>
      </c>
      <c r="M31" s="42" t="str">
        <f>IF(AND(ABS(INDEX(Pad_Table,MATCH(E31,INDEX(Pad_Table,0,1),0),2)-EB1_PadL)&lt;0.000000001,ABS(INDEX(Pad_Table,MATCH(E31,INDEX(Pad_Table,0,1),0),3)-EB1_PadW)&lt;0.000000001,ABS(INDEX(Pad_Table,MATCH(E31,INDEX(Pad_Table,0,1),0),4)-EB1_Pad)&lt;0.000000001),"PASS","FAIL")</f>
        <v>PASS</v>
      </c>
    </row>
    <row r="32" spans="1:22" x14ac:dyDescent="0.45">
      <c r="B32" s="11" t="s">
        <v>1034</v>
      </c>
      <c r="C32" s="11">
        <v>1</v>
      </c>
      <c r="D32" s="11">
        <v>2</v>
      </c>
      <c r="E32" s="2" t="str">
        <f t="shared" si="9"/>
        <v>F</v>
      </c>
      <c r="F32" s="11">
        <v>1</v>
      </c>
      <c r="G32" s="2">
        <f t="shared" si="10"/>
        <v>1</v>
      </c>
      <c r="H32" s="45">
        <f t="shared" si="11"/>
        <v>0.53925868494673068</v>
      </c>
      <c r="I32" s="54" t="str">
        <f t="shared" si="12"/>
        <v>NO</v>
      </c>
      <c r="J32" s="11" t="str">
        <f t="shared" si="13"/>
        <v>N/A</v>
      </c>
      <c r="K32" s="11" t="str">
        <f t="shared" si="14"/>
        <v>N/A</v>
      </c>
      <c r="L32" s="11" t="str">
        <f t="shared" si="15"/>
        <v>N/A</v>
      </c>
      <c r="M32" s="42" t="str">
        <f>IF(AND(ABS(INDEX(Pad_Table,MATCH(E32,INDEX(Pad_Table,0,1),0),2)-EB1_PadL)&lt;0.000000001,ABS(INDEX(Pad_Table,MATCH(E32,INDEX(Pad_Table,0,1),0),3)-EB1_PadW)&lt;0.000000001,ABS(INDEX(Pad_Table,MATCH(E32,INDEX(Pad_Table,0,1),0),4)-EB1_Pad)&lt;0.000000001),"PASS","FAIL")</f>
        <v>PASS</v>
      </c>
    </row>
    <row r="33" spans="2:13" x14ac:dyDescent="0.45">
      <c r="B33" s="11" t="s">
        <v>1035</v>
      </c>
      <c r="C33" s="11">
        <v>1</v>
      </c>
      <c r="D33" s="11">
        <v>1</v>
      </c>
      <c r="E33" s="2" t="str">
        <f t="shared" si="9"/>
        <v>F</v>
      </c>
      <c r="F33" s="11">
        <v>2</v>
      </c>
      <c r="G33" s="2">
        <f t="shared" si="10"/>
        <v>1</v>
      </c>
      <c r="H33" s="45">
        <f t="shared" si="11"/>
        <v>0.46050843195928337</v>
      </c>
      <c r="I33" s="54" t="str">
        <f t="shared" si="12"/>
        <v>NO</v>
      </c>
      <c r="J33" s="11" t="str">
        <f t="shared" si="13"/>
        <v>N/A</v>
      </c>
      <c r="K33" s="11" t="str">
        <f t="shared" si="14"/>
        <v>N/A</v>
      </c>
      <c r="L33" s="11" t="str">
        <f t="shared" si="15"/>
        <v>N/A</v>
      </c>
      <c r="M33" s="42" t="str">
        <f>IF(AND(ABS(INDEX(Pad_Table,MATCH(E33,INDEX(Pad_Table,0,1),0),2)-Pier_PadL)&lt;0.000000001,ABS(INDEX(Pad_Table,MATCH(E33,INDEX(Pad_Table,0,1),0),3)-Pier_PadW)&lt;0.000000001,ABS(INDEX(Pad_Table,MATCH(E33,INDEX(Pad_Table,0,1),0),4)-Pier_Pad)&lt;0.000000001),"PASS","FAIL")</f>
        <v>PASS</v>
      </c>
    </row>
    <row r="34" spans="2:13" x14ac:dyDescent="0.45">
      <c r="B34" s="11" t="s">
        <v>1036</v>
      </c>
      <c r="C34" s="11">
        <v>1</v>
      </c>
      <c r="D34" s="11">
        <v>2</v>
      </c>
      <c r="E34" s="2" t="str">
        <f t="shared" si="9"/>
        <v>F</v>
      </c>
      <c r="F34" s="11">
        <v>2</v>
      </c>
      <c r="G34" s="2">
        <f t="shared" si="10"/>
        <v>1</v>
      </c>
      <c r="H34" s="45">
        <f t="shared" si="11"/>
        <v>0.46050843195928337</v>
      </c>
      <c r="I34" s="54" t="str">
        <f t="shared" si="12"/>
        <v>NO</v>
      </c>
      <c r="J34" s="11" t="str">
        <f t="shared" si="13"/>
        <v>N/A</v>
      </c>
      <c r="K34" s="11" t="str">
        <f t="shared" si="14"/>
        <v>N/A</v>
      </c>
      <c r="L34" s="11" t="str">
        <f t="shared" si="15"/>
        <v>N/A</v>
      </c>
      <c r="M34" s="42" t="str">
        <f>IF(AND(ABS(INDEX(Pad_Table,MATCH(E34,INDEX(Pad_Table,0,1),0),2)-Pier_PadL)&lt;0.000000001,ABS(INDEX(Pad_Table,MATCH(E34,INDEX(Pad_Table,0,1),0),3)-Pier_PadW)&lt;0.000000001,ABS(INDEX(Pad_Table,MATCH(E34,INDEX(Pad_Table,0,1),0),4)-Pier_Pad)&lt;0.000000001),"PASS","FAIL")</f>
        <v>PASS</v>
      </c>
    </row>
    <row r="35" spans="2:13" x14ac:dyDescent="0.45">
      <c r="B35" s="11" t="s">
        <v>1037</v>
      </c>
      <c r="C35" s="11">
        <v>2</v>
      </c>
      <c r="D35" s="11">
        <v>1</v>
      </c>
      <c r="E35" s="2" t="str">
        <f t="shared" si="9"/>
        <v>F</v>
      </c>
      <c r="F35" s="11">
        <v>1</v>
      </c>
      <c r="G35" s="2">
        <f t="shared" si="10"/>
        <v>1</v>
      </c>
      <c r="H35" s="45">
        <f t="shared" si="11"/>
        <v>-0.31661306612761564</v>
      </c>
      <c r="I35" s="54" t="str">
        <f t="shared" si="12"/>
        <v>NO</v>
      </c>
      <c r="J35" s="11" t="str">
        <f t="shared" si="13"/>
        <v>N/A</v>
      </c>
      <c r="K35" s="11" t="str">
        <f t="shared" si="14"/>
        <v>N/A</v>
      </c>
      <c r="L35" s="11" t="str">
        <f t="shared" si="15"/>
        <v>N/A</v>
      </c>
      <c r="M35" s="42" t="str">
        <f>IF(AND(ABS(INDEX(Pad_Table,MATCH(E35,INDEX(Pad_Table,0,1),0),2)-Pier_PadL)&lt;0.000000001,ABS(INDEX(Pad_Table,MATCH(E35,INDEX(Pad_Table,0,1),0),3)-Pier_PadW)&lt;0.000000001,ABS(INDEX(Pad_Table,MATCH(E35,INDEX(Pad_Table,0,1),0),4)-Pier_Pad)&lt;0.000000001),"PASS","FAIL")</f>
        <v>PASS</v>
      </c>
    </row>
    <row r="36" spans="2:13" x14ac:dyDescent="0.45">
      <c r="B36" s="11" t="s">
        <v>1038</v>
      </c>
      <c r="C36" s="11">
        <v>2</v>
      </c>
      <c r="D36" s="11">
        <v>2</v>
      </c>
      <c r="E36" s="2" t="str">
        <f t="shared" si="9"/>
        <v>F</v>
      </c>
      <c r="F36" s="11">
        <v>1</v>
      </c>
      <c r="G36" s="2">
        <f t="shared" si="10"/>
        <v>1</v>
      </c>
      <c r="H36" s="45">
        <f t="shared" si="11"/>
        <v>-0.31661306612761564</v>
      </c>
      <c r="I36" s="54" t="str">
        <f t="shared" si="12"/>
        <v>NO</v>
      </c>
      <c r="J36" s="11" t="str">
        <f t="shared" si="13"/>
        <v>N/A</v>
      </c>
      <c r="K36" s="11" t="str">
        <f t="shared" si="14"/>
        <v>N/A</v>
      </c>
      <c r="L36" s="11" t="str">
        <f t="shared" si="15"/>
        <v>N/A</v>
      </c>
      <c r="M36" s="42" t="str">
        <f>IF(AND(ABS(INDEX(Pad_Table,MATCH(E36,INDEX(Pad_Table,0,1),0),2)-Pier_PadL)&lt;0.000000001,ABS(INDEX(Pad_Table,MATCH(E36,INDEX(Pad_Table,0,1),0),3)-Pier_PadW)&lt;0.000000001,ABS(INDEX(Pad_Table,MATCH(E36,INDEX(Pad_Table,0,1),0),4)-Pier_Pad)&lt;0.000000001),"PASS","FAIL")</f>
        <v>PASS</v>
      </c>
    </row>
    <row r="37" spans="2:13" x14ac:dyDescent="0.45">
      <c r="B37" s="11" t="s">
        <v>1039</v>
      </c>
      <c r="C37" s="11">
        <v>2</v>
      </c>
      <c r="D37" s="11">
        <v>1</v>
      </c>
      <c r="E37" s="2" t="str">
        <f t="shared" si="9"/>
        <v>F</v>
      </c>
      <c r="F37" s="11">
        <v>2</v>
      </c>
      <c r="G37" s="2">
        <f t="shared" si="10"/>
        <v>1</v>
      </c>
      <c r="H37" s="45">
        <f t="shared" si="11"/>
        <v>-0.68362525608421265</v>
      </c>
      <c r="I37" s="54" t="str">
        <f t="shared" si="12"/>
        <v>NO</v>
      </c>
      <c r="J37" s="11" t="str">
        <f t="shared" si="13"/>
        <v>N/A</v>
      </c>
      <c r="K37" s="11" t="str">
        <f t="shared" si="14"/>
        <v>N/A</v>
      </c>
      <c r="L37" s="11" t="str">
        <f t="shared" si="15"/>
        <v>N/A</v>
      </c>
      <c r="M37" s="42" t="str">
        <f>IF(AND(ABS(INDEX(Pad_Table,MATCH(E37,INDEX(Pad_Table,0,1),0),2)-EB2_PadL)&lt;0.000000001,ABS(INDEX(Pad_Table,MATCH(E37,INDEX(Pad_Table,0,1),0),3)-EB2_PadW)&lt;0.000000001,ABS(INDEX(Pad_Table,MATCH(E37,INDEX(Pad_Table,0,1),0),4)-EB2_Pad)&lt;0.000000001),"PASS","FAIL")</f>
        <v>PASS</v>
      </c>
    </row>
    <row r="38" spans="2:13" x14ac:dyDescent="0.45">
      <c r="B38" s="11" t="s">
        <v>1040</v>
      </c>
      <c r="C38" s="11">
        <v>2</v>
      </c>
      <c r="D38" s="11">
        <v>2</v>
      </c>
      <c r="E38" s="2" t="str">
        <f t="shared" si="9"/>
        <v>F</v>
      </c>
      <c r="F38" s="11">
        <v>2</v>
      </c>
      <c r="G38" s="2">
        <f t="shared" si="10"/>
        <v>1</v>
      </c>
      <c r="H38" s="45">
        <f t="shared" si="11"/>
        <v>-0.68362525608421265</v>
      </c>
      <c r="I38" s="54" t="str">
        <f t="shared" si="12"/>
        <v>NO</v>
      </c>
      <c r="J38" s="11" t="str">
        <f t="shared" si="13"/>
        <v>N/A</v>
      </c>
      <c r="K38" s="11" t="str">
        <f t="shared" si="14"/>
        <v>N/A</v>
      </c>
      <c r="L38" s="11" t="str">
        <f t="shared" si="15"/>
        <v>N/A</v>
      </c>
      <c r="M38" s="42" t="str">
        <f>IF(AND(ABS(INDEX(Pad_Table,MATCH(E38,INDEX(Pad_Table,0,1),0),2)-EB2_PadL)&lt;0.000000001,ABS(INDEX(Pad_Table,MATCH(E38,INDEX(Pad_Table,0,1),0),3)-EB2_PadW)&lt;0.000000001,ABS(INDEX(Pad_Table,MATCH(E38,INDEX(Pad_Table,0,1),0),4)-EB2_Pad)&lt;0.000000001),"PASS","FAIL")</f>
        <v>PASS</v>
      </c>
    </row>
  </sheetData>
  <conditionalFormatting sqref="L26:L27">
    <cfRule type="cellIs" dxfId="32" priority="7" operator="equal">
      <formula>"PASS"</formula>
    </cfRule>
    <cfRule type="cellIs" dxfId="31" priority="8" operator="equal">
      <formula>"FAIL"</formula>
    </cfRule>
    <cfRule type="cellIs" dxfId="30" priority="9" operator="equal">
      <formula>"CHECK"</formula>
    </cfRule>
  </conditionalFormatting>
  <conditionalFormatting sqref="M19:M22">
    <cfRule type="cellIs" dxfId="29" priority="4" operator="equal">
      <formula>"PASS"</formula>
    </cfRule>
    <cfRule type="cellIs" dxfId="28" priority="5" operator="equal">
      <formula>"FAIL"</formula>
    </cfRule>
    <cfRule type="cellIs" dxfId="27" priority="6" operator="equal">
      <formula>"CHECK"</formula>
    </cfRule>
  </conditionalFormatting>
  <conditionalFormatting sqref="M31:M38">
    <cfRule type="cellIs" dxfId="26" priority="10" operator="equal">
      <formula>"PASS"</formula>
    </cfRule>
    <cfRule type="cellIs" dxfId="25" priority="11" operator="equal">
      <formula>"FAIL"</formula>
    </cfRule>
    <cfRule type="cellIs" dxfId="24" priority="12" operator="equal">
      <formula>"CHECK"</formula>
    </cfRule>
  </conditionalFormatting>
  <conditionalFormatting sqref="W8:W15">
    <cfRule type="cellIs" dxfId="23" priority="1" operator="equal">
      <formula>"PASS"</formula>
    </cfRule>
    <cfRule type="cellIs" dxfId="22" priority="2" operator="equal">
      <formula>"FAIL"</formula>
    </cfRule>
    <cfRule type="cellIs" dxfId="21" priority="3" operator="equal">
      <formula>"CHECK"</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A96A3"/>
  </sheetPr>
  <dimension ref="B1:M74"/>
  <sheetViews>
    <sheetView showGridLines="0" workbookViewId="0"/>
  </sheetViews>
  <sheetFormatPr defaultRowHeight="14.25" x14ac:dyDescent="0.45"/>
  <cols>
    <col min="1" max="1" width="2" customWidth="1"/>
    <col min="2" max="13" width="11.46484375" customWidth="1"/>
  </cols>
  <sheetData>
    <row r="1" spans="2:13" ht="20.65" x14ac:dyDescent="0.6">
      <c r="B1" s="35" t="s">
        <v>1041</v>
      </c>
    </row>
    <row r="2" spans="2:13" x14ac:dyDescent="0.45">
      <c r="B2" s="8" t="s">
        <v>1042</v>
      </c>
    </row>
    <row r="5" spans="2:13" ht="18" customHeight="1" x14ac:dyDescent="0.45">
      <c r="B5" s="36" t="s">
        <v>1043</v>
      </c>
      <c r="C5" s="18"/>
      <c r="D5" s="18"/>
      <c r="E5" s="18"/>
      <c r="F5" s="18"/>
      <c r="G5" s="18"/>
      <c r="H5" s="18"/>
      <c r="I5" s="18"/>
      <c r="J5" s="18"/>
      <c r="K5" s="18"/>
      <c r="L5" s="18"/>
      <c r="M5" s="18"/>
    </row>
    <row r="6" spans="2:13" ht="29.45" customHeight="1" x14ac:dyDescent="0.45">
      <c r="B6" s="76" t="s">
        <v>1044</v>
      </c>
      <c r="C6" s="75"/>
      <c r="D6" s="75"/>
      <c r="E6" s="75"/>
      <c r="F6" s="75"/>
      <c r="G6" s="75"/>
      <c r="H6" s="75"/>
      <c r="I6" s="75"/>
      <c r="J6" s="75"/>
      <c r="K6" s="75"/>
      <c r="L6" s="75"/>
      <c r="M6" s="75"/>
    </row>
    <row r="7" spans="2:13" ht="15" customHeight="1" x14ac:dyDescent="0.45"/>
    <row r="8" spans="2:13" ht="15" customHeight="1" x14ac:dyDescent="0.45"/>
    <row r="9" spans="2:13" ht="15" customHeight="1" x14ac:dyDescent="0.45"/>
    <row r="10" spans="2:13" ht="15" customHeight="1" x14ac:dyDescent="0.45"/>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15" customHeight="1" x14ac:dyDescent="0.45"/>
    <row r="26" spans="2:13" ht="16.25" customHeight="1" x14ac:dyDescent="0.45">
      <c r="B26" s="74" t="s">
        <v>1045</v>
      </c>
      <c r="C26" s="75"/>
      <c r="D26" s="75"/>
      <c r="E26" s="75"/>
      <c r="F26" s="75"/>
      <c r="G26" s="75"/>
      <c r="H26" s="75"/>
      <c r="I26" s="75"/>
      <c r="J26" s="75"/>
      <c r="K26" s="75"/>
      <c r="L26" s="75"/>
      <c r="M26" s="75"/>
    </row>
    <row r="28" spans="2:13" ht="18" customHeight="1" x14ac:dyDescent="0.45">
      <c r="B28" s="36" t="s">
        <v>1046</v>
      </c>
      <c r="C28" s="18"/>
      <c r="D28" s="18"/>
      <c r="E28" s="18"/>
      <c r="F28" s="18"/>
      <c r="G28" s="18"/>
      <c r="H28" s="18"/>
      <c r="I28" s="18"/>
      <c r="J28" s="18"/>
      <c r="K28" s="18"/>
      <c r="L28" s="18"/>
      <c r="M28" s="18"/>
    </row>
    <row r="29" spans="2:13" ht="42.6" customHeight="1" x14ac:dyDescent="0.45">
      <c r="B29" s="76" t="s">
        <v>1047</v>
      </c>
      <c r="C29" s="75"/>
      <c r="D29" s="75"/>
      <c r="E29" s="75"/>
      <c r="F29" s="75"/>
      <c r="G29" s="75"/>
      <c r="H29" s="75"/>
      <c r="I29" s="75"/>
      <c r="J29" s="75"/>
      <c r="K29" s="75"/>
      <c r="L29" s="75"/>
      <c r="M29" s="75"/>
    </row>
    <row r="30" spans="2:13" ht="15" customHeight="1" x14ac:dyDescent="0.45"/>
    <row r="31" spans="2:13" ht="15" customHeight="1" x14ac:dyDescent="0.45"/>
    <row r="32" spans="2:13" ht="15" customHeight="1" x14ac:dyDescent="0.45"/>
    <row r="33" spans="2:13" ht="15" customHeight="1" x14ac:dyDescent="0.45"/>
    <row r="34" spans="2:13" ht="15" customHeight="1" x14ac:dyDescent="0.45"/>
    <row r="35" spans="2:13" ht="15" customHeight="1" x14ac:dyDescent="0.45"/>
    <row r="36" spans="2:13" ht="15" customHeight="1" x14ac:dyDescent="0.45"/>
    <row r="37" spans="2:13" ht="15" customHeight="1" x14ac:dyDescent="0.45"/>
    <row r="38" spans="2:13" ht="15" customHeight="1" x14ac:dyDescent="0.45"/>
    <row r="39" spans="2:13" ht="15" customHeight="1" x14ac:dyDescent="0.45"/>
    <row r="40" spans="2:13" ht="15" customHeight="1" x14ac:dyDescent="0.45"/>
    <row r="41" spans="2:13" ht="15" customHeight="1" x14ac:dyDescent="0.45"/>
    <row r="42" spans="2:13" ht="15" customHeight="1" x14ac:dyDescent="0.45"/>
    <row r="43" spans="2:13" ht="15" customHeight="1" x14ac:dyDescent="0.45"/>
    <row r="44" spans="2:13" ht="15" customHeight="1" x14ac:dyDescent="0.45"/>
    <row r="45" spans="2:13" ht="15" customHeight="1" x14ac:dyDescent="0.45"/>
    <row r="46" spans="2:13" ht="15" customHeight="1" x14ac:dyDescent="0.45"/>
    <row r="47" spans="2:13" ht="15" customHeight="1" x14ac:dyDescent="0.45"/>
    <row r="48" spans="2:13" ht="16.25" customHeight="1" x14ac:dyDescent="0.45">
      <c r="B48" s="74" t="s">
        <v>1048</v>
      </c>
      <c r="C48" s="75"/>
      <c r="D48" s="75"/>
      <c r="E48" s="75"/>
      <c r="F48" s="75"/>
      <c r="G48" s="75"/>
      <c r="H48" s="75"/>
      <c r="I48" s="75"/>
      <c r="J48" s="75"/>
      <c r="K48" s="75"/>
      <c r="L48" s="75"/>
      <c r="M48" s="75"/>
    </row>
    <row r="49" spans="2:13" ht="15" customHeight="1" x14ac:dyDescent="0.45"/>
    <row r="50" spans="2:13" ht="15" customHeight="1" x14ac:dyDescent="0.45"/>
    <row r="51" spans="2:13" ht="15" customHeight="1" x14ac:dyDescent="0.45"/>
    <row r="52" spans="2:13" ht="15" customHeight="1" x14ac:dyDescent="0.45"/>
    <row r="53" spans="2:13" ht="15" customHeight="1" x14ac:dyDescent="0.45"/>
    <row r="54" spans="2:13" ht="15" customHeight="1" x14ac:dyDescent="0.45"/>
    <row r="55" spans="2:13" ht="15" customHeight="1" x14ac:dyDescent="0.45"/>
    <row r="56" spans="2:13" ht="15" customHeight="1" x14ac:dyDescent="0.45"/>
    <row r="57" spans="2:13" ht="15" customHeight="1" x14ac:dyDescent="0.45"/>
    <row r="58" spans="2:13" ht="15" customHeight="1" x14ac:dyDescent="0.45"/>
    <row r="59" spans="2:13" ht="15" customHeight="1" x14ac:dyDescent="0.45"/>
    <row r="60" spans="2:13" ht="15" customHeight="1" x14ac:dyDescent="0.45"/>
    <row r="61" spans="2:13" ht="15" customHeight="1" x14ac:dyDescent="0.45"/>
    <row r="62" spans="2:13" ht="15" customHeight="1" x14ac:dyDescent="0.45"/>
    <row r="63" spans="2:13" ht="15" customHeight="1" x14ac:dyDescent="0.45"/>
    <row r="64" spans="2:13" ht="16.25" customHeight="1" x14ac:dyDescent="0.45">
      <c r="B64" s="74" t="s">
        <v>1049</v>
      </c>
      <c r="C64" s="75"/>
      <c r="D64" s="75"/>
      <c r="E64" s="75"/>
      <c r="F64" s="75"/>
      <c r="G64" s="75"/>
      <c r="H64" s="75"/>
      <c r="I64" s="75"/>
      <c r="J64" s="75"/>
      <c r="K64" s="75"/>
      <c r="L64" s="75"/>
      <c r="M64" s="75"/>
    </row>
    <row r="66" spans="2:13" ht="18" customHeight="1" x14ac:dyDescent="0.45">
      <c r="B66" s="36" t="s">
        <v>1050</v>
      </c>
      <c r="C66" s="18"/>
      <c r="D66" s="18"/>
      <c r="E66" s="18"/>
      <c r="F66" s="18"/>
      <c r="G66" s="18"/>
      <c r="H66" s="18"/>
      <c r="I66" s="18"/>
      <c r="J66" s="18"/>
      <c r="K66" s="18"/>
      <c r="L66" s="18"/>
      <c r="M66" s="18"/>
    </row>
    <row r="67" spans="2:13" ht="15" customHeight="1" x14ac:dyDescent="0.45"/>
    <row r="68" spans="2:13" ht="15" customHeight="1" x14ac:dyDescent="0.45"/>
    <row r="69" spans="2:13" ht="15" customHeight="1" x14ac:dyDescent="0.45"/>
    <row r="70" spans="2:13" ht="29.45" customHeight="1" x14ac:dyDescent="0.45">
      <c r="B70" s="79" t="s">
        <v>1051</v>
      </c>
      <c r="C70" s="80"/>
      <c r="D70" s="80"/>
      <c r="E70" s="80"/>
      <c r="F70" s="80"/>
      <c r="G70" s="80"/>
      <c r="H70" s="80"/>
      <c r="I70" s="80"/>
      <c r="J70" s="80"/>
      <c r="K70" s="80"/>
      <c r="L70" s="80"/>
      <c r="M70" s="80"/>
    </row>
    <row r="71" spans="2:13" x14ac:dyDescent="0.45">
      <c r="B71" s="77" t="s">
        <v>106</v>
      </c>
      <c r="C71" s="77" t="s">
        <v>671</v>
      </c>
      <c r="D71" s="78"/>
      <c r="E71" s="78"/>
      <c r="F71" s="78"/>
      <c r="G71" s="78"/>
      <c r="H71" s="77" t="s">
        <v>672</v>
      </c>
      <c r="I71" s="78"/>
      <c r="J71" s="78"/>
      <c r="K71" s="77" t="s">
        <v>673</v>
      </c>
      <c r="L71" s="78"/>
      <c r="M71" s="78"/>
    </row>
    <row r="72" spans="2:13" ht="15.2" customHeight="1" x14ac:dyDescent="0.45">
      <c r="B72" s="76" t="s">
        <v>1052</v>
      </c>
      <c r="C72" s="76" t="s">
        <v>1053</v>
      </c>
      <c r="D72" s="75"/>
      <c r="E72" s="75"/>
      <c r="F72" s="75"/>
      <c r="G72" s="75"/>
      <c r="H72" s="76" t="s">
        <v>1054</v>
      </c>
      <c r="I72" s="75"/>
      <c r="J72" s="75"/>
      <c r="K72" s="76" t="s">
        <v>215</v>
      </c>
      <c r="L72" s="75"/>
      <c r="M72" s="75"/>
    </row>
    <row r="73" spans="2:13" ht="15.2" customHeight="1" x14ac:dyDescent="0.45">
      <c r="B73" s="76" t="s">
        <v>1055</v>
      </c>
      <c r="C73" s="76" t="s">
        <v>1056</v>
      </c>
      <c r="D73" s="75"/>
      <c r="E73" s="75"/>
      <c r="F73" s="75"/>
      <c r="G73" s="75"/>
      <c r="H73" s="76" t="s">
        <v>1057</v>
      </c>
      <c r="I73" s="75"/>
      <c r="J73" s="75"/>
      <c r="K73" s="76" t="s">
        <v>160</v>
      </c>
      <c r="L73" s="75"/>
      <c r="M73" s="75"/>
    </row>
    <row r="74" spans="2:13" ht="15.2" customHeight="1" x14ac:dyDescent="0.45">
      <c r="B74" s="76" t="s">
        <v>1058</v>
      </c>
      <c r="C74" s="76" t="s">
        <v>1059</v>
      </c>
      <c r="D74" s="75"/>
      <c r="E74" s="75"/>
      <c r="F74" s="75"/>
      <c r="G74" s="75"/>
      <c r="H74" s="76" t="s">
        <v>1060</v>
      </c>
      <c r="I74" s="75"/>
      <c r="J74" s="75"/>
      <c r="K74" s="76" t="s">
        <v>139</v>
      </c>
      <c r="L74" s="75"/>
      <c r="M74" s="75"/>
    </row>
  </sheetData>
  <mergeCells count="22">
    <mergeCell ref="B6:M6"/>
    <mergeCell ref="B71"/>
    <mergeCell ref="H71:J71"/>
    <mergeCell ref="B64:M64"/>
    <mergeCell ref="C71:G71"/>
    <mergeCell ref="B26:M26"/>
    <mergeCell ref="B29:M29"/>
    <mergeCell ref="C73:G73"/>
    <mergeCell ref="K71:M71"/>
    <mergeCell ref="H72:J72"/>
    <mergeCell ref="B72"/>
    <mergeCell ref="K73:M73"/>
    <mergeCell ref="B73"/>
    <mergeCell ref="C72:G72"/>
    <mergeCell ref="B70:M70"/>
    <mergeCell ref="K72:M72"/>
    <mergeCell ref="B48:M48"/>
    <mergeCell ref="H73:J73"/>
    <mergeCell ref="B74"/>
    <mergeCell ref="C74:G74"/>
    <mergeCell ref="K74:M74"/>
    <mergeCell ref="H74:J74"/>
  </mergeCells>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2A36"/>
  </sheetPr>
  <dimension ref="A1:V62"/>
  <sheetViews>
    <sheetView showGridLines="0" workbookViewId="0"/>
  </sheetViews>
  <sheetFormatPr defaultRowHeight="14.25" x14ac:dyDescent="0.45"/>
  <cols>
    <col min="1" max="1" width="3" customWidth="1"/>
    <col min="2" max="2" width="13" customWidth="1"/>
    <col min="3" max="25" width="11.46484375" customWidth="1"/>
  </cols>
  <sheetData>
    <row r="1" spans="1:22" ht="17.649999999999999" x14ac:dyDescent="0.5">
      <c r="A1" s="15" t="s">
        <v>52</v>
      </c>
      <c r="P1" s="37" t="s">
        <v>111</v>
      </c>
      <c r="Q1" s="2" t="str">
        <f>""&amp;TB_Project</f>
        <v>D2 I-95 Pedestrian Bridge</v>
      </c>
    </row>
    <row r="2" spans="1:22" x14ac:dyDescent="0.45">
      <c r="A2" s="8" t="s">
        <v>1061</v>
      </c>
      <c r="P2" s="37" t="s">
        <v>119</v>
      </c>
      <c r="Q2" s="2" t="str">
        <f>""&amp;TB_JobNo</f>
        <v/>
      </c>
    </row>
    <row r="3" spans="1:22" x14ac:dyDescent="0.45">
      <c r="P3" s="37" t="s">
        <v>694</v>
      </c>
      <c r="Q3" s="2" t="str">
        <f>TB_CalcBy&amp;"  "&amp;TB_CalcDate</f>
        <v xml:space="preserve">  </v>
      </c>
    </row>
    <row r="4" spans="1:22" x14ac:dyDescent="0.45">
      <c r="P4" s="37" t="s">
        <v>695</v>
      </c>
      <c r="Q4" s="2" t="str">
        <f>TB_CheckBy&amp;"  "&amp;TB_CheckDate</f>
        <v xml:space="preserve">  </v>
      </c>
    </row>
    <row r="6" spans="1:22" x14ac:dyDescent="0.45">
      <c r="A6" s="17" t="s">
        <v>1062</v>
      </c>
      <c r="B6" s="18"/>
      <c r="C6" s="18"/>
      <c r="D6" s="18"/>
      <c r="E6" s="18"/>
      <c r="F6" s="18"/>
      <c r="G6" s="18"/>
      <c r="H6" s="18"/>
      <c r="I6" s="18"/>
      <c r="J6" s="18"/>
      <c r="K6" s="18"/>
      <c r="L6" s="18"/>
      <c r="M6" s="18"/>
      <c r="N6" s="18"/>
      <c r="O6" s="18"/>
      <c r="P6" s="18"/>
      <c r="Q6" s="18"/>
      <c r="R6" s="18"/>
      <c r="S6" s="18"/>
      <c r="T6" s="18"/>
      <c r="U6" s="18"/>
      <c r="V6" s="18"/>
    </row>
    <row r="7" spans="1:22" ht="42" customHeight="1" x14ac:dyDescent="0.45">
      <c r="B7" s="19" t="s">
        <v>980</v>
      </c>
      <c r="C7" s="19" t="s">
        <v>1063</v>
      </c>
      <c r="D7" s="19" t="s">
        <v>1064</v>
      </c>
      <c r="E7" s="19" t="s">
        <v>1065</v>
      </c>
      <c r="F7" s="19" t="s">
        <v>1066</v>
      </c>
      <c r="G7" s="19" t="s">
        <v>1067</v>
      </c>
      <c r="H7" s="19" t="s">
        <v>1068</v>
      </c>
      <c r="I7" s="19" t="s">
        <v>1069</v>
      </c>
      <c r="J7" s="19" t="s">
        <v>1070</v>
      </c>
      <c r="K7" s="19" t="s">
        <v>1071</v>
      </c>
      <c r="L7" s="19" t="s">
        <v>1072</v>
      </c>
      <c r="M7" s="19" t="s">
        <v>1073</v>
      </c>
      <c r="N7" s="19" t="s">
        <v>1074</v>
      </c>
      <c r="O7" s="19" t="s">
        <v>1075</v>
      </c>
      <c r="P7" s="19" t="s">
        <v>1076</v>
      </c>
      <c r="Q7" s="19" t="s">
        <v>1077</v>
      </c>
      <c r="R7" s="19" t="s">
        <v>1078</v>
      </c>
      <c r="S7" s="19" t="s">
        <v>1079</v>
      </c>
      <c r="T7" s="19" t="s">
        <v>1080</v>
      </c>
      <c r="U7" s="19" t="s">
        <v>1081</v>
      </c>
      <c r="V7" s="19" t="s">
        <v>1082</v>
      </c>
    </row>
    <row r="8" spans="1:22" x14ac:dyDescent="0.45">
      <c r="B8" s="11" t="s">
        <v>809</v>
      </c>
      <c r="C8" s="40">
        <f>Pier_Sta</f>
        <v>1700.57</v>
      </c>
      <c r="D8" s="40">
        <f>Pier_Sta</f>
        <v>1700.57</v>
      </c>
      <c r="E8" s="40">
        <f>Pier_Width</f>
        <v>4</v>
      </c>
      <c r="F8" s="40">
        <f>Pier_Depth</f>
        <v>3</v>
      </c>
      <c r="G8" s="2">
        <f>Pier_NPile</f>
        <v>4</v>
      </c>
      <c r="H8" s="2">
        <f>Pier_PileD</f>
        <v>20</v>
      </c>
      <c r="I8" s="41">
        <f>Pier_PileSpD*Pier_PileD/12</f>
        <v>5</v>
      </c>
      <c r="J8" s="2">
        <f>Pier_PileClr</f>
        <v>15</v>
      </c>
      <c r="K8" s="41">
        <f>IF(ISNUMBER(Pier_LenFix),Pier_LenFix,(G8-1)*I8+H8/12+2*J8/12)</f>
        <v>19.166666666666668</v>
      </c>
      <c r="L8" s="42" t="str">
        <f>IF(ISNUMBER(Pier_LenFix),IF(ABS(Pier_LenFix-((G8-1)*I8+H8/12+2*J8/12))&lt;0.00000001,"PASS","FAIL"),"PASS")</f>
        <v>PASS</v>
      </c>
      <c r="M8" s="40">
        <f>Pier_Ctr</f>
        <v>0</v>
      </c>
      <c r="N8" s="48">
        <f>Pier_Slope</f>
        <v>0</v>
      </c>
      <c r="O8" s="2">
        <f>Pier_Reveal</f>
        <v>6</v>
      </c>
      <c r="P8" s="40">
        <f>Pier_TopFix</f>
        <v>0</v>
      </c>
      <c r="Q8" s="43">
        <f>MIN('Bearing Seats'!V10-N8*('Bearing Seats'!G10-M8),'Bearing Seats'!V11-N8*('Bearing Seats'!G11-M8),'Bearing Seats'!V12-N8*('Bearing Seats'!G12-M8),'Bearing Seats'!V13-N8*('Bearing Seats'!G13-M8))</f>
        <v>44.264939909758922</v>
      </c>
      <c r="R8" s="57">
        <f>IF(ISNUMBER(Pier_TopFix),Pier_TopFix,Q8-O8/12)</f>
        <v>43.764939909758922</v>
      </c>
      <c r="S8" s="43">
        <f>R8-F8</f>
        <v>40.764939909758922</v>
      </c>
      <c r="T8" s="45">
        <f>E8*K8*F8</f>
        <v>230</v>
      </c>
      <c r="U8" s="2">
        <f>Pier_Emb</f>
        <v>12</v>
      </c>
      <c r="V8" s="42" t="str">
        <f>IF(AND(U8&gt;=0,U8&lt;=F8*12),"PASS","FAIL")</f>
        <v>PASS</v>
      </c>
    </row>
    <row r="9" spans="1:22" x14ac:dyDescent="0.45">
      <c r="B9" s="11" t="s">
        <v>808</v>
      </c>
      <c r="C9" s="40">
        <f>Sp1_Sta0</f>
        <v>1593.22</v>
      </c>
      <c r="D9" s="41">
        <f>C9+(EB1_Width/2-EB1_BW/12-EB1_Inset/12)</f>
        <v>1593.97</v>
      </c>
      <c r="E9" s="40">
        <f>EB1_Width</f>
        <v>3.5</v>
      </c>
      <c r="F9" s="40">
        <f>EB1_Depth</f>
        <v>3</v>
      </c>
      <c r="G9" s="2">
        <f>EB1_NPile</f>
        <v>4</v>
      </c>
      <c r="H9" s="2">
        <f>EB1_PileW</f>
        <v>18</v>
      </c>
      <c r="I9" s="41">
        <f>EB1_PileSp/12</f>
        <v>4.5</v>
      </c>
      <c r="J9" s="2">
        <f>EB1_PileClr</f>
        <v>16</v>
      </c>
      <c r="K9" s="41">
        <f>IF(ISNUMBER(EB1_LenFix),EB1_LenFix,(G9-1)*I9+H9/12+2*J9/12)</f>
        <v>17.666666666666668</v>
      </c>
      <c r="L9" s="42" t="str">
        <f>IF(ISNUMBER(EB1_LenFix),IF(ABS(EB1_LenFix-((G9-1)*I9+H9/12+2*J9/12))&lt;0.00000001,"PASS","FAIL"),"PASS")</f>
        <v>PASS</v>
      </c>
      <c r="M9" s="40">
        <f>EB1_Ctr</f>
        <v>0</v>
      </c>
      <c r="N9" s="48">
        <f>EB1_Slope</f>
        <v>0</v>
      </c>
      <c r="O9" s="2">
        <f>EB1_Reveal</f>
        <v>6</v>
      </c>
      <c r="P9" s="40">
        <f>EB1_TopFix</f>
        <v>0</v>
      </c>
      <c r="Q9" s="43">
        <f>MIN('Bearing Seats'!V8-N9*('Bearing Seats'!G8-M9),'Bearing Seats'!V9-N9*('Bearing Seats'!G9-M9))</f>
        <v>43.737692232218137</v>
      </c>
      <c r="R9" s="57">
        <f>IF(ISNUMBER(EB1_TopFix),EB1_TopFix,Q9-O9/12)</f>
        <v>43.237692232218137</v>
      </c>
      <c r="S9" s="43">
        <f>R9-F9</f>
        <v>40.237692232218137</v>
      </c>
      <c r="T9" s="45">
        <f>E9*K9*F9</f>
        <v>185.5</v>
      </c>
      <c r="U9" s="2">
        <f>EB1_Emb</f>
        <v>12</v>
      </c>
      <c r="V9" s="42" t="str">
        <f>IF(AND(U9&gt;=0,U9&lt;=F9*12),"PASS","FAIL")</f>
        <v>PASS</v>
      </c>
    </row>
    <row r="10" spans="1:22" x14ac:dyDescent="0.45">
      <c r="B10" s="11" t="s">
        <v>810</v>
      </c>
      <c r="C10" s="40">
        <f>Sp2_Sta1</f>
        <v>1805.47</v>
      </c>
      <c r="D10" s="41">
        <f>C10-(EB2_Width/2-EB2_BW/12-EB2_Inset/12)</f>
        <v>1804.72</v>
      </c>
      <c r="E10" s="40">
        <f>EB2_Width</f>
        <v>3.5</v>
      </c>
      <c r="F10" s="40">
        <f>EB2_Depth</f>
        <v>3</v>
      </c>
      <c r="G10" s="2">
        <f>EB2_NPile</f>
        <v>4</v>
      </c>
      <c r="H10" s="2">
        <f>EB2_PileW</f>
        <v>18</v>
      </c>
      <c r="I10" s="41">
        <f>EB2_PileSp/12</f>
        <v>4.5</v>
      </c>
      <c r="J10" s="2">
        <f>EB2_PileClr</f>
        <v>16</v>
      </c>
      <c r="K10" s="41">
        <f>IF(ISNUMBER(EB2_LenFix),EB2_LenFix,(G10-1)*I10+H10/12+2*J10/12)</f>
        <v>17.666666666666668</v>
      </c>
      <c r="L10" s="42" t="str">
        <f>IF(ISNUMBER(EB2_LenFix),IF(ABS(EB2_LenFix-((G10-1)*I10+H10/12+2*J10/12))&lt;0.00000001,"PASS","FAIL"),"PASS")</f>
        <v>PASS</v>
      </c>
      <c r="M10" s="40">
        <f>EB2_Ctr</f>
        <v>0</v>
      </c>
      <c r="N10" s="48">
        <f>EB2_Slope</f>
        <v>0</v>
      </c>
      <c r="O10" s="2">
        <f>EB2_Reveal</f>
        <v>6</v>
      </c>
      <c r="P10" s="40">
        <f>EB2_TopFix</f>
        <v>0</v>
      </c>
      <c r="Q10" s="43">
        <f>MIN('Bearing Seats'!V14-N10*('Bearing Seats'!G14-M10),'Bearing Seats'!V15-N10*('Bearing Seats'!G15-M10))</f>
        <v>43.749692144029659</v>
      </c>
      <c r="R10" s="57">
        <f>IF(ISNUMBER(EB2_TopFix),EB2_TopFix,Q10-O10/12)</f>
        <v>43.249692144029659</v>
      </c>
      <c r="S10" s="43">
        <f>R10-F10</f>
        <v>40.249692144029659</v>
      </c>
      <c r="T10" s="45">
        <f>E10*K10*F10</f>
        <v>185.5</v>
      </c>
      <c r="U10" s="2">
        <f>EB2_Emb</f>
        <v>12</v>
      </c>
      <c r="V10" s="42" t="str">
        <f>IF(AND(U10&gt;=0,U10&lt;=F10*12),"PASS","FAIL")</f>
        <v>PASS</v>
      </c>
    </row>
    <row r="12" spans="1:22" x14ac:dyDescent="0.45">
      <c r="B12" s="47" t="s">
        <v>1083</v>
      </c>
    </row>
    <row r="14" spans="1:22" x14ac:dyDescent="0.45">
      <c r="A14" s="17" t="s">
        <v>1084</v>
      </c>
      <c r="B14" s="18"/>
      <c r="C14" s="18"/>
      <c r="D14" s="18"/>
      <c r="E14" s="18"/>
      <c r="F14" s="18"/>
      <c r="G14" s="18"/>
      <c r="H14" s="18"/>
      <c r="I14" s="18"/>
      <c r="J14" s="18"/>
      <c r="K14" s="18"/>
      <c r="L14" s="18"/>
      <c r="M14" s="18"/>
      <c r="N14" s="18"/>
      <c r="O14" s="18"/>
      <c r="P14" s="18"/>
      <c r="Q14" s="18"/>
      <c r="R14" s="18"/>
      <c r="S14" s="18"/>
      <c r="T14" s="18"/>
      <c r="U14" s="18"/>
      <c r="V14" s="18"/>
    </row>
    <row r="15" spans="1:22" ht="32" customHeight="1" x14ac:dyDescent="0.45">
      <c r="B15" s="19" t="s">
        <v>980</v>
      </c>
      <c r="C15" s="19" t="s">
        <v>982</v>
      </c>
      <c r="D15" s="19" t="s">
        <v>981</v>
      </c>
      <c r="E15" s="19" t="s">
        <v>812</v>
      </c>
      <c r="F15" s="19" t="s">
        <v>1004</v>
      </c>
      <c r="G15" s="19" t="s">
        <v>1085</v>
      </c>
      <c r="H15" s="19" t="s">
        <v>1086</v>
      </c>
      <c r="I15" s="19" t="s">
        <v>1087</v>
      </c>
    </row>
    <row r="16" spans="1:22" x14ac:dyDescent="0.45">
      <c r="B16" s="11" t="s">
        <v>808</v>
      </c>
      <c r="C16" s="11" t="s">
        <v>830</v>
      </c>
      <c r="D16" s="11" t="s">
        <v>999</v>
      </c>
      <c r="E16" s="40">
        <f>'Bearing Seats'!G8</f>
        <v>-4.291666666666667</v>
      </c>
      <c r="F16" s="48">
        <f>'Bearing Seats'!V8</f>
        <v>43.737692232218137</v>
      </c>
      <c r="G16" s="43">
        <f>R9+N9*(E16-M9)</f>
        <v>43.237692232218137</v>
      </c>
      <c r="H16" s="41">
        <f t="shared" ref="H16:H23" si="0">(F16-G16)*12</f>
        <v>6</v>
      </c>
      <c r="I16" s="42" t="str">
        <f>IF(H16&gt;=O9-0.000001,"PASS","FAIL")</f>
        <v>PASS</v>
      </c>
    </row>
    <row r="17" spans="1:22" x14ac:dyDescent="0.45">
      <c r="B17" s="11" t="s">
        <v>808</v>
      </c>
      <c r="C17" s="11" t="s">
        <v>831</v>
      </c>
      <c r="D17" s="11" t="s">
        <v>999</v>
      </c>
      <c r="E17" s="40">
        <f>'Bearing Seats'!G9</f>
        <v>4.291666666666667</v>
      </c>
      <c r="F17" s="48">
        <f>'Bearing Seats'!V9</f>
        <v>43.737692232218137</v>
      </c>
      <c r="G17" s="43">
        <f>R9+N9*(E17-M9)</f>
        <v>43.237692232218137</v>
      </c>
      <c r="H17" s="41">
        <f t="shared" si="0"/>
        <v>6</v>
      </c>
      <c r="I17" s="42" t="str">
        <f>IF(H17&gt;=O9-0.000001,"PASS","FAIL")</f>
        <v>PASS</v>
      </c>
    </row>
    <row r="18" spans="1:22" x14ac:dyDescent="0.45">
      <c r="B18" s="11" t="s">
        <v>809</v>
      </c>
      <c r="C18" s="11" t="s">
        <v>830</v>
      </c>
      <c r="D18" s="11" t="s">
        <v>1000</v>
      </c>
      <c r="E18" s="40">
        <f>'Bearing Seats'!G10</f>
        <v>-4.291666666666667</v>
      </c>
      <c r="F18" s="48">
        <f>'Bearing Seats'!V10</f>
        <v>44.264944415497133</v>
      </c>
      <c r="G18" s="43">
        <f>R8+N8*(E18-M8)</f>
        <v>43.764939909758922</v>
      </c>
      <c r="H18" s="41">
        <f t="shared" si="0"/>
        <v>6.0000540688585318</v>
      </c>
      <c r="I18" s="42" t="str">
        <f>IF(H18&gt;=O8-0.000001,"PASS","FAIL")</f>
        <v>PASS</v>
      </c>
    </row>
    <row r="19" spans="1:22" x14ac:dyDescent="0.45">
      <c r="B19" s="11" t="s">
        <v>809</v>
      </c>
      <c r="C19" s="11" t="s">
        <v>831</v>
      </c>
      <c r="D19" s="11" t="s">
        <v>1000</v>
      </c>
      <c r="E19" s="40">
        <f>'Bearing Seats'!G11</f>
        <v>4.291666666666667</v>
      </c>
      <c r="F19" s="48">
        <f>'Bearing Seats'!V11</f>
        <v>44.264944415497133</v>
      </c>
      <c r="G19" s="43">
        <f>R8+N8*(E19-M8)</f>
        <v>43.764939909758922</v>
      </c>
      <c r="H19" s="41">
        <f t="shared" si="0"/>
        <v>6.0000540688585318</v>
      </c>
      <c r="I19" s="42" t="str">
        <f>IF(H19&gt;=O8-0.000001,"PASS","FAIL")</f>
        <v>PASS</v>
      </c>
    </row>
    <row r="20" spans="1:22" x14ac:dyDescent="0.45">
      <c r="B20" s="11" t="s">
        <v>809</v>
      </c>
      <c r="C20" s="11" t="s">
        <v>832</v>
      </c>
      <c r="D20" s="11" t="s">
        <v>999</v>
      </c>
      <c r="E20" s="40">
        <f>'Bearing Seats'!G12</f>
        <v>-4.291666666666667</v>
      </c>
      <c r="F20" s="48">
        <f>'Bearing Seats'!V12</f>
        <v>44.264939909758922</v>
      </c>
      <c r="G20" s="43">
        <f>R8+N8*(E20-M8)</f>
        <v>43.764939909758922</v>
      </c>
      <c r="H20" s="41">
        <f t="shared" si="0"/>
        <v>6</v>
      </c>
      <c r="I20" s="42" t="str">
        <f>IF(H20&gt;=O8-0.000001,"PASS","FAIL")</f>
        <v>PASS</v>
      </c>
    </row>
    <row r="21" spans="1:22" x14ac:dyDescent="0.45">
      <c r="B21" s="11" t="s">
        <v>809</v>
      </c>
      <c r="C21" s="11" t="s">
        <v>833</v>
      </c>
      <c r="D21" s="11" t="s">
        <v>999</v>
      </c>
      <c r="E21" s="40">
        <f>'Bearing Seats'!G13</f>
        <v>4.291666666666667</v>
      </c>
      <c r="F21" s="48">
        <f>'Bearing Seats'!V13</f>
        <v>44.264939909758922</v>
      </c>
      <c r="G21" s="43">
        <f>R8+N8*(E21-M8)</f>
        <v>43.764939909758922</v>
      </c>
      <c r="H21" s="41">
        <f t="shared" si="0"/>
        <v>6</v>
      </c>
      <c r="I21" s="42" t="str">
        <f>IF(H21&gt;=O8-0.000001,"PASS","FAIL")</f>
        <v>PASS</v>
      </c>
    </row>
    <row r="22" spans="1:22" x14ac:dyDescent="0.45">
      <c r="B22" s="11" t="s">
        <v>810</v>
      </c>
      <c r="C22" s="11" t="s">
        <v>832</v>
      </c>
      <c r="D22" s="11" t="s">
        <v>1000</v>
      </c>
      <c r="E22" s="40">
        <f>'Bearing Seats'!G14</f>
        <v>-4.291666666666667</v>
      </c>
      <c r="F22" s="48">
        <f>'Bearing Seats'!V14</f>
        <v>43.749692144029659</v>
      </c>
      <c r="G22" s="43">
        <f>R10+N10*(E22-M10)</f>
        <v>43.249692144029659</v>
      </c>
      <c r="H22" s="41">
        <f t="shared" si="0"/>
        <v>6</v>
      </c>
      <c r="I22" s="42" t="str">
        <f>IF(H22&gt;=O10-0.000001,"PASS","FAIL")</f>
        <v>PASS</v>
      </c>
    </row>
    <row r="23" spans="1:22" x14ac:dyDescent="0.45">
      <c r="B23" s="11" t="s">
        <v>810</v>
      </c>
      <c r="C23" s="11" t="s">
        <v>833</v>
      </c>
      <c r="D23" s="11" t="s">
        <v>1000</v>
      </c>
      <c r="E23" s="40">
        <f>'Bearing Seats'!G15</f>
        <v>4.291666666666667</v>
      </c>
      <c r="F23" s="48">
        <f>'Bearing Seats'!V15</f>
        <v>43.749692144029659</v>
      </c>
      <c r="G23" s="43">
        <f>R10+N10*(E23-M10)</f>
        <v>43.249692144029659</v>
      </c>
      <c r="H23" s="41">
        <f t="shared" si="0"/>
        <v>6</v>
      </c>
      <c r="I23" s="42" t="str">
        <f>IF(H23&gt;=O10-0.000001,"PASS","FAIL")</f>
        <v>PASS</v>
      </c>
    </row>
    <row r="25" spans="1:22" x14ac:dyDescent="0.45">
      <c r="A25" s="17" t="s">
        <v>1088</v>
      </c>
      <c r="B25" s="18"/>
      <c r="C25" s="18"/>
      <c r="D25" s="18"/>
      <c r="E25" s="18"/>
      <c r="F25" s="18"/>
      <c r="G25" s="18"/>
      <c r="H25" s="18"/>
      <c r="I25" s="18"/>
      <c r="J25" s="18"/>
      <c r="K25" s="18"/>
      <c r="L25" s="18"/>
      <c r="M25" s="18"/>
      <c r="N25" s="18"/>
      <c r="O25" s="18"/>
      <c r="P25" s="18"/>
      <c r="Q25" s="18"/>
      <c r="R25" s="18"/>
      <c r="S25" s="18"/>
      <c r="T25" s="18"/>
      <c r="U25" s="18"/>
      <c r="V25" s="18"/>
    </row>
    <row r="26" spans="1:22" ht="32" customHeight="1" x14ac:dyDescent="0.45">
      <c r="B26" s="19" t="s">
        <v>980</v>
      </c>
      <c r="C26" s="19" t="s">
        <v>737</v>
      </c>
      <c r="D26" s="19" t="s">
        <v>1089</v>
      </c>
      <c r="E26" s="19" t="s">
        <v>1090</v>
      </c>
      <c r="F26" s="19" t="s">
        <v>1091</v>
      </c>
      <c r="G26" s="19" t="s">
        <v>1092</v>
      </c>
      <c r="H26" s="19" t="s">
        <v>1093</v>
      </c>
    </row>
    <row r="27" spans="1:22" x14ac:dyDescent="0.45">
      <c r="B27" s="11" t="s">
        <v>809</v>
      </c>
      <c r="C27" s="11">
        <v>1</v>
      </c>
      <c r="D27" s="43">
        <f>MIN('Bearing Seats'!G26,'Bearing Seats'!H26,'Bearing Seats'!I26,'Bearing Seats'!J26)</f>
        <v>44.259763695637588</v>
      </c>
      <c r="E27" s="2">
        <f>Pier_Chamf</f>
        <v>0.75</v>
      </c>
      <c r="F27" s="43">
        <f>R8+N8*(Bm1_Off-M8)+ABS(N8)*Pier_PedW/24</f>
        <v>43.764939909758922</v>
      </c>
      <c r="G27" s="42" t="str">
        <f t="shared" ref="G27:G32" si="1">IF(D27-E27/12&gt;=F27-0.000000001,"PASS","FAIL")</f>
        <v>PASS</v>
      </c>
      <c r="H27" s="42" t="str">
        <f>IF(AND(Bm1_Off-Pier_PedW/24&gt;=M8-K8/2-0.000000001,Bm1_Off+Pier_PedW/24&lt;=M8+K8/2+0.000000001),"PASS","FAIL")</f>
        <v>PASS</v>
      </c>
    </row>
    <row r="28" spans="1:22" x14ac:dyDescent="0.45">
      <c r="B28" s="11" t="s">
        <v>809</v>
      </c>
      <c r="C28" s="11">
        <v>2</v>
      </c>
      <c r="D28" s="43">
        <f>MIN('Bearing Seats'!G27,'Bearing Seats'!H27,'Bearing Seats'!I27,'Bearing Seats'!J27)</f>
        <v>44.259763695637588</v>
      </c>
      <c r="E28" s="2">
        <f>Pier_Chamf</f>
        <v>0.75</v>
      </c>
      <c r="F28" s="43">
        <f>R8+N8*(Bm2_Off-M8)+ABS(N8)*Pier_PedW/24</f>
        <v>43.764939909758922</v>
      </c>
      <c r="G28" s="42" t="str">
        <f t="shared" si="1"/>
        <v>PASS</v>
      </c>
      <c r="H28" s="42" t="str">
        <f>IF(AND(Bm2_Off-Pier_PedW/24&gt;=M8-K8/2-0.000000001,Bm2_Off+Pier_PedW/24&lt;=M8+K8/2+0.000000001),"PASS","FAIL")</f>
        <v>PASS</v>
      </c>
    </row>
    <row r="29" spans="1:22" x14ac:dyDescent="0.45">
      <c r="B29" s="11" t="s">
        <v>808</v>
      </c>
      <c r="C29" s="11">
        <v>1</v>
      </c>
      <c r="D29" s="43">
        <f>MIN('Bearing Seats'!I19,'Bearing Seats'!J19)</f>
        <v>43.73229964536867</v>
      </c>
      <c r="E29" s="2">
        <f>EB1_Chamf</f>
        <v>0.75</v>
      </c>
      <c r="F29" s="43">
        <f>R9+N9*(Bm1_Off-M9)+ABS(N9)*EB1_PedW/24</f>
        <v>43.237692232218137</v>
      </c>
      <c r="G29" s="42" t="str">
        <f t="shared" si="1"/>
        <v>PASS</v>
      </c>
      <c r="H29" s="42" t="str">
        <f>IF(AND(Bm1_Off-EB1_PedW/24&gt;=M9-K9/2-0.000000001,Bm1_Off+EB1_PedW/24&lt;=M9+K9/2+0.000000001),"PASS","FAIL")</f>
        <v>PASS</v>
      </c>
    </row>
    <row r="30" spans="1:22" x14ac:dyDescent="0.45">
      <c r="B30" s="11" t="s">
        <v>808</v>
      </c>
      <c r="C30" s="11">
        <v>2</v>
      </c>
      <c r="D30" s="43">
        <f>MIN('Bearing Seats'!I20,'Bearing Seats'!J20)</f>
        <v>43.73229964536867</v>
      </c>
      <c r="E30" s="2">
        <f>EB1_Chamf</f>
        <v>0.75</v>
      </c>
      <c r="F30" s="43">
        <f>R9+N9*(Bm2_Off-M9)+ABS(N9)*EB1_PedW/24</f>
        <v>43.237692232218137</v>
      </c>
      <c r="G30" s="42" t="str">
        <f t="shared" si="1"/>
        <v>PASS</v>
      </c>
      <c r="H30" s="42" t="str">
        <f>IF(AND(Bm2_Off-EB1_PedW/24&gt;=M9-K9/2-0.000000001,Bm2_Off+EB1_PedW/24&lt;=M9+K9/2+0.000000001),"PASS","FAIL")</f>
        <v>PASS</v>
      </c>
    </row>
    <row r="31" spans="1:22" x14ac:dyDescent="0.45">
      <c r="B31" s="11" t="s">
        <v>810</v>
      </c>
      <c r="C31" s="11">
        <v>1</v>
      </c>
      <c r="D31" s="43">
        <f>MIN('Bearing Seats'!I21,'Bearing Seats'!J21)</f>
        <v>43.742855891468814</v>
      </c>
      <c r="E31" s="2">
        <f>EB2_Chamf</f>
        <v>0.75</v>
      </c>
      <c r="F31" s="43">
        <f>R10+N10*(Bm1_Off-M10)+ABS(N10)*EB2_PedW/24</f>
        <v>43.249692144029659</v>
      </c>
      <c r="G31" s="42" t="str">
        <f t="shared" si="1"/>
        <v>PASS</v>
      </c>
      <c r="H31" s="42" t="str">
        <f>IF(AND(Bm1_Off-EB2_PedW/24&gt;=M10-K10/2-0.000000001,Bm1_Off+EB2_PedW/24&lt;=M10+K10/2+0.000000001),"PASS","FAIL")</f>
        <v>PASS</v>
      </c>
    </row>
    <row r="32" spans="1:22" x14ac:dyDescent="0.45">
      <c r="B32" s="11" t="s">
        <v>810</v>
      </c>
      <c r="C32" s="11">
        <v>2</v>
      </c>
      <c r="D32" s="43">
        <f>MIN('Bearing Seats'!I22,'Bearing Seats'!J22)</f>
        <v>43.742855891468814</v>
      </c>
      <c r="E32" s="2">
        <f>EB2_Chamf</f>
        <v>0.75</v>
      </c>
      <c r="F32" s="43">
        <f>R10+N10*(Bm2_Off-M10)+ABS(N10)*EB2_PedW/24</f>
        <v>43.249692144029659</v>
      </c>
      <c r="G32" s="42" t="str">
        <f t="shared" si="1"/>
        <v>PASS</v>
      </c>
      <c r="H32" s="42" t="str">
        <f>IF(AND(Bm2_Off-EB2_PedW/24&gt;=M10-K10/2-0.000000001,Bm2_Off+EB2_PedW/24&lt;=M10+K10/2+0.000000001),"PASS","FAIL")</f>
        <v>PASS</v>
      </c>
    </row>
    <row r="34" spans="1:22" x14ac:dyDescent="0.45">
      <c r="A34" s="17" t="s">
        <v>1094</v>
      </c>
      <c r="B34" s="18"/>
      <c r="C34" s="18"/>
      <c r="D34" s="18"/>
      <c r="E34" s="18"/>
      <c r="F34" s="18"/>
      <c r="G34" s="18"/>
      <c r="H34" s="18"/>
      <c r="I34" s="18"/>
      <c r="J34" s="18"/>
      <c r="K34" s="18"/>
      <c r="L34" s="18"/>
      <c r="M34" s="18"/>
      <c r="N34" s="18"/>
      <c r="O34" s="18"/>
      <c r="P34" s="18"/>
      <c r="Q34" s="18"/>
      <c r="R34" s="18"/>
      <c r="S34" s="18"/>
      <c r="T34" s="18"/>
      <c r="U34" s="18"/>
      <c r="V34" s="18"/>
    </row>
    <row r="35" spans="1:22" ht="18" customHeight="1" x14ac:dyDescent="0.45">
      <c r="B35" s="19" t="s">
        <v>980</v>
      </c>
      <c r="C35" s="19" t="s">
        <v>1095</v>
      </c>
      <c r="D35" s="19" t="s">
        <v>812</v>
      </c>
      <c r="E35" s="19" t="s">
        <v>1096</v>
      </c>
    </row>
    <row r="36" spans="1:22" x14ac:dyDescent="0.45">
      <c r="B36" s="11" t="s">
        <v>809</v>
      </c>
      <c r="C36" s="11" t="s">
        <v>1097</v>
      </c>
      <c r="D36" s="41">
        <f>M8-K8/2</f>
        <v>-9.5833333333333339</v>
      </c>
      <c r="E36" s="43">
        <f>R8+N8*(D36-M8)</f>
        <v>43.764939909758922</v>
      </c>
    </row>
    <row r="37" spans="1:22" x14ac:dyDescent="0.45">
      <c r="B37" s="11" t="s">
        <v>809</v>
      </c>
      <c r="C37" s="11" t="s">
        <v>1098</v>
      </c>
      <c r="D37" s="41">
        <f>M8+K8/2</f>
        <v>9.5833333333333339</v>
      </c>
      <c r="E37" s="43">
        <f>R8+N8*(D37-M8)</f>
        <v>43.764939909758922</v>
      </c>
    </row>
    <row r="38" spans="1:22" x14ac:dyDescent="0.45">
      <c r="B38" s="11" t="s">
        <v>809</v>
      </c>
      <c r="C38" s="11" t="s">
        <v>1099</v>
      </c>
      <c r="D38" s="41">
        <f>M8+K8/2</f>
        <v>9.5833333333333339</v>
      </c>
      <c r="E38" s="43">
        <f>R8+N8*(D38-M8)-F8</f>
        <v>40.764939909758922</v>
      </c>
    </row>
    <row r="39" spans="1:22" x14ac:dyDescent="0.45">
      <c r="B39" s="11" t="s">
        <v>809</v>
      </c>
      <c r="C39" s="11" t="s">
        <v>1100</v>
      </c>
      <c r="D39" s="41">
        <f>M8-K8/2</f>
        <v>-9.5833333333333339</v>
      </c>
      <c r="E39" s="43">
        <f>R8+N8*(D39-M8)-F8</f>
        <v>40.764939909758922</v>
      </c>
    </row>
    <row r="40" spans="1:22" x14ac:dyDescent="0.45">
      <c r="B40" s="11" t="s">
        <v>808</v>
      </c>
      <c r="C40" s="11" t="s">
        <v>1097</v>
      </c>
      <c r="D40" s="41">
        <f>M9-K9/2</f>
        <v>-8.8333333333333339</v>
      </c>
      <c r="E40" s="43">
        <f>R9+N9*(D40-M9)</f>
        <v>43.237692232218137</v>
      </c>
    </row>
    <row r="41" spans="1:22" x14ac:dyDescent="0.45">
      <c r="B41" s="11" t="s">
        <v>808</v>
      </c>
      <c r="C41" s="11" t="s">
        <v>1098</v>
      </c>
      <c r="D41" s="41">
        <f>M9+K9/2</f>
        <v>8.8333333333333339</v>
      </c>
      <c r="E41" s="43">
        <f>R9+N9*(D41-M9)</f>
        <v>43.237692232218137</v>
      </c>
    </row>
    <row r="42" spans="1:22" x14ac:dyDescent="0.45">
      <c r="B42" s="11" t="s">
        <v>808</v>
      </c>
      <c r="C42" s="11" t="s">
        <v>1099</v>
      </c>
      <c r="D42" s="41">
        <f>M9+K9/2</f>
        <v>8.8333333333333339</v>
      </c>
      <c r="E42" s="43">
        <f>R9+N9*(D42-M9)-F9</f>
        <v>40.237692232218137</v>
      </c>
    </row>
    <row r="43" spans="1:22" x14ac:dyDescent="0.45">
      <c r="B43" s="11" t="s">
        <v>808</v>
      </c>
      <c r="C43" s="11" t="s">
        <v>1100</v>
      </c>
      <c r="D43" s="41">
        <f>M9-K9/2</f>
        <v>-8.8333333333333339</v>
      </c>
      <c r="E43" s="43">
        <f>R9+N9*(D43-M9)-F9</f>
        <v>40.237692232218137</v>
      </c>
    </row>
    <row r="44" spans="1:22" x14ac:dyDescent="0.45">
      <c r="B44" s="11" t="s">
        <v>810</v>
      </c>
      <c r="C44" s="11" t="s">
        <v>1097</v>
      </c>
      <c r="D44" s="41">
        <f>M10-K10/2</f>
        <v>-8.8333333333333339</v>
      </c>
      <c r="E44" s="43">
        <f>R10+N10*(D44-M10)</f>
        <v>43.249692144029659</v>
      </c>
    </row>
    <row r="45" spans="1:22" x14ac:dyDescent="0.45">
      <c r="B45" s="11" t="s">
        <v>810</v>
      </c>
      <c r="C45" s="11" t="s">
        <v>1098</v>
      </c>
      <c r="D45" s="41">
        <f>M10+K10/2</f>
        <v>8.8333333333333339</v>
      </c>
      <c r="E45" s="43">
        <f>R10+N10*(D45-M10)</f>
        <v>43.249692144029659</v>
      </c>
    </row>
    <row r="46" spans="1:22" x14ac:dyDescent="0.45">
      <c r="B46" s="11" t="s">
        <v>810</v>
      </c>
      <c r="C46" s="11" t="s">
        <v>1099</v>
      </c>
      <c r="D46" s="41">
        <f>M10+K10/2</f>
        <v>8.8333333333333339</v>
      </c>
      <c r="E46" s="43">
        <f>R10+N10*(D46-M10)-F10</f>
        <v>40.249692144029659</v>
      </c>
    </row>
    <row r="47" spans="1:22" x14ac:dyDescent="0.45">
      <c r="B47" s="11" t="s">
        <v>810</v>
      </c>
      <c r="C47" s="11" t="s">
        <v>1100</v>
      </c>
      <c r="D47" s="41">
        <f>M10-K10/2</f>
        <v>-8.8333333333333339</v>
      </c>
      <c r="E47" s="43">
        <f>R10+N10*(D47-M10)-F10</f>
        <v>40.249692144029659</v>
      </c>
    </row>
    <row r="49" spans="1:22" x14ac:dyDescent="0.45">
      <c r="A49" s="17" t="s">
        <v>1101</v>
      </c>
      <c r="B49" s="18"/>
      <c r="C49" s="18"/>
      <c r="D49" s="18"/>
      <c r="E49" s="18"/>
      <c r="F49" s="18"/>
      <c r="G49" s="18"/>
      <c r="H49" s="18"/>
      <c r="I49" s="18"/>
      <c r="J49" s="18"/>
      <c r="K49" s="18"/>
      <c r="L49" s="18"/>
      <c r="M49" s="18"/>
      <c r="N49" s="18"/>
      <c r="O49" s="18"/>
      <c r="P49" s="18"/>
      <c r="Q49" s="18"/>
      <c r="R49" s="18"/>
      <c r="S49" s="18"/>
      <c r="T49" s="18"/>
      <c r="U49" s="18"/>
      <c r="V49" s="18"/>
    </row>
    <row r="50" spans="1:22" ht="32" customHeight="1" x14ac:dyDescent="0.45">
      <c r="B50" s="19" t="s">
        <v>980</v>
      </c>
      <c r="C50" s="19" t="s">
        <v>1102</v>
      </c>
      <c r="D50" s="19" t="s">
        <v>812</v>
      </c>
      <c r="E50" s="19" t="s">
        <v>1103</v>
      </c>
      <c r="F50" s="19" t="s">
        <v>1104</v>
      </c>
      <c r="G50" s="19" t="s">
        <v>1085</v>
      </c>
      <c r="H50" s="19" t="s">
        <v>1105</v>
      </c>
      <c r="I50" s="19" t="s">
        <v>1081</v>
      </c>
      <c r="J50" s="19" t="s">
        <v>1106</v>
      </c>
      <c r="K50" s="19" t="s">
        <v>1107</v>
      </c>
    </row>
    <row r="51" spans="1:22" x14ac:dyDescent="0.45">
      <c r="B51" s="11" t="s">
        <v>809</v>
      </c>
      <c r="C51" s="11">
        <v>1</v>
      </c>
      <c r="D51" s="41">
        <f>M8+(1-(G8+1)/2)*I8</f>
        <v>-7.5</v>
      </c>
      <c r="E51" s="11">
        <f>H8</f>
        <v>20</v>
      </c>
      <c r="F51" s="11" t="s">
        <v>1108</v>
      </c>
      <c r="G51" s="43">
        <f>R8+N8*(D51-M8)</f>
        <v>43.764939909758922</v>
      </c>
      <c r="H51" s="43">
        <f>G51-F8</f>
        <v>40.764939909758922</v>
      </c>
      <c r="I51" s="11">
        <f>U8</f>
        <v>12</v>
      </c>
      <c r="J51" s="57">
        <f t="shared" ref="J51:J62" si="2">H51+I51/12</f>
        <v>41.764939909758922</v>
      </c>
      <c r="K51" s="45">
        <f t="shared" ref="K51:K62" si="3">J51-Phys_TrialPile</f>
        <v>-48.235060090241063</v>
      </c>
    </row>
    <row r="52" spans="1:22" x14ac:dyDescent="0.45">
      <c r="B52" s="11" t="s">
        <v>809</v>
      </c>
      <c r="C52" s="11">
        <v>2</v>
      </c>
      <c r="D52" s="41">
        <f>M8+(2-(G8+1)/2)*I8</f>
        <v>-2.5</v>
      </c>
      <c r="E52" s="11">
        <f>H8</f>
        <v>20</v>
      </c>
      <c r="F52" s="11" t="s">
        <v>1108</v>
      </c>
      <c r="G52" s="43">
        <f>R8+N8*(D52-M8)</f>
        <v>43.764939909758922</v>
      </c>
      <c r="H52" s="43">
        <f>G52-F8</f>
        <v>40.764939909758922</v>
      </c>
      <c r="I52" s="11">
        <f>U8</f>
        <v>12</v>
      </c>
      <c r="J52" s="57">
        <f t="shared" si="2"/>
        <v>41.764939909758922</v>
      </c>
      <c r="K52" s="45">
        <f t="shared" si="3"/>
        <v>-48.235060090241063</v>
      </c>
    </row>
    <row r="53" spans="1:22" x14ac:dyDescent="0.45">
      <c r="B53" s="11" t="s">
        <v>809</v>
      </c>
      <c r="C53" s="11">
        <v>3</v>
      </c>
      <c r="D53" s="41">
        <f>M8+(3-(G8+1)/2)*I8</f>
        <v>2.5</v>
      </c>
      <c r="E53" s="11">
        <f>H8</f>
        <v>20</v>
      </c>
      <c r="F53" s="11" t="s">
        <v>1108</v>
      </c>
      <c r="G53" s="43">
        <f>R8+N8*(D53-M8)</f>
        <v>43.764939909758922</v>
      </c>
      <c r="H53" s="43">
        <f>G53-F8</f>
        <v>40.764939909758922</v>
      </c>
      <c r="I53" s="11">
        <f>U8</f>
        <v>12</v>
      </c>
      <c r="J53" s="57">
        <f t="shared" si="2"/>
        <v>41.764939909758922</v>
      </c>
      <c r="K53" s="45">
        <f t="shared" si="3"/>
        <v>-48.235060090241063</v>
      </c>
    </row>
    <row r="54" spans="1:22" x14ac:dyDescent="0.45">
      <c r="B54" s="11" t="s">
        <v>809</v>
      </c>
      <c r="C54" s="11">
        <v>4</v>
      </c>
      <c r="D54" s="41">
        <f>M8+(4-(G8+1)/2)*I8</f>
        <v>7.5</v>
      </c>
      <c r="E54" s="11">
        <f>H8</f>
        <v>20</v>
      </c>
      <c r="F54" s="11" t="s">
        <v>1108</v>
      </c>
      <c r="G54" s="43">
        <f>R8+N8*(D54-M8)</f>
        <v>43.764939909758922</v>
      </c>
      <c r="H54" s="43">
        <f>G54-F8</f>
        <v>40.764939909758922</v>
      </c>
      <c r="I54" s="11">
        <f>U8</f>
        <v>12</v>
      </c>
      <c r="J54" s="57">
        <f t="shared" si="2"/>
        <v>41.764939909758922</v>
      </c>
      <c r="K54" s="45">
        <f t="shared" si="3"/>
        <v>-48.235060090241063</v>
      </c>
    </row>
    <row r="55" spans="1:22" x14ac:dyDescent="0.45">
      <c r="B55" s="11" t="s">
        <v>808</v>
      </c>
      <c r="C55" s="11">
        <v>1</v>
      </c>
      <c r="D55" s="41">
        <f>M9+(1-(G9+1)/2)*I9</f>
        <v>-6.75</v>
      </c>
      <c r="E55" s="11">
        <f>H9</f>
        <v>18</v>
      </c>
      <c r="F55" s="11" t="s">
        <v>1109</v>
      </c>
      <c r="G55" s="43">
        <f>R9+N9*(D55-M9)</f>
        <v>43.237692232218137</v>
      </c>
      <c r="H55" s="43">
        <f>G55-F9</f>
        <v>40.237692232218137</v>
      </c>
      <c r="I55" s="11">
        <f>U9</f>
        <v>12</v>
      </c>
      <c r="J55" s="57">
        <f t="shared" si="2"/>
        <v>41.237692232218137</v>
      </c>
      <c r="K55" s="45">
        <f t="shared" si="3"/>
        <v>-48.762307767781849</v>
      </c>
    </row>
    <row r="56" spans="1:22" x14ac:dyDescent="0.45">
      <c r="B56" s="11" t="s">
        <v>808</v>
      </c>
      <c r="C56" s="11">
        <v>2</v>
      </c>
      <c r="D56" s="41">
        <f>M9+(2-(G9+1)/2)*I9</f>
        <v>-2.25</v>
      </c>
      <c r="E56" s="11">
        <f>H9</f>
        <v>18</v>
      </c>
      <c r="F56" s="11" t="s">
        <v>1109</v>
      </c>
      <c r="G56" s="43">
        <f>R9+N9*(D56-M9)</f>
        <v>43.237692232218137</v>
      </c>
      <c r="H56" s="43">
        <f>G56-F9</f>
        <v>40.237692232218137</v>
      </c>
      <c r="I56" s="11">
        <f>U9</f>
        <v>12</v>
      </c>
      <c r="J56" s="57">
        <f t="shared" si="2"/>
        <v>41.237692232218137</v>
      </c>
      <c r="K56" s="45">
        <f t="shared" si="3"/>
        <v>-48.762307767781849</v>
      </c>
    </row>
    <row r="57" spans="1:22" x14ac:dyDescent="0.45">
      <c r="B57" s="11" t="s">
        <v>808</v>
      </c>
      <c r="C57" s="11">
        <v>3</v>
      </c>
      <c r="D57" s="41">
        <f>M9+(3-(G9+1)/2)*I9</f>
        <v>2.25</v>
      </c>
      <c r="E57" s="11">
        <f>H9</f>
        <v>18</v>
      </c>
      <c r="F57" s="11" t="s">
        <v>1109</v>
      </c>
      <c r="G57" s="43">
        <f>R9+N9*(D57-M9)</f>
        <v>43.237692232218137</v>
      </c>
      <c r="H57" s="43">
        <f>G57-F9</f>
        <v>40.237692232218137</v>
      </c>
      <c r="I57" s="11">
        <f>U9</f>
        <v>12</v>
      </c>
      <c r="J57" s="57">
        <f t="shared" si="2"/>
        <v>41.237692232218137</v>
      </c>
      <c r="K57" s="45">
        <f t="shared" si="3"/>
        <v>-48.762307767781849</v>
      </c>
    </row>
    <row r="58" spans="1:22" x14ac:dyDescent="0.45">
      <c r="B58" s="11" t="s">
        <v>808</v>
      </c>
      <c r="C58" s="11">
        <v>4</v>
      </c>
      <c r="D58" s="41">
        <f>M9+(4-(G9+1)/2)*I9</f>
        <v>6.75</v>
      </c>
      <c r="E58" s="11">
        <f>H9</f>
        <v>18</v>
      </c>
      <c r="F58" s="11" t="s">
        <v>1109</v>
      </c>
      <c r="G58" s="43">
        <f>R9+N9*(D58-M9)</f>
        <v>43.237692232218137</v>
      </c>
      <c r="H58" s="43">
        <f>G58-F9</f>
        <v>40.237692232218137</v>
      </c>
      <c r="I58" s="11">
        <f>U9</f>
        <v>12</v>
      </c>
      <c r="J58" s="57">
        <f t="shared" si="2"/>
        <v>41.237692232218137</v>
      </c>
      <c r="K58" s="45">
        <f t="shared" si="3"/>
        <v>-48.762307767781849</v>
      </c>
    </row>
    <row r="59" spans="1:22" x14ac:dyDescent="0.45">
      <c r="B59" s="11" t="s">
        <v>810</v>
      </c>
      <c r="C59" s="11">
        <v>1</v>
      </c>
      <c r="D59" s="41">
        <f>M10+(1-(G10+1)/2)*I10</f>
        <v>-6.75</v>
      </c>
      <c r="E59" s="11">
        <f>H10</f>
        <v>18</v>
      </c>
      <c r="F59" s="11" t="s">
        <v>1109</v>
      </c>
      <c r="G59" s="43">
        <f>R10+N10*(D59-M10)</f>
        <v>43.249692144029659</v>
      </c>
      <c r="H59" s="43">
        <f>G59-F10</f>
        <v>40.249692144029659</v>
      </c>
      <c r="I59" s="11">
        <f>U10</f>
        <v>12</v>
      </c>
      <c r="J59" s="57">
        <f t="shared" si="2"/>
        <v>41.249692144029659</v>
      </c>
      <c r="K59" s="45">
        <f t="shared" si="3"/>
        <v>-48.750307855970327</v>
      </c>
    </row>
    <row r="60" spans="1:22" x14ac:dyDescent="0.45">
      <c r="B60" s="11" t="s">
        <v>810</v>
      </c>
      <c r="C60" s="11">
        <v>2</v>
      </c>
      <c r="D60" s="41">
        <f>M10+(2-(G10+1)/2)*I10</f>
        <v>-2.25</v>
      </c>
      <c r="E60" s="11">
        <f>H10</f>
        <v>18</v>
      </c>
      <c r="F60" s="11" t="s">
        <v>1109</v>
      </c>
      <c r="G60" s="43">
        <f>R10+N10*(D60-M10)</f>
        <v>43.249692144029659</v>
      </c>
      <c r="H60" s="43">
        <f>G60-F10</f>
        <v>40.249692144029659</v>
      </c>
      <c r="I60" s="11">
        <f>U10</f>
        <v>12</v>
      </c>
      <c r="J60" s="57">
        <f t="shared" si="2"/>
        <v>41.249692144029659</v>
      </c>
      <c r="K60" s="45">
        <f t="shared" si="3"/>
        <v>-48.750307855970327</v>
      </c>
    </row>
    <row r="61" spans="1:22" x14ac:dyDescent="0.45">
      <c r="B61" s="11" t="s">
        <v>810</v>
      </c>
      <c r="C61" s="11">
        <v>3</v>
      </c>
      <c r="D61" s="41">
        <f>M10+(3-(G10+1)/2)*I10</f>
        <v>2.25</v>
      </c>
      <c r="E61" s="11">
        <f>H10</f>
        <v>18</v>
      </c>
      <c r="F61" s="11" t="s">
        <v>1109</v>
      </c>
      <c r="G61" s="43">
        <f>R10+N10*(D61-M10)</f>
        <v>43.249692144029659</v>
      </c>
      <c r="H61" s="43">
        <f>G61-F10</f>
        <v>40.249692144029659</v>
      </c>
      <c r="I61" s="11">
        <f>U10</f>
        <v>12</v>
      </c>
      <c r="J61" s="57">
        <f t="shared" si="2"/>
        <v>41.249692144029659</v>
      </c>
      <c r="K61" s="45">
        <f t="shared" si="3"/>
        <v>-48.750307855970327</v>
      </c>
    </row>
    <row r="62" spans="1:22" x14ac:dyDescent="0.45">
      <c r="B62" s="11" t="s">
        <v>810</v>
      </c>
      <c r="C62" s="11">
        <v>4</v>
      </c>
      <c r="D62" s="41">
        <f>M10+(4-(G10+1)/2)*I10</f>
        <v>6.75</v>
      </c>
      <c r="E62" s="11">
        <f>H10</f>
        <v>18</v>
      </c>
      <c r="F62" s="11" t="s">
        <v>1109</v>
      </c>
      <c r="G62" s="43">
        <f>R10+N10*(D62-M10)</f>
        <v>43.249692144029659</v>
      </c>
      <c r="H62" s="43">
        <f>G62-F10</f>
        <v>40.249692144029659</v>
      </c>
      <c r="I62" s="11">
        <f>U10</f>
        <v>12</v>
      </c>
      <c r="J62" s="57">
        <f t="shared" si="2"/>
        <v>41.249692144029659</v>
      </c>
      <c r="K62" s="45">
        <f t="shared" si="3"/>
        <v>-48.750307855970327</v>
      </c>
    </row>
  </sheetData>
  <conditionalFormatting sqref="G27:H32">
    <cfRule type="cellIs" dxfId="20" priority="10" operator="equal">
      <formula>"PASS"</formula>
    </cfRule>
    <cfRule type="cellIs" dxfId="19" priority="11" operator="equal">
      <formula>"FAIL"</formula>
    </cfRule>
    <cfRule type="cellIs" dxfId="18" priority="12" operator="equal">
      <formula>"CHECK"</formula>
    </cfRule>
  </conditionalFormatting>
  <conditionalFormatting sqref="I16:I23">
    <cfRule type="cellIs" dxfId="17" priority="7" operator="equal">
      <formula>"PASS"</formula>
    </cfRule>
    <cfRule type="cellIs" dxfId="16" priority="8" operator="equal">
      <formula>"FAIL"</formula>
    </cfRule>
    <cfRule type="cellIs" dxfId="15" priority="9" operator="equal">
      <formula>"CHECK"</formula>
    </cfRule>
  </conditionalFormatting>
  <conditionalFormatting sqref="L8:L10">
    <cfRule type="cellIs" dxfId="14" priority="1" operator="equal">
      <formula>"PASS"</formula>
    </cfRule>
    <cfRule type="cellIs" dxfId="13" priority="2" operator="equal">
      <formula>"FAIL"</formula>
    </cfRule>
    <cfRule type="cellIs" dxfId="12" priority="3" operator="equal">
      <formula>"CHECK"</formula>
    </cfRule>
  </conditionalFormatting>
  <conditionalFormatting sqref="V8:V10">
    <cfRule type="cellIs" dxfId="11" priority="4" operator="equal">
      <formula>"PASS"</formula>
    </cfRule>
    <cfRule type="cellIs" dxfId="10" priority="5" operator="equal">
      <formula>"FAIL"</formula>
    </cfRule>
    <cfRule type="cellIs" dxfId="9" priority="6" operator="equal">
      <formula>"CHECK"</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A96A3"/>
  </sheetPr>
  <dimension ref="B1:M60"/>
  <sheetViews>
    <sheetView showGridLines="0" workbookViewId="0"/>
  </sheetViews>
  <sheetFormatPr defaultRowHeight="14.25" x14ac:dyDescent="0.45"/>
  <cols>
    <col min="1" max="1" width="2" customWidth="1"/>
    <col min="2" max="13" width="11.46484375" customWidth="1"/>
  </cols>
  <sheetData>
    <row r="1" spans="2:13" ht="20.65" x14ac:dyDescent="0.6">
      <c r="B1" s="35" t="s">
        <v>1110</v>
      </c>
    </row>
    <row r="2" spans="2:13" x14ac:dyDescent="0.45">
      <c r="B2" s="8" t="s">
        <v>1111</v>
      </c>
    </row>
    <row r="5" spans="2:13" ht="18" customHeight="1" x14ac:dyDescent="0.45">
      <c r="B5" s="36" t="s">
        <v>1112</v>
      </c>
      <c r="C5" s="18"/>
      <c r="D5" s="18"/>
      <c r="E5" s="18"/>
      <c r="F5" s="18"/>
      <c r="G5" s="18"/>
      <c r="H5" s="18"/>
      <c r="I5" s="18"/>
      <c r="J5" s="18"/>
      <c r="K5" s="18"/>
      <c r="L5" s="18"/>
      <c r="M5" s="18"/>
    </row>
    <row r="6" spans="2:13" ht="15" customHeight="1" x14ac:dyDescent="0.45"/>
    <row r="7" spans="2:13" ht="15" customHeight="1" x14ac:dyDescent="0.45"/>
    <row r="8" spans="2:13" ht="15" customHeight="1" x14ac:dyDescent="0.45"/>
    <row r="9" spans="2:13" ht="15" customHeight="1" x14ac:dyDescent="0.45"/>
    <row r="10" spans="2:13" ht="15" customHeight="1" x14ac:dyDescent="0.45"/>
    <row r="11" spans="2:13" ht="15" customHeight="1" x14ac:dyDescent="0.45"/>
    <row r="13" spans="2:13" ht="18" customHeight="1" x14ac:dyDescent="0.45">
      <c r="B13" s="36" t="s">
        <v>1113</v>
      </c>
      <c r="C13" s="18"/>
      <c r="D13" s="18"/>
      <c r="E13" s="18"/>
      <c r="F13" s="18"/>
      <c r="G13" s="18"/>
      <c r="H13" s="18"/>
      <c r="I13" s="18"/>
      <c r="J13" s="18"/>
      <c r="K13" s="18"/>
      <c r="L13" s="18"/>
      <c r="M13" s="18"/>
    </row>
    <row r="14" spans="2:13" ht="16.25" customHeight="1" x14ac:dyDescent="0.45">
      <c r="B14" s="76" t="s">
        <v>1114</v>
      </c>
      <c r="C14" s="75"/>
      <c r="D14" s="75"/>
      <c r="E14" s="75"/>
      <c r="F14" s="75"/>
      <c r="G14" s="75"/>
      <c r="H14" s="75"/>
      <c r="I14" s="75"/>
      <c r="J14" s="75"/>
      <c r="K14" s="75"/>
      <c r="L14" s="75"/>
      <c r="M14" s="75"/>
    </row>
    <row r="15" spans="2:13" ht="15" customHeight="1" x14ac:dyDescent="0.45"/>
    <row r="16" spans="2:13" ht="15" customHeight="1" x14ac:dyDescent="0.45"/>
    <row r="17" spans="2:13" ht="15" customHeight="1" x14ac:dyDescent="0.45"/>
    <row r="19" spans="2:13" ht="18" customHeight="1" x14ac:dyDescent="0.45">
      <c r="B19" s="36" t="s">
        <v>1115</v>
      </c>
      <c r="C19" s="18"/>
      <c r="D19" s="18"/>
      <c r="E19" s="18"/>
      <c r="F19" s="18"/>
      <c r="G19" s="18"/>
      <c r="H19" s="18"/>
      <c r="I19" s="18"/>
      <c r="J19" s="18"/>
      <c r="K19" s="18"/>
      <c r="L19" s="18"/>
      <c r="M19" s="18"/>
    </row>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15" customHeight="1" x14ac:dyDescent="0.45"/>
    <row r="26" spans="2:13" ht="15" customHeight="1" x14ac:dyDescent="0.45"/>
    <row r="27" spans="2:13" ht="15" customHeight="1" x14ac:dyDescent="0.45"/>
    <row r="28" spans="2:13" ht="15" customHeight="1" x14ac:dyDescent="0.45"/>
    <row r="29" spans="2:13" ht="15" customHeight="1" x14ac:dyDescent="0.45"/>
    <row r="30" spans="2:13" ht="15" customHeight="1" x14ac:dyDescent="0.45"/>
    <row r="31" spans="2:13" ht="15" customHeight="1" x14ac:dyDescent="0.45"/>
    <row r="32" spans="2:13" ht="15" customHeight="1" x14ac:dyDescent="0.45"/>
    <row r="33" spans="2:13" ht="15" customHeight="1" x14ac:dyDescent="0.45"/>
    <row r="34" spans="2:13" ht="15" customHeight="1" x14ac:dyDescent="0.45"/>
    <row r="35" spans="2:13" ht="15" customHeight="1" x14ac:dyDescent="0.45"/>
    <row r="36" spans="2:13" ht="15" customHeight="1" x14ac:dyDescent="0.45"/>
    <row r="37" spans="2:13" ht="15" customHeight="1" x14ac:dyDescent="0.45"/>
    <row r="38" spans="2:13" ht="16.25" customHeight="1" x14ac:dyDescent="0.45">
      <c r="B38" s="74" t="s">
        <v>1116</v>
      </c>
      <c r="C38" s="75"/>
      <c r="D38" s="75"/>
      <c r="E38" s="75"/>
      <c r="F38" s="75"/>
      <c r="G38" s="75"/>
      <c r="H38" s="75"/>
      <c r="I38" s="75"/>
      <c r="J38" s="75"/>
      <c r="K38" s="75"/>
      <c r="L38" s="75"/>
      <c r="M38" s="75"/>
    </row>
    <row r="39" spans="2:13" ht="15" customHeight="1" x14ac:dyDescent="0.45"/>
    <row r="40" spans="2:13" ht="15" customHeight="1" x14ac:dyDescent="0.45"/>
    <row r="41" spans="2:13" ht="15" customHeight="1" x14ac:dyDescent="0.45"/>
    <row r="42" spans="2:13" ht="15" customHeight="1" x14ac:dyDescent="0.45"/>
    <row r="43" spans="2:13" ht="15" customHeight="1" x14ac:dyDescent="0.45"/>
    <row r="44" spans="2:13" ht="15" customHeight="1" x14ac:dyDescent="0.45"/>
    <row r="45" spans="2:13" ht="15" customHeight="1" x14ac:dyDescent="0.45"/>
    <row r="46" spans="2:13" ht="15" customHeight="1" x14ac:dyDescent="0.45"/>
    <row r="47" spans="2:13" ht="15" customHeight="1" x14ac:dyDescent="0.45"/>
    <row r="48" spans="2:13" ht="15" customHeight="1" x14ac:dyDescent="0.45"/>
    <row r="49" spans="2:13" ht="15" customHeight="1" x14ac:dyDescent="0.45"/>
    <row r="50" spans="2:13" ht="15" customHeight="1" x14ac:dyDescent="0.45"/>
    <row r="51" spans="2:13" ht="15" customHeight="1" x14ac:dyDescent="0.45"/>
    <row r="52" spans="2:13" ht="15" customHeight="1" x14ac:dyDescent="0.45"/>
    <row r="53" spans="2:13" ht="15" customHeight="1" x14ac:dyDescent="0.45"/>
    <row r="54" spans="2:13" ht="16.25" customHeight="1" x14ac:dyDescent="0.45">
      <c r="B54" s="74" t="s">
        <v>1117</v>
      </c>
      <c r="C54" s="75"/>
      <c r="D54" s="75"/>
      <c r="E54" s="75"/>
      <c r="F54" s="75"/>
      <c r="G54" s="75"/>
      <c r="H54" s="75"/>
      <c r="I54" s="75"/>
      <c r="J54" s="75"/>
      <c r="K54" s="75"/>
      <c r="L54" s="75"/>
      <c r="M54" s="75"/>
    </row>
    <row r="55" spans="2:13" ht="42.6" customHeight="1" x14ac:dyDescent="0.45">
      <c r="B55" s="79" t="s">
        <v>1118</v>
      </c>
      <c r="C55" s="80"/>
      <c r="D55" s="80"/>
      <c r="E55" s="80"/>
      <c r="F55" s="80"/>
      <c r="G55" s="80"/>
      <c r="H55" s="80"/>
      <c r="I55" s="80"/>
      <c r="J55" s="80"/>
      <c r="K55" s="80"/>
      <c r="L55" s="80"/>
      <c r="M55" s="80"/>
    </row>
    <row r="56" spans="2:13" x14ac:dyDescent="0.45">
      <c r="B56" s="77" t="s">
        <v>106</v>
      </c>
      <c r="C56" s="77" t="s">
        <v>671</v>
      </c>
      <c r="D56" s="78"/>
      <c r="E56" s="78"/>
      <c r="F56" s="78"/>
      <c r="G56" s="78"/>
      <c r="H56" s="77" t="s">
        <v>672</v>
      </c>
      <c r="I56" s="78"/>
      <c r="J56" s="78"/>
      <c r="K56" s="77" t="s">
        <v>673</v>
      </c>
      <c r="L56" s="78"/>
      <c r="M56" s="78"/>
    </row>
    <row r="57" spans="2:13" ht="15.2" customHeight="1" x14ac:dyDescent="0.45">
      <c r="B57" s="76" t="s">
        <v>1119</v>
      </c>
      <c r="C57" s="76" t="s">
        <v>1120</v>
      </c>
      <c r="D57" s="75"/>
      <c r="E57" s="75"/>
      <c r="F57" s="75"/>
      <c r="G57" s="75"/>
      <c r="H57" s="76" t="s">
        <v>1121</v>
      </c>
      <c r="I57" s="75"/>
      <c r="J57" s="75"/>
      <c r="K57" s="76" t="s">
        <v>1122</v>
      </c>
      <c r="L57" s="75"/>
      <c r="M57" s="75"/>
    </row>
    <row r="58" spans="2:13" ht="15.2" customHeight="1" x14ac:dyDescent="0.45">
      <c r="B58" s="76" t="s">
        <v>1123</v>
      </c>
      <c r="C58" s="76" t="s">
        <v>308</v>
      </c>
      <c r="D58" s="75"/>
      <c r="E58" s="75"/>
      <c r="F58" s="75"/>
      <c r="G58" s="75"/>
      <c r="H58" s="76" t="s">
        <v>1124</v>
      </c>
      <c r="I58" s="75"/>
      <c r="J58" s="75"/>
      <c r="K58" s="76" t="s">
        <v>215</v>
      </c>
      <c r="L58" s="75"/>
      <c r="M58" s="75"/>
    </row>
    <row r="59" spans="2:13" ht="15.2" customHeight="1" x14ac:dyDescent="0.45">
      <c r="B59" s="76" t="s">
        <v>1125</v>
      </c>
      <c r="C59" s="76" t="s">
        <v>1126</v>
      </c>
      <c r="D59" s="75"/>
      <c r="E59" s="75"/>
      <c r="F59" s="75"/>
      <c r="G59" s="75"/>
      <c r="H59" s="76" t="s">
        <v>1127</v>
      </c>
      <c r="I59" s="75"/>
      <c r="J59" s="75"/>
      <c r="K59" s="76" t="s">
        <v>1128</v>
      </c>
      <c r="L59" s="75"/>
      <c r="M59" s="75"/>
    </row>
    <row r="60" spans="2:13" ht="15.2" customHeight="1" x14ac:dyDescent="0.45">
      <c r="B60" s="76" t="s">
        <v>1129</v>
      </c>
      <c r="C60" s="76" t="s">
        <v>1130</v>
      </c>
      <c r="D60" s="75"/>
      <c r="E60" s="75"/>
      <c r="F60" s="75"/>
      <c r="G60" s="75"/>
      <c r="H60" s="76" t="s">
        <v>1131</v>
      </c>
      <c r="I60" s="75"/>
      <c r="J60" s="75"/>
      <c r="K60" s="76" t="s">
        <v>215</v>
      </c>
      <c r="L60" s="75"/>
      <c r="M60" s="75"/>
    </row>
  </sheetData>
  <mergeCells count="24">
    <mergeCell ref="C60:G60"/>
    <mergeCell ref="B60"/>
    <mergeCell ref="B57"/>
    <mergeCell ref="B54:M54"/>
    <mergeCell ref="C57:G57"/>
    <mergeCell ref="H58:J58"/>
    <mergeCell ref="H56:J56"/>
    <mergeCell ref="H59:J59"/>
    <mergeCell ref="H60:J60"/>
    <mergeCell ref="C58:G58"/>
    <mergeCell ref="B14:M14"/>
    <mergeCell ref="K60:M60"/>
    <mergeCell ref="K58:M58"/>
    <mergeCell ref="K56:M56"/>
    <mergeCell ref="K59:M59"/>
    <mergeCell ref="B38:M38"/>
    <mergeCell ref="H57:J57"/>
    <mergeCell ref="B59"/>
    <mergeCell ref="C56:G56"/>
    <mergeCell ref="B55:M55"/>
    <mergeCell ref="C59:G59"/>
    <mergeCell ref="K57:M57"/>
    <mergeCell ref="B56"/>
    <mergeCell ref="B58"/>
  </mergeCells>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2A36"/>
  </sheetPr>
  <dimension ref="A1:X16"/>
  <sheetViews>
    <sheetView showGridLines="0" workbookViewId="0"/>
  </sheetViews>
  <sheetFormatPr defaultRowHeight="14.25" x14ac:dyDescent="0.45"/>
  <cols>
    <col min="1" max="1" width="3" customWidth="1"/>
    <col min="2" max="2" width="14" customWidth="1"/>
    <col min="3" max="25" width="11" customWidth="1"/>
  </cols>
  <sheetData>
    <row r="1" spans="1:24" ht="17.649999999999999" x14ac:dyDescent="0.5">
      <c r="A1" s="15" t="s">
        <v>56</v>
      </c>
      <c r="P1" s="37" t="s">
        <v>111</v>
      </c>
      <c r="Q1" s="2" t="str">
        <f>""&amp;TB_Project</f>
        <v>D2 I-95 Pedestrian Bridge</v>
      </c>
    </row>
    <row r="2" spans="1:24" x14ac:dyDescent="0.45">
      <c r="A2" s="8" t="s">
        <v>1132</v>
      </c>
      <c r="P2" s="37" t="s">
        <v>119</v>
      </c>
      <c r="Q2" s="2" t="str">
        <f>""&amp;TB_JobNo</f>
        <v/>
      </c>
    </row>
    <row r="3" spans="1:24" x14ac:dyDescent="0.45">
      <c r="P3" s="37" t="s">
        <v>694</v>
      </c>
      <c r="Q3" s="2" t="str">
        <f>TB_CalcBy&amp;"  "&amp;TB_CalcDate</f>
        <v xml:space="preserve">  </v>
      </c>
    </row>
    <row r="4" spans="1:24" x14ac:dyDescent="0.45">
      <c r="P4" s="37" t="s">
        <v>695</v>
      </c>
      <c r="Q4" s="2" t="str">
        <f>TB_CheckBy&amp;"  "&amp;TB_CheckDate</f>
        <v xml:space="preserve">  </v>
      </c>
    </row>
    <row r="6" spans="1:24" x14ac:dyDescent="0.45">
      <c r="A6" s="17" t="s">
        <v>1133</v>
      </c>
      <c r="B6" s="18"/>
      <c r="C6" s="18"/>
      <c r="D6" s="18"/>
      <c r="E6" s="18"/>
      <c r="F6" s="18"/>
      <c r="G6" s="18"/>
      <c r="H6" s="18"/>
      <c r="I6" s="18"/>
      <c r="J6" s="18"/>
      <c r="K6" s="18"/>
      <c r="L6" s="18"/>
      <c r="M6" s="18"/>
      <c r="N6" s="18"/>
      <c r="O6" s="18"/>
      <c r="P6" s="18"/>
      <c r="Q6" s="18"/>
      <c r="R6" s="18"/>
      <c r="S6" s="18"/>
      <c r="T6" s="18"/>
    </row>
    <row r="7" spans="1:24" ht="32" customHeight="1" x14ac:dyDescent="0.45">
      <c r="B7" s="19" t="s">
        <v>789</v>
      </c>
      <c r="C7" s="19" t="s">
        <v>1134</v>
      </c>
      <c r="D7" s="19" t="s">
        <v>1135</v>
      </c>
      <c r="E7" s="19" t="s">
        <v>1136</v>
      </c>
      <c r="F7" s="19" t="s">
        <v>1137</v>
      </c>
      <c r="G7" s="19" t="s">
        <v>1138</v>
      </c>
      <c r="H7" s="19" t="s">
        <v>1139</v>
      </c>
      <c r="I7" s="19" t="s">
        <v>1140</v>
      </c>
      <c r="J7" s="19" t="s">
        <v>1141</v>
      </c>
      <c r="K7" s="19" t="s">
        <v>1142</v>
      </c>
      <c r="L7" s="19" t="s">
        <v>1143</v>
      </c>
      <c r="M7" s="19" t="s">
        <v>1144</v>
      </c>
      <c r="N7" s="19" t="s">
        <v>1145</v>
      </c>
      <c r="O7" s="19" t="s">
        <v>1146</v>
      </c>
    </row>
    <row r="8" spans="1:24" x14ac:dyDescent="0.45">
      <c r="B8" s="11">
        <v>1</v>
      </c>
      <c r="C8" s="11">
        <f>MC1_A1_n+MC1_A2_n</f>
        <v>4</v>
      </c>
      <c r="D8" s="2">
        <f>MC1_A1_s</f>
        <v>3.5</v>
      </c>
      <c r="E8" s="2">
        <f>MC1_A3_n</f>
        <v>12</v>
      </c>
      <c r="F8" s="2">
        <f>MC1_A3_s</f>
        <v>3</v>
      </c>
      <c r="G8" s="2">
        <f>MC1_S1_n</f>
        <v>30</v>
      </c>
      <c r="H8" s="2">
        <f>MC1_S1_s</f>
        <v>5.9999999999999991</v>
      </c>
      <c r="I8" s="2">
        <f>MC1_S2_n</f>
        <v>20</v>
      </c>
      <c r="J8" s="2">
        <f>MC1_S2_s</f>
        <v>9</v>
      </c>
      <c r="K8" s="2">
        <f>MC1_S3_n</f>
        <v>5</v>
      </c>
      <c r="L8" s="2">
        <f>MC1_S3_s</f>
        <v>12</v>
      </c>
      <c r="M8" s="2">
        <f>MC1_S4_s</f>
        <v>18</v>
      </c>
      <c r="N8" s="2">
        <f>MC1_EndSp</f>
        <v>3</v>
      </c>
      <c r="O8" s="42" t="str">
        <f>IF(ABS(MC1_A1_s-MC1_A2_s)&lt;0.000000001,"PASS","FAIL")</f>
        <v>PASS</v>
      </c>
    </row>
    <row r="9" spans="1:24" x14ac:dyDescent="0.45">
      <c r="B9" s="11">
        <v>2</v>
      </c>
      <c r="C9" s="11">
        <f>MC2_A1_n+MC2_A2_n</f>
        <v>4</v>
      </c>
      <c r="D9" s="2">
        <f>MC2_A1_s</f>
        <v>3.5</v>
      </c>
      <c r="E9" s="2">
        <f>MC2_A3_n</f>
        <v>12</v>
      </c>
      <c r="F9" s="2">
        <f>MC2_A3_s</f>
        <v>3</v>
      </c>
      <c r="G9" s="2">
        <f>MC2_S1_n</f>
        <v>30</v>
      </c>
      <c r="H9" s="2">
        <f>MC2_S1_s</f>
        <v>5.9999999999999991</v>
      </c>
      <c r="I9" s="2">
        <f>MC2_S2_n</f>
        <v>20</v>
      </c>
      <c r="J9" s="2">
        <f>MC2_S2_s</f>
        <v>9</v>
      </c>
      <c r="K9" s="2">
        <f>MC2_S3_n</f>
        <v>5</v>
      </c>
      <c r="L9" s="2">
        <f>MC2_S3_s</f>
        <v>12</v>
      </c>
      <c r="M9" s="2">
        <f>MC2_S4_s</f>
        <v>18</v>
      </c>
      <c r="N9" s="2">
        <f>MC2_EndSp</f>
        <v>3</v>
      </c>
      <c r="O9" s="42" t="str">
        <f>IF(ABS(MC2_A1_s-MC2_A2_s)&lt;0.000000001,"PASS","FAIL")</f>
        <v>PASS</v>
      </c>
    </row>
    <row r="11" spans="1:24" x14ac:dyDescent="0.45">
      <c r="A11" s="17" t="s">
        <v>1147</v>
      </c>
      <c r="B11" s="18"/>
      <c r="C11" s="18"/>
      <c r="D11" s="18"/>
      <c r="E11" s="18"/>
      <c r="F11" s="18"/>
      <c r="G11" s="18"/>
      <c r="H11" s="18"/>
      <c r="I11" s="18"/>
      <c r="J11" s="18"/>
      <c r="K11" s="18"/>
      <c r="L11" s="18"/>
      <c r="M11" s="18"/>
      <c r="N11" s="18"/>
      <c r="O11" s="18"/>
      <c r="P11" s="18"/>
      <c r="Q11" s="18"/>
      <c r="R11" s="18"/>
      <c r="S11" s="18"/>
      <c r="T11" s="18"/>
      <c r="U11" s="18"/>
      <c r="V11" s="18"/>
      <c r="W11" s="18"/>
      <c r="X11" s="18"/>
    </row>
    <row r="12" spans="1:24" ht="32" customHeight="1" x14ac:dyDescent="0.45">
      <c r="B12" s="19" t="s">
        <v>737</v>
      </c>
      <c r="C12" s="19" t="s">
        <v>1148</v>
      </c>
      <c r="D12" s="19" t="s">
        <v>1149</v>
      </c>
      <c r="E12" s="19" t="s">
        <v>1150</v>
      </c>
      <c r="F12" s="19" t="s">
        <v>1151</v>
      </c>
      <c r="G12" s="19" t="s">
        <v>1152</v>
      </c>
      <c r="H12" s="19" t="s">
        <v>1153</v>
      </c>
      <c r="I12" s="19" t="s">
        <v>1154</v>
      </c>
      <c r="J12" s="19" t="s">
        <v>1155</v>
      </c>
      <c r="K12" s="19" t="s">
        <v>1156</v>
      </c>
      <c r="L12" s="19" t="s">
        <v>1157</v>
      </c>
      <c r="M12" s="19" t="s">
        <v>1158</v>
      </c>
      <c r="N12" s="19" t="s">
        <v>1159</v>
      </c>
      <c r="O12" s="19" t="s">
        <v>1160</v>
      </c>
      <c r="P12" s="19" t="s">
        <v>1161</v>
      </c>
      <c r="Q12" s="19" t="s">
        <v>1162</v>
      </c>
      <c r="R12" s="19" t="s">
        <v>1163</v>
      </c>
      <c r="S12" s="19" t="s">
        <v>1164</v>
      </c>
    </row>
    <row r="13" spans="1:24" x14ac:dyDescent="0.45">
      <c r="B13" s="11" t="s">
        <v>830</v>
      </c>
      <c r="C13" s="40">
        <f>'Beam Geometry'!S13</f>
        <v>107.10324975259935</v>
      </c>
      <c r="D13" s="44">
        <f>C13*12/2</f>
        <v>642.61949851559609</v>
      </c>
      <c r="E13" s="44">
        <f>N8+C8*D8+E8*F8+G8*H8+I8*J8+K8*L8</f>
        <v>473</v>
      </c>
      <c r="F13" s="11">
        <f>MAX(0,ROUNDDOWN((D13-E13)/M8,0))</f>
        <v>9</v>
      </c>
      <c r="G13" s="44">
        <f>(D13-E13-F13*M8)*2</f>
        <v>15.238997031192184</v>
      </c>
      <c r="H13" s="42" t="str">
        <f>IF(G13&lt;=M8+0.000000001,"PASS","CHECK")</f>
        <v>PASS</v>
      </c>
      <c r="I13" s="11">
        <f>2*(1+C8+E8+G8+I8+K8+F13)</f>
        <v>162</v>
      </c>
      <c r="J13" s="44">
        <f>Bar_C/SIN(RADIANS('Beam Geometry'!I13))</f>
        <v>17.5</v>
      </c>
      <c r="K13" s="44">
        <f>Bar_C/SIN(RADIANS('Beam Geometry'!J13))</f>
        <v>17.5</v>
      </c>
      <c r="L13" s="44">
        <f>Bar_DA/SIN(RADIANS('Beam Geometry'!I13))</f>
        <v>8.5</v>
      </c>
      <c r="M13" s="44">
        <f>Bar_DB/SIN(RADIANS('Beam Geometry'!I13))</f>
        <v>15</v>
      </c>
      <c r="N13" s="44">
        <f>Bar_DA/SIN(RADIANS('Beam Geometry'!J13))</f>
        <v>8.5</v>
      </c>
      <c r="O13" s="44">
        <f>Bar_DB/SIN(RADIANS('Beam Geometry'!J13))</f>
        <v>15</v>
      </c>
      <c r="P13" s="11">
        <f>(1+ROUNDUP((C13*12-2*(N8+C8*D8+E8*F8+Bar_D3s))/Bar_D3s,0))*2</f>
        <v>130</v>
      </c>
      <c r="Q13" s="44">
        <f>Bar_MD/SIN(RADIANS('Beam Geometry'!I13))</f>
        <v>44</v>
      </c>
      <c r="R13" s="44">
        <f>Bar_MD/SIN(RADIANS('Beam Geometry'!J13))</f>
        <v>44</v>
      </c>
      <c r="S13" s="11">
        <f>1+CEILING((C13*12-2*(3.5+2*7+Bar_Mk*6+12))/12,1)</f>
        <v>98</v>
      </c>
    </row>
    <row r="14" spans="1:24" x14ac:dyDescent="0.45">
      <c r="B14" s="11" t="s">
        <v>831</v>
      </c>
      <c r="C14" s="40">
        <f>'Beam Geometry'!S14</f>
        <v>107.10324975259935</v>
      </c>
      <c r="D14" s="44">
        <f>C14*12/2</f>
        <v>642.61949851559609</v>
      </c>
      <c r="E14" s="44">
        <f>N8+C8*D8+E8*F8+G8*H8+I8*J8+K8*L8</f>
        <v>473</v>
      </c>
      <c r="F14" s="11">
        <f>MAX(0,ROUNDDOWN((D14-E14)/M8,0))</f>
        <v>9</v>
      </c>
      <c r="G14" s="44">
        <f>(D14-E14-F14*M8)*2</f>
        <v>15.238997031192184</v>
      </c>
      <c r="H14" s="42" t="str">
        <f>IF(G14&lt;=M8+0.000000001,"PASS","CHECK")</f>
        <v>PASS</v>
      </c>
      <c r="I14" s="11">
        <f>2*(1+C8+E8+G8+I8+K8+F14)</f>
        <v>162</v>
      </c>
      <c r="J14" s="44">
        <f>Bar_C/SIN(RADIANS('Beam Geometry'!I14))</f>
        <v>17.5</v>
      </c>
      <c r="K14" s="44">
        <f>Bar_C/SIN(RADIANS('Beam Geometry'!J14))</f>
        <v>17.5</v>
      </c>
      <c r="L14" s="44">
        <f>Bar_DA/SIN(RADIANS('Beam Geometry'!I14))</f>
        <v>8.5</v>
      </c>
      <c r="M14" s="44">
        <f>Bar_DB/SIN(RADIANS('Beam Geometry'!I14))</f>
        <v>15</v>
      </c>
      <c r="N14" s="44">
        <f>Bar_DA/SIN(RADIANS('Beam Geometry'!J14))</f>
        <v>8.5</v>
      </c>
      <c r="O14" s="44">
        <f>Bar_DB/SIN(RADIANS('Beam Geometry'!J14))</f>
        <v>15</v>
      </c>
      <c r="P14" s="11">
        <f>(1+ROUNDUP((C14*12-2*(N8+C8*D8+E8*F8+Bar_D3s))/Bar_D3s,0))*2</f>
        <v>130</v>
      </c>
      <c r="Q14" s="44">
        <f>Bar_MD/SIN(RADIANS('Beam Geometry'!I14))</f>
        <v>44</v>
      </c>
      <c r="R14" s="44">
        <f>Bar_MD/SIN(RADIANS('Beam Geometry'!J14))</f>
        <v>44</v>
      </c>
      <c r="S14" s="11">
        <f>1+CEILING((C14*12-2*(3.5+2*7+Bar_Mk*6+12))/12,1)</f>
        <v>98</v>
      </c>
    </row>
    <row r="15" spans="1:24" x14ac:dyDescent="0.45">
      <c r="B15" s="11" t="s">
        <v>832</v>
      </c>
      <c r="C15" s="40">
        <f>'Beam Geometry'!S15</f>
        <v>104.65031373933842</v>
      </c>
      <c r="D15" s="44">
        <f>C15*12/2</f>
        <v>627.90188243603052</v>
      </c>
      <c r="E15" s="44">
        <f>N9+C9*D9+E9*F9+G9*H9+I9*J9+K9*L9</f>
        <v>473</v>
      </c>
      <c r="F15" s="11">
        <f>MAX(0,ROUNDDOWN((D15-E15)/M9,0))</f>
        <v>8</v>
      </c>
      <c r="G15" s="44">
        <f>(D15-E15-F15*M9)*2</f>
        <v>21.803764872061038</v>
      </c>
      <c r="H15" s="42" t="str">
        <f>IF(G15&lt;=M9+0.000000001,"PASS","CHECK")</f>
        <v>CHECK</v>
      </c>
      <c r="I15" s="11">
        <f>2*(1+C9+E9+G9+I9+K9+F15)</f>
        <v>160</v>
      </c>
      <c r="J15" s="44">
        <f>Bar_C/SIN(RADIANS('Beam Geometry'!I15))</f>
        <v>17.5</v>
      </c>
      <c r="K15" s="44">
        <f>Bar_C/SIN(RADIANS('Beam Geometry'!J15))</f>
        <v>17.5</v>
      </c>
      <c r="L15" s="44">
        <f>Bar_DA/SIN(RADIANS('Beam Geometry'!I15))</f>
        <v>8.5</v>
      </c>
      <c r="M15" s="44">
        <f>Bar_DB/SIN(RADIANS('Beam Geometry'!I15))</f>
        <v>15</v>
      </c>
      <c r="N15" s="44">
        <f>Bar_DA/SIN(RADIANS('Beam Geometry'!J15))</f>
        <v>8.5</v>
      </c>
      <c r="O15" s="44">
        <f>Bar_DB/SIN(RADIANS('Beam Geometry'!J15))</f>
        <v>15</v>
      </c>
      <c r="P15" s="11">
        <f>(1+ROUNDUP((C15*12-2*(N9+C9*D9+E9*F9+Bar_D3s))/Bar_D3s,0))*2</f>
        <v>126</v>
      </c>
      <c r="Q15" s="44">
        <f>Bar_MD/SIN(RADIANS('Beam Geometry'!I15))</f>
        <v>44</v>
      </c>
      <c r="R15" s="44">
        <f>Bar_MD/SIN(RADIANS('Beam Geometry'!J15))</f>
        <v>44</v>
      </c>
      <c r="S15" s="11">
        <f>1+CEILING((C15*12-2*(3.5+2*7+Bar_Mk*6+12))/12,1)</f>
        <v>95</v>
      </c>
    </row>
    <row r="16" spans="1:24" x14ac:dyDescent="0.45">
      <c r="B16" s="11" t="s">
        <v>833</v>
      </c>
      <c r="C16" s="40">
        <f>'Beam Geometry'!S16</f>
        <v>104.65031373933842</v>
      </c>
      <c r="D16" s="44">
        <f>C16*12/2</f>
        <v>627.90188243603052</v>
      </c>
      <c r="E16" s="44">
        <f>N9+C9*D9+E9*F9+G9*H9+I9*J9+K9*L9</f>
        <v>473</v>
      </c>
      <c r="F16" s="11">
        <f>MAX(0,ROUNDDOWN((D16-E16)/M9,0))</f>
        <v>8</v>
      </c>
      <c r="G16" s="44">
        <f>(D16-E16-F16*M9)*2</f>
        <v>21.803764872061038</v>
      </c>
      <c r="H16" s="42" t="str">
        <f>IF(G16&lt;=M9+0.000000001,"PASS","CHECK")</f>
        <v>CHECK</v>
      </c>
      <c r="I16" s="11">
        <f>2*(1+C9+E9+G9+I9+K9+F16)</f>
        <v>160</v>
      </c>
      <c r="J16" s="44">
        <f>Bar_C/SIN(RADIANS('Beam Geometry'!I16))</f>
        <v>17.5</v>
      </c>
      <c r="K16" s="44">
        <f>Bar_C/SIN(RADIANS('Beam Geometry'!J16))</f>
        <v>17.5</v>
      </c>
      <c r="L16" s="44">
        <f>Bar_DA/SIN(RADIANS('Beam Geometry'!I16))</f>
        <v>8.5</v>
      </c>
      <c r="M16" s="44">
        <f>Bar_DB/SIN(RADIANS('Beam Geometry'!I16))</f>
        <v>15</v>
      </c>
      <c r="N16" s="44">
        <f>Bar_DA/SIN(RADIANS('Beam Geometry'!J16))</f>
        <v>8.5</v>
      </c>
      <c r="O16" s="44">
        <f>Bar_DB/SIN(RADIANS('Beam Geometry'!J16))</f>
        <v>15</v>
      </c>
      <c r="P16" s="11">
        <f>(1+ROUNDUP((C16*12-2*(N9+C9*D9+E9*F9+Bar_D3s))/Bar_D3s,0))*2</f>
        <v>126</v>
      </c>
      <c r="Q16" s="44">
        <f>Bar_MD/SIN(RADIANS('Beam Geometry'!I16))</f>
        <v>44</v>
      </c>
      <c r="R16" s="44">
        <f>Bar_MD/SIN(RADIANS('Beam Geometry'!J16))</f>
        <v>44</v>
      </c>
      <c r="S16" s="11">
        <f>1+CEILING((C16*12-2*(3.5+2*7+Bar_Mk*6+12))/12,1)</f>
        <v>95</v>
      </c>
    </row>
  </sheetData>
  <conditionalFormatting sqref="H13:H16">
    <cfRule type="cellIs" dxfId="8" priority="4" operator="equal">
      <formula>"PASS"</formula>
    </cfRule>
    <cfRule type="cellIs" dxfId="7" priority="5" operator="equal">
      <formula>"FAIL"</formula>
    </cfRule>
    <cfRule type="cellIs" dxfId="6" priority="6" operator="equal">
      <formula>"CHECK"</formula>
    </cfRule>
  </conditionalFormatting>
  <conditionalFormatting sqref="O8:O9">
    <cfRule type="cellIs" dxfId="5" priority="1" operator="equal">
      <formula>"PASS"</formula>
    </cfRule>
    <cfRule type="cellIs" dxfId="4" priority="2" operator="equal">
      <formula>"FAIL"</formula>
    </cfRule>
    <cfRule type="cellIs" dxfId="3" priority="3" operator="equal">
      <formula>"CHECK"</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A96A3"/>
  </sheetPr>
  <dimension ref="B1:M40"/>
  <sheetViews>
    <sheetView showGridLines="0" workbookViewId="0"/>
  </sheetViews>
  <sheetFormatPr defaultRowHeight="14.25" x14ac:dyDescent="0.45"/>
  <cols>
    <col min="1" max="1" width="2" customWidth="1"/>
    <col min="2" max="13" width="11.46484375" customWidth="1"/>
  </cols>
  <sheetData>
    <row r="1" spans="2:13" ht="20.65" x14ac:dyDescent="0.6">
      <c r="B1" s="35" t="s">
        <v>1165</v>
      </c>
    </row>
    <row r="2" spans="2:13" x14ac:dyDescent="0.45">
      <c r="B2" s="8" t="s">
        <v>1166</v>
      </c>
    </row>
    <row r="5" spans="2:13" ht="18" customHeight="1" x14ac:dyDescent="0.45">
      <c r="B5" s="36" t="s">
        <v>1167</v>
      </c>
      <c r="C5" s="18"/>
      <c r="D5" s="18"/>
      <c r="E5" s="18"/>
      <c r="F5" s="18"/>
      <c r="G5" s="18"/>
      <c r="H5" s="18"/>
      <c r="I5" s="18"/>
      <c r="J5" s="18"/>
      <c r="K5" s="18"/>
      <c r="L5" s="18"/>
      <c r="M5" s="18"/>
    </row>
    <row r="6" spans="2:13" ht="29.45" customHeight="1" x14ac:dyDescent="0.45">
      <c r="B6" s="76" t="s">
        <v>1168</v>
      </c>
      <c r="C6" s="75"/>
      <c r="D6" s="75"/>
      <c r="E6" s="75"/>
      <c r="F6" s="75"/>
      <c r="G6" s="75"/>
      <c r="H6" s="75"/>
      <c r="I6" s="75"/>
      <c r="J6" s="75"/>
      <c r="K6" s="75"/>
      <c r="L6" s="75"/>
      <c r="M6" s="75"/>
    </row>
    <row r="7" spans="2:13" x14ac:dyDescent="0.45">
      <c r="B7" s="77" t="s">
        <v>106</v>
      </c>
      <c r="C7" s="77" t="s">
        <v>671</v>
      </c>
      <c r="D7" s="78"/>
      <c r="E7" s="78"/>
      <c r="F7" s="78"/>
      <c r="G7" s="78"/>
      <c r="H7" s="77" t="s">
        <v>672</v>
      </c>
      <c r="I7" s="78"/>
      <c r="J7" s="78"/>
      <c r="K7" s="77" t="s">
        <v>673</v>
      </c>
      <c r="L7" s="78"/>
      <c r="M7" s="78"/>
    </row>
    <row r="8" spans="2:13" ht="15.2" customHeight="1" x14ac:dyDescent="0.45">
      <c r="B8" s="76" t="s">
        <v>1169</v>
      </c>
      <c r="C8" s="76" t="s">
        <v>1170</v>
      </c>
      <c r="D8" s="75"/>
      <c r="E8" s="75"/>
      <c r="F8" s="75"/>
      <c r="G8" s="75"/>
      <c r="H8" s="76" t="s">
        <v>1171</v>
      </c>
      <c r="I8" s="75"/>
      <c r="J8" s="75"/>
      <c r="K8" s="76" t="s">
        <v>1172</v>
      </c>
      <c r="L8" s="75"/>
      <c r="M8" s="75"/>
    </row>
    <row r="9" spans="2:13" ht="15.2" customHeight="1" x14ac:dyDescent="0.45">
      <c r="B9" s="76" t="s">
        <v>1173</v>
      </c>
      <c r="C9" s="76" t="s">
        <v>1174</v>
      </c>
      <c r="D9" s="75"/>
      <c r="E9" s="75"/>
      <c r="F9" s="75"/>
      <c r="G9" s="75"/>
      <c r="H9" s="76" t="s">
        <v>1175</v>
      </c>
      <c r="I9" s="75"/>
      <c r="J9" s="75"/>
      <c r="K9" s="76" t="s">
        <v>1176</v>
      </c>
      <c r="L9" s="75"/>
      <c r="M9" s="75"/>
    </row>
    <row r="10" spans="2:13" ht="15.2" customHeight="1" x14ac:dyDescent="0.45">
      <c r="B10" s="76" t="s">
        <v>1177</v>
      </c>
      <c r="C10" s="76" t="s">
        <v>1178</v>
      </c>
      <c r="D10" s="75"/>
      <c r="E10" s="75"/>
      <c r="F10" s="75"/>
      <c r="G10" s="75"/>
      <c r="H10" s="76" t="s">
        <v>1179</v>
      </c>
      <c r="I10" s="75"/>
      <c r="J10" s="75"/>
      <c r="K10" s="76" t="s">
        <v>1180</v>
      </c>
      <c r="L10" s="75"/>
      <c r="M10" s="75"/>
    </row>
    <row r="11" spans="2:13" ht="15.2" customHeight="1" x14ac:dyDescent="0.45">
      <c r="B11" s="76" t="s">
        <v>1181</v>
      </c>
      <c r="C11" s="76" t="s">
        <v>1182</v>
      </c>
      <c r="D11" s="75"/>
      <c r="E11" s="75"/>
      <c r="F11" s="75"/>
      <c r="G11" s="75"/>
      <c r="H11" s="76" t="s">
        <v>1183</v>
      </c>
      <c r="I11" s="75"/>
      <c r="J11" s="75"/>
      <c r="K11" s="76" t="s">
        <v>1184</v>
      </c>
      <c r="L11" s="75"/>
      <c r="M11" s="75"/>
    </row>
    <row r="12" spans="2:13" ht="15.2" customHeight="1" x14ac:dyDescent="0.45">
      <c r="B12" s="76" t="s">
        <v>1185</v>
      </c>
      <c r="C12" s="76" t="s">
        <v>1186</v>
      </c>
      <c r="D12" s="75"/>
      <c r="E12" s="75"/>
      <c r="F12" s="75"/>
      <c r="G12" s="75"/>
      <c r="H12" s="76" t="s">
        <v>1187</v>
      </c>
      <c r="I12" s="75"/>
      <c r="J12" s="75"/>
      <c r="K12" s="76" t="s">
        <v>1188</v>
      </c>
      <c r="L12" s="75"/>
      <c r="M12" s="75"/>
    </row>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15" customHeight="1" x14ac:dyDescent="0.45"/>
    <row r="26" spans="2:13" ht="15" customHeight="1" x14ac:dyDescent="0.45"/>
    <row r="27" spans="2:13" ht="15" customHeight="1" x14ac:dyDescent="0.45"/>
    <row r="28" spans="2:13" ht="15" customHeight="1" x14ac:dyDescent="0.45"/>
    <row r="29" spans="2:13" ht="15" customHeight="1" x14ac:dyDescent="0.45"/>
    <row r="30" spans="2:13" ht="15" customHeight="1" x14ac:dyDescent="0.45"/>
    <row r="31" spans="2:13" ht="16.25" customHeight="1" x14ac:dyDescent="0.45">
      <c r="B31" s="74" t="s">
        <v>1189</v>
      </c>
      <c r="C31" s="75"/>
      <c r="D31" s="75"/>
      <c r="E31" s="75"/>
      <c r="F31" s="75"/>
      <c r="G31" s="75"/>
      <c r="H31" s="75"/>
      <c r="I31" s="75"/>
      <c r="J31" s="75"/>
      <c r="K31" s="75"/>
      <c r="L31" s="75"/>
      <c r="M31" s="75"/>
    </row>
    <row r="33" spans="2:13" ht="18" customHeight="1" x14ac:dyDescent="0.45">
      <c r="B33" s="36" t="s">
        <v>1190</v>
      </c>
      <c r="C33" s="18"/>
      <c r="D33" s="18"/>
      <c r="E33" s="18"/>
      <c r="F33" s="18"/>
      <c r="G33" s="18"/>
      <c r="H33" s="18"/>
      <c r="I33" s="18"/>
      <c r="J33" s="18"/>
      <c r="K33" s="18"/>
      <c r="L33" s="18"/>
      <c r="M33" s="18"/>
    </row>
    <row r="34" spans="2:13" ht="15" customHeight="1" x14ac:dyDescent="0.45"/>
    <row r="35" spans="2:13" ht="15" customHeight="1" x14ac:dyDescent="0.45"/>
    <row r="36" spans="2:13" ht="15" customHeight="1" x14ac:dyDescent="0.45"/>
    <row r="37" spans="2:13" ht="15" customHeight="1" x14ac:dyDescent="0.45"/>
    <row r="38" spans="2:13" ht="15" customHeight="1" x14ac:dyDescent="0.45"/>
    <row r="39" spans="2:13" ht="15" customHeight="1" x14ac:dyDescent="0.45"/>
    <row r="40" spans="2:13" ht="29.45" customHeight="1" x14ac:dyDescent="0.45">
      <c r="B40" s="79" t="s">
        <v>1191</v>
      </c>
      <c r="C40" s="80"/>
      <c r="D40" s="80"/>
      <c r="E40" s="80"/>
      <c r="F40" s="80"/>
      <c r="G40" s="80"/>
      <c r="H40" s="80"/>
      <c r="I40" s="80"/>
      <c r="J40" s="80"/>
      <c r="K40" s="80"/>
      <c r="L40" s="80"/>
      <c r="M40" s="80"/>
    </row>
  </sheetData>
  <mergeCells count="27">
    <mergeCell ref="B40:M40"/>
    <mergeCell ref="C9:G9"/>
    <mergeCell ref="K7:M7"/>
    <mergeCell ref="B6:M6"/>
    <mergeCell ref="B12"/>
    <mergeCell ref="K10:M10"/>
    <mergeCell ref="C12:G12"/>
    <mergeCell ref="B11"/>
    <mergeCell ref="H8:J8"/>
    <mergeCell ref="C11:G11"/>
    <mergeCell ref="C8:G8"/>
    <mergeCell ref="B8"/>
    <mergeCell ref="C7:G7"/>
    <mergeCell ref="H10:J10"/>
    <mergeCell ref="K9:M9"/>
    <mergeCell ref="B31:M31"/>
    <mergeCell ref="B9"/>
    <mergeCell ref="K12:M12"/>
    <mergeCell ref="H11:J11"/>
    <mergeCell ref="H7:J7"/>
    <mergeCell ref="K8:M8"/>
    <mergeCell ref="C10:G10"/>
    <mergeCell ref="B7"/>
    <mergeCell ref="H12:J12"/>
    <mergeCell ref="H9:J9"/>
    <mergeCell ref="B10"/>
    <mergeCell ref="K11:M11"/>
  </mergeCell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2A36"/>
  </sheetPr>
  <dimension ref="A1:V217"/>
  <sheetViews>
    <sheetView showGridLines="0" workbookViewId="0"/>
  </sheetViews>
  <sheetFormatPr defaultRowHeight="14.25" x14ac:dyDescent="0.45"/>
  <cols>
    <col min="1" max="1" width="3" customWidth="1"/>
    <col min="2" max="25" width="11" customWidth="1"/>
  </cols>
  <sheetData>
    <row r="1" spans="1:17" ht="17.649999999999999" x14ac:dyDescent="0.5">
      <c r="A1" s="15" t="s">
        <v>1192</v>
      </c>
      <c r="P1" s="37" t="s">
        <v>111</v>
      </c>
      <c r="Q1" s="2" t="str">
        <f>""&amp;TB_Project</f>
        <v>D2 I-95 Pedestrian Bridge</v>
      </c>
    </row>
    <row r="2" spans="1:17" x14ac:dyDescent="0.45">
      <c r="A2" s="8" t="s">
        <v>1193</v>
      </c>
      <c r="P2" s="37" t="s">
        <v>119</v>
      </c>
      <c r="Q2" s="2" t="str">
        <f>""&amp;TB_JobNo</f>
        <v/>
      </c>
    </row>
    <row r="3" spans="1:17" x14ac:dyDescent="0.45">
      <c r="P3" s="37" t="s">
        <v>694</v>
      </c>
      <c r="Q3" s="2" t="str">
        <f>TB_CalcBy&amp;"  "&amp;TB_CalcDate</f>
        <v xml:space="preserve">  </v>
      </c>
    </row>
    <row r="4" spans="1:17" x14ac:dyDescent="0.45">
      <c r="P4" s="37" t="s">
        <v>695</v>
      </c>
      <c r="Q4" s="2" t="str">
        <f>TB_CheckBy&amp;"  "&amp;TB_CheckDate</f>
        <v xml:space="preserve">  </v>
      </c>
    </row>
    <row r="6" spans="1:17" x14ac:dyDescent="0.45">
      <c r="A6" s="17" t="s">
        <v>1194</v>
      </c>
      <c r="B6" s="18"/>
      <c r="C6" s="18"/>
      <c r="D6" s="18"/>
      <c r="E6" s="18"/>
      <c r="F6" s="18"/>
      <c r="G6" s="18"/>
      <c r="H6" s="18"/>
      <c r="I6" s="18"/>
      <c r="J6" s="18"/>
      <c r="K6" s="18"/>
      <c r="L6" s="18"/>
    </row>
    <row r="7" spans="1:17" x14ac:dyDescent="0.45">
      <c r="B7" s="7" t="s">
        <v>1195</v>
      </c>
      <c r="F7" s="58">
        <f>MIN(U118:U217)</f>
        <v>18.361569093606256</v>
      </c>
      <c r="H7" s="8" t="s">
        <v>1196</v>
      </c>
    </row>
    <row r="8" spans="1:17" x14ac:dyDescent="0.45">
      <c r="B8" s="7" t="s">
        <v>1197</v>
      </c>
      <c r="F8" s="58">
        <f>INDEX(V118:V217,MATCH(Clr_Min,U118:U217,0))</f>
        <v>1699.462329</v>
      </c>
    </row>
    <row r="9" spans="1:17" x14ac:dyDescent="0.45">
      <c r="B9" s="7" t="s">
        <v>1198</v>
      </c>
      <c r="F9" s="52">
        <f>Rd_Req</f>
        <v>17</v>
      </c>
    </row>
    <row r="10" spans="1:17" x14ac:dyDescent="0.45">
      <c r="B10" s="7" t="s">
        <v>1199</v>
      </c>
      <c r="F10" s="58">
        <f>Clr_Min-Rd_Req</f>
        <v>1.3615690936062563</v>
      </c>
    </row>
    <row r="11" spans="1:17" x14ac:dyDescent="0.45">
      <c r="B11" s="7" t="s">
        <v>1200</v>
      </c>
      <c r="F11" s="52">
        <f>SUM(J16:J114)</f>
        <v>207.23188600000003</v>
      </c>
    </row>
    <row r="12" spans="1:17" x14ac:dyDescent="0.45">
      <c r="B12" s="7" t="s">
        <v>1201</v>
      </c>
      <c r="F12" s="59" t="str">
        <f>IF(Clr_Min&lt;Rd_Req-0.00000001,"Below requirement",IF(ABS(Clr_Cover-Prof_L)&lt;=0.000001,"Meets requirement","Covered region only"))</f>
        <v>Covered region only</v>
      </c>
    </row>
    <row r="14" spans="1:17" x14ac:dyDescent="0.45">
      <c r="A14" s="17" t="s">
        <v>1202</v>
      </c>
      <c r="B14" s="18"/>
      <c r="C14" s="18"/>
      <c r="D14" s="18"/>
      <c r="E14" s="18"/>
      <c r="F14" s="18"/>
      <c r="G14" s="18"/>
      <c r="H14" s="18"/>
      <c r="I14" s="18"/>
      <c r="J14" s="18"/>
      <c r="K14" s="18"/>
      <c r="L14" s="18"/>
    </row>
    <row r="15" spans="1:17" ht="32" customHeight="1" x14ac:dyDescent="0.45">
      <c r="B15" s="19" t="s">
        <v>1203</v>
      </c>
      <c r="C15" s="19" t="s">
        <v>1204</v>
      </c>
      <c r="D15" s="19" t="s">
        <v>1205</v>
      </c>
      <c r="E15" s="19" t="s">
        <v>1206</v>
      </c>
      <c r="F15" s="19" t="s">
        <v>1207</v>
      </c>
      <c r="G15" s="19" t="s">
        <v>1208</v>
      </c>
      <c r="H15" s="19" t="s">
        <v>1209</v>
      </c>
      <c r="I15" s="19" t="s">
        <v>1210</v>
      </c>
      <c r="J15" s="19" t="s">
        <v>1211</v>
      </c>
    </row>
    <row r="16" spans="1:17" x14ac:dyDescent="0.45">
      <c r="B16" s="11">
        <v>1</v>
      </c>
      <c r="C16" s="60">
        <v>0</v>
      </c>
      <c r="D16" s="60">
        <v>2.3367929999999428</v>
      </c>
      <c r="E16" s="41">
        <f t="shared" ref="E16:E47" si="0">C16+Rd_Shift</f>
        <v>1593.22</v>
      </c>
      <c r="F16" s="41">
        <f t="shared" ref="F16:F47" si="1">D16+Rd_Shift</f>
        <v>1595.556793</v>
      </c>
      <c r="G16" s="60">
        <v>24.034211378999998</v>
      </c>
      <c r="H16" s="61">
        <v>-6.4160994148819664E-2</v>
      </c>
      <c r="I16" s="61">
        <v>0</v>
      </c>
      <c r="J16" s="43">
        <f t="shared" ref="J16:J47" si="2">MAX(0,MIN(F16,Prof_Sta1)-MAX(E16,Prof_Sta0))</f>
        <v>2.3367929999999433</v>
      </c>
    </row>
    <row r="17" spans="2:10" x14ac:dyDescent="0.45">
      <c r="B17" s="11">
        <v>2</v>
      </c>
      <c r="C17" s="60">
        <v>2.3367929999999428</v>
      </c>
      <c r="D17" s="60">
        <v>5.1601399999999558</v>
      </c>
      <c r="E17" s="41">
        <f t="shared" si="0"/>
        <v>1595.556793</v>
      </c>
      <c r="F17" s="41">
        <f t="shared" si="1"/>
        <v>1598.38014</v>
      </c>
      <c r="G17" s="60">
        <v>23.884280416999999</v>
      </c>
      <c r="H17" s="61">
        <v>-2.95099645916647E-3</v>
      </c>
      <c r="I17" s="61">
        <v>0</v>
      </c>
      <c r="J17" s="43">
        <f t="shared" si="2"/>
        <v>2.8233470000000125</v>
      </c>
    </row>
    <row r="18" spans="2:10" x14ac:dyDescent="0.45">
      <c r="B18" s="11">
        <v>3</v>
      </c>
      <c r="C18" s="60">
        <v>5.1601399999999558</v>
      </c>
      <c r="D18" s="60">
        <v>7.0663770000001023</v>
      </c>
      <c r="E18" s="41">
        <f t="shared" si="0"/>
        <v>1598.38014</v>
      </c>
      <c r="F18" s="41">
        <f t="shared" si="1"/>
        <v>1600.2863770000001</v>
      </c>
      <c r="G18" s="60">
        <v>23.875948730000001</v>
      </c>
      <c r="H18" s="61">
        <v>-9.9363930088550287E-4</v>
      </c>
      <c r="I18" s="61">
        <v>0</v>
      </c>
      <c r="J18" s="43">
        <f t="shared" si="2"/>
        <v>1.9062370000001465</v>
      </c>
    </row>
    <row r="19" spans="2:10" x14ac:dyDescent="0.45">
      <c r="B19" s="11">
        <v>4</v>
      </c>
      <c r="C19" s="60">
        <v>7.0663770000001023</v>
      </c>
      <c r="D19" s="60">
        <v>9.98791099999994</v>
      </c>
      <c r="E19" s="41">
        <f t="shared" si="0"/>
        <v>1600.2863770000001</v>
      </c>
      <c r="F19" s="41">
        <f t="shared" si="1"/>
        <v>1603.207911</v>
      </c>
      <c r="G19" s="60">
        <v>23.874054617999999</v>
      </c>
      <c r="H19" s="61">
        <v>0.22410749866338589</v>
      </c>
      <c r="I19" s="61">
        <v>0</v>
      </c>
      <c r="J19" s="43">
        <f t="shared" si="2"/>
        <v>2.9215339999998378</v>
      </c>
    </row>
    <row r="20" spans="2:10" x14ac:dyDescent="0.45">
      <c r="B20" s="11">
        <v>5</v>
      </c>
      <c r="C20" s="60">
        <v>9.98791099999994</v>
      </c>
      <c r="D20" s="60">
        <v>10.251893999999989</v>
      </c>
      <c r="E20" s="41">
        <f t="shared" si="0"/>
        <v>1603.207911</v>
      </c>
      <c r="F20" s="41">
        <f t="shared" si="1"/>
        <v>1603.471894</v>
      </c>
      <c r="G20" s="60">
        <v>24.528792294999999</v>
      </c>
      <c r="H20" s="61">
        <v>7.591020633903281E-2</v>
      </c>
      <c r="I20" s="61">
        <v>0</v>
      </c>
      <c r="J20" s="43">
        <f t="shared" si="2"/>
        <v>0.26398300000005293</v>
      </c>
    </row>
    <row r="21" spans="2:10" x14ac:dyDescent="0.45">
      <c r="B21" s="11">
        <v>6</v>
      </c>
      <c r="C21" s="60">
        <v>10.251893999999989</v>
      </c>
      <c r="D21" s="60">
        <v>10.31191800000011</v>
      </c>
      <c r="E21" s="41">
        <f t="shared" si="0"/>
        <v>1603.471894</v>
      </c>
      <c r="F21" s="41">
        <f t="shared" si="1"/>
        <v>1603.5319180000001</v>
      </c>
      <c r="G21" s="60">
        <v>24.548831299</v>
      </c>
      <c r="H21" s="61">
        <v>7.591098560564262E-2</v>
      </c>
      <c r="I21" s="61">
        <v>0</v>
      </c>
      <c r="J21" s="43">
        <f t="shared" si="2"/>
        <v>6.002400000011221E-2</v>
      </c>
    </row>
    <row r="22" spans="2:10" x14ac:dyDescent="0.45">
      <c r="B22" s="11">
        <v>7</v>
      </c>
      <c r="C22" s="60">
        <v>10.31191800000011</v>
      </c>
      <c r="D22" s="60">
        <v>10.384334000000081</v>
      </c>
      <c r="E22" s="41">
        <f t="shared" si="0"/>
        <v>1603.5319180000001</v>
      </c>
      <c r="F22" s="41">
        <f t="shared" si="1"/>
        <v>1603.6043340000001</v>
      </c>
      <c r="G22" s="60">
        <v>24.553387780000001</v>
      </c>
      <c r="H22" s="61">
        <v>7.5910309876263724E-2</v>
      </c>
      <c r="I22" s="61">
        <v>0</v>
      </c>
      <c r="J22" s="43">
        <f t="shared" si="2"/>
        <v>7.2415999999975611E-2</v>
      </c>
    </row>
    <row r="23" spans="2:10" x14ac:dyDescent="0.45">
      <c r="B23" s="11">
        <v>8</v>
      </c>
      <c r="C23" s="60">
        <v>10.384334000000081</v>
      </c>
      <c r="D23" s="60">
        <v>10.455044999999931</v>
      </c>
      <c r="E23" s="41">
        <f t="shared" si="0"/>
        <v>1603.6043340000001</v>
      </c>
      <c r="F23" s="41">
        <f t="shared" si="1"/>
        <v>1603.675045</v>
      </c>
      <c r="G23" s="60">
        <v>24.558884900999999</v>
      </c>
      <c r="H23" s="61">
        <v>7.5910678678197979E-2</v>
      </c>
      <c r="I23" s="61">
        <v>0</v>
      </c>
      <c r="J23" s="43">
        <f t="shared" si="2"/>
        <v>7.0710999999846536E-2</v>
      </c>
    </row>
    <row r="24" spans="2:10" x14ac:dyDescent="0.45">
      <c r="B24" s="11">
        <v>9</v>
      </c>
      <c r="C24" s="60">
        <v>10.455044999999931</v>
      </c>
      <c r="D24" s="60">
        <v>11.77617299999997</v>
      </c>
      <c r="E24" s="41">
        <f t="shared" si="0"/>
        <v>1603.675045</v>
      </c>
      <c r="F24" s="41">
        <f t="shared" si="1"/>
        <v>1604.996173</v>
      </c>
      <c r="G24" s="60">
        <v>24.564252621000001</v>
      </c>
      <c r="H24" s="61">
        <v>7.5910456064813267E-2</v>
      </c>
      <c r="I24" s="61">
        <v>0</v>
      </c>
      <c r="J24" s="43">
        <f t="shared" si="2"/>
        <v>1.3211280000000443</v>
      </c>
    </row>
    <row r="25" spans="2:10" x14ac:dyDescent="0.45">
      <c r="B25" s="11">
        <v>10</v>
      </c>
      <c r="C25" s="60">
        <v>11.77617299999997</v>
      </c>
      <c r="D25" s="60">
        <v>12.54720300000008</v>
      </c>
      <c r="E25" s="41">
        <f t="shared" si="0"/>
        <v>1604.996173</v>
      </c>
      <c r="F25" s="41">
        <f t="shared" si="1"/>
        <v>1605.7672030000001</v>
      </c>
      <c r="G25" s="60">
        <v>24.664540049999999</v>
      </c>
      <c r="H25" s="61">
        <v>-0.1206597369751964</v>
      </c>
      <c r="I25" s="61">
        <v>0</v>
      </c>
      <c r="J25" s="43">
        <f t="shared" si="2"/>
        <v>0.77103000000010979</v>
      </c>
    </row>
    <row r="26" spans="2:10" x14ac:dyDescent="0.45">
      <c r="B26" s="11">
        <v>11</v>
      </c>
      <c r="C26" s="60">
        <v>12.54720300000008</v>
      </c>
      <c r="D26" s="60">
        <v>14.67012700000009</v>
      </c>
      <c r="E26" s="41">
        <f t="shared" si="0"/>
        <v>1605.7672030000001</v>
      </c>
      <c r="F26" s="41">
        <f t="shared" si="1"/>
        <v>1607.8901270000001</v>
      </c>
      <c r="G26" s="60">
        <v>24.571507773</v>
      </c>
      <c r="H26" s="61">
        <v>-4.8728382645821668E-2</v>
      </c>
      <c r="I26" s="61">
        <v>0</v>
      </c>
      <c r="J26" s="43">
        <f t="shared" si="2"/>
        <v>2.1229240000000118</v>
      </c>
    </row>
    <row r="27" spans="2:10" x14ac:dyDescent="0.45">
      <c r="B27" s="11">
        <v>12</v>
      </c>
      <c r="C27" s="60">
        <v>14.67012700000009</v>
      </c>
      <c r="D27" s="60">
        <v>22.874307000000041</v>
      </c>
      <c r="E27" s="41">
        <f t="shared" si="0"/>
        <v>1607.8901270000001</v>
      </c>
      <c r="F27" s="41">
        <f t="shared" si="1"/>
        <v>1616.0943070000001</v>
      </c>
      <c r="G27" s="60">
        <v>24.468061120000002</v>
      </c>
      <c r="H27" s="61">
        <v>-0.1428949908461308</v>
      </c>
      <c r="I27" s="61">
        <v>0</v>
      </c>
      <c r="J27" s="43">
        <f t="shared" si="2"/>
        <v>8.2041799999999512</v>
      </c>
    </row>
    <row r="28" spans="2:10" x14ac:dyDescent="0.45">
      <c r="B28" s="11">
        <v>13</v>
      </c>
      <c r="C28" s="60">
        <v>22.874307000000041</v>
      </c>
      <c r="D28" s="60">
        <v>26.687670000000029</v>
      </c>
      <c r="E28" s="41">
        <f t="shared" si="0"/>
        <v>1616.0943070000001</v>
      </c>
      <c r="F28" s="41">
        <f t="shared" si="1"/>
        <v>1619.9076700000001</v>
      </c>
      <c r="G28" s="60">
        <v>23.295724893999999</v>
      </c>
      <c r="H28" s="61">
        <v>-0.146446393380332</v>
      </c>
      <c r="I28" s="61">
        <v>0</v>
      </c>
      <c r="J28" s="43">
        <f t="shared" si="2"/>
        <v>3.8133629999999812</v>
      </c>
    </row>
    <row r="29" spans="2:10" x14ac:dyDescent="0.45">
      <c r="B29" s="11">
        <v>14</v>
      </c>
      <c r="C29" s="60">
        <v>26.687670000000029</v>
      </c>
      <c r="D29" s="60">
        <v>28.875017000000071</v>
      </c>
      <c r="E29" s="41">
        <f t="shared" si="0"/>
        <v>1619.9076700000001</v>
      </c>
      <c r="F29" s="41">
        <f t="shared" si="1"/>
        <v>1622.0950170000001</v>
      </c>
      <c r="G29" s="60">
        <v>22.737271635999999</v>
      </c>
      <c r="H29" s="61">
        <v>-2.149178845423207E-2</v>
      </c>
      <c r="I29" s="61">
        <v>0</v>
      </c>
      <c r="J29" s="43">
        <f t="shared" si="2"/>
        <v>2.1873470000000452</v>
      </c>
    </row>
    <row r="30" spans="2:10" x14ac:dyDescent="0.45">
      <c r="B30" s="11">
        <v>15</v>
      </c>
      <c r="C30" s="60">
        <v>28.875017000000071</v>
      </c>
      <c r="D30" s="60">
        <v>33.482909000000063</v>
      </c>
      <c r="E30" s="41">
        <f t="shared" si="0"/>
        <v>1622.0950170000001</v>
      </c>
      <c r="F30" s="41">
        <f t="shared" si="1"/>
        <v>1626.7029090000001</v>
      </c>
      <c r="G30" s="60">
        <v>22.690261636999999</v>
      </c>
      <c r="H30" s="61">
        <v>-3.0469016417919451E-2</v>
      </c>
      <c r="I30" s="61">
        <v>0</v>
      </c>
      <c r="J30" s="43">
        <f t="shared" si="2"/>
        <v>4.6078919999999925</v>
      </c>
    </row>
    <row r="31" spans="2:10" x14ac:dyDescent="0.45">
      <c r="B31" s="11">
        <v>16</v>
      </c>
      <c r="C31" s="60">
        <v>33.482909000000063</v>
      </c>
      <c r="D31" s="60">
        <v>33.531744000000117</v>
      </c>
      <c r="E31" s="41">
        <f t="shared" si="0"/>
        <v>1626.7029090000001</v>
      </c>
      <c r="F31" s="41">
        <f t="shared" si="1"/>
        <v>1626.7517440000001</v>
      </c>
      <c r="G31" s="60">
        <v>22.5498637</v>
      </c>
      <c r="H31" s="61">
        <v>2.3926548581970009E-2</v>
      </c>
      <c r="I31" s="61">
        <v>0</v>
      </c>
      <c r="J31" s="43">
        <f t="shared" si="2"/>
        <v>4.8835000000053697E-2</v>
      </c>
    </row>
    <row r="32" spans="2:10" x14ac:dyDescent="0.45">
      <c r="B32" s="11">
        <v>17</v>
      </c>
      <c r="C32" s="60">
        <v>33.531744000000117</v>
      </c>
      <c r="D32" s="60">
        <v>36.470724999999902</v>
      </c>
      <c r="E32" s="41">
        <f t="shared" si="0"/>
        <v>1626.7517440000001</v>
      </c>
      <c r="F32" s="41">
        <f t="shared" si="1"/>
        <v>1629.6907249999999</v>
      </c>
      <c r="G32" s="60">
        <v>22.551032153000001</v>
      </c>
      <c r="H32" s="61">
        <v>9.8730022752791136E-2</v>
      </c>
      <c r="I32" s="61">
        <v>0</v>
      </c>
      <c r="J32" s="43">
        <f t="shared" si="2"/>
        <v>2.9389809999997851</v>
      </c>
    </row>
    <row r="33" spans="2:10" x14ac:dyDescent="0.45">
      <c r="B33" s="11">
        <v>18</v>
      </c>
      <c r="C33" s="60">
        <v>36.470724999999902</v>
      </c>
      <c r="D33" s="60">
        <v>37.418310000000019</v>
      </c>
      <c r="E33" s="41">
        <f t="shared" si="0"/>
        <v>1629.6907249999999</v>
      </c>
      <c r="F33" s="41">
        <f t="shared" si="1"/>
        <v>1630.63831</v>
      </c>
      <c r="G33" s="60">
        <v>22.841197814000001</v>
      </c>
      <c r="H33" s="61">
        <v>7.6396700032176648E-2</v>
      </c>
      <c r="I33" s="61">
        <v>0</v>
      </c>
      <c r="J33" s="43">
        <f t="shared" si="2"/>
        <v>0.94758500000011736</v>
      </c>
    </row>
    <row r="34" spans="2:10" x14ac:dyDescent="0.45">
      <c r="B34" s="11">
        <v>19</v>
      </c>
      <c r="C34" s="60">
        <v>37.418310000000019</v>
      </c>
      <c r="D34" s="60">
        <v>40.280353000000098</v>
      </c>
      <c r="E34" s="41">
        <f t="shared" si="0"/>
        <v>1630.63831</v>
      </c>
      <c r="F34" s="41">
        <f t="shared" si="1"/>
        <v>1633.5003530000001</v>
      </c>
      <c r="G34" s="60">
        <v>22.913590181</v>
      </c>
      <c r="H34" s="61">
        <v>0.101845366054945</v>
      </c>
      <c r="I34" s="61">
        <v>0</v>
      </c>
      <c r="J34" s="43">
        <f t="shared" si="2"/>
        <v>2.8620430000000852</v>
      </c>
    </row>
    <row r="35" spans="2:10" x14ac:dyDescent="0.45">
      <c r="B35" s="11">
        <v>20</v>
      </c>
      <c r="C35" s="60">
        <v>40.280353000000098</v>
      </c>
      <c r="D35" s="60">
        <v>41.216775000000098</v>
      </c>
      <c r="E35" s="41">
        <f t="shared" si="0"/>
        <v>1633.5003530000001</v>
      </c>
      <c r="F35" s="41">
        <f t="shared" si="1"/>
        <v>1634.4367750000001</v>
      </c>
      <c r="G35" s="60">
        <v>23.205075998000002</v>
      </c>
      <c r="H35" s="61">
        <v>0.108325789013927</v>
      </c>
      <c r="I35" s="61">
        <v>0</v>
      </c>
      <c r="J35" s="43">
        <f t="shared" si="2"/>
        <v>0.9364219999999932</v>
      </c>
    </row>
    <row r="36" spans="2:10" x14ac:dyDescent="0.45">
      <c r="B36" s="11">
        <v>21</v>
      </c>
      <c r="C36" s="60">
        <v>41.216775000000098</v>
      </c>
      <c r="D36" s="60">
        <v>41.794176999999991</v>
      </c>
      <c r="E36" s="41">
        <f t="shared" si="0"/>
        <v>1634.4367750000001</v>
      </c>
      <c r="F36" s="41">
        <f t="shared" si="1"/>
        <v>1635.014177</v>
      </c>
      <c r="G36" s="60">
        <v>23.30651465</v>
      </c>
      <c r="H36" s="61">
        <v>0.1811962757316741</v>
      </c>
      <c r="I36" s="61">
        <v>0</v>
      </c>
      <c r="J36" s="43">
        <f t="shared" si="2"/>
        <v>0.57740199999989272</v>
      </c>
    </row>
    <row r="37" spans="2:10" x14ac:dyDescent="0.45">
      <c r="B37" s="11">
        <v>22</v>
      </c>
      <c r="C37" s="60">
        <v>41.794176999999991</v>
      </c>
      <c r="D37" s="60">
        <v>45.609353999999939</v>
      </c>
      <c r="E37" s="41">
        <f t="shared" si="0"/>
        <v>1635.014177</v>
      </c>
      <c r="F37" s="41">
        <f t="shared" si="1"/>
        <v>1638.829354</v>
      </c>
      <c r="G37" s="60">
        <v>23.411137742000001</v>
      </c>
      <c r="H37" s="61">
        <v>0.1834483836529755</v>
      </c>
      <c r="I37" s="61">
        <v>0</v>
      </c>
      <c r="J37" s="43">
        <f t="shared" si="2"/>
        <v>3.8151769999999487</v>
      </c>
    </row>
    <row r="38" spans="2:10" x14ac:dyDescent="0.45">
      <c r="B38" s="11">
        <v>23</v>
      </c>
      <c r="C38" s="60">
        <v>45.609353999999939</v>
      </c>
      <c r="D38" s="60">
        <v>48.933579000000009</v>
      </c>
      <c r="E38" s="41">
        <f t="shared" si="0"/>
        <v>1638.829354</v>
      </c>
      <c r="F38" s="41">
        <f t="shared" si="1"/>
        <v>1642.153579</v>
      </c>
      <c r="G38" s="60">
        <v>24.111025796</v>
      </c>
      <c r="H38" s="61">
        <v>0.142833907752932</v>
      </c>
      <c r="I38" s="61">
        <v>0</v>
      </c>
      <c r="J38" s="43">
        <f t="shared" si="2"/>
        <v>3.3242250000000695</v>
      </c>
    </row>
    <row r="39" spans="2:10" x14ac:dyDescent="0.45">
      <c r="B39" s="11">
        <v>24</v>
      </c>
      <c r="C39" s="60">
        <v>48.933579000000009</v>
      </c>
      <c r="D39" s="60">
        <v>50.754384999999957</v>
      </c>
      <c r="E39" s="41">
        <f t="shared" si="0"/>
        <v>1642.153579</v>
      </c>
      <c r="F39" s="41">
        <f t="shared" si="1"/>
        <v>1643.974385</v>
      </c>
      <c r="G39" s="60">
        <v>24.585837843</v>
      </c>
      <c r="H39" s="61">
        <v>0.13535415689535699</v>
      </c>
      <c r="I39" s="61">
        <v>0</v>
      </c>
      <c r="J39" s="43">
        <f t="shared" si="2"/>
        <v>1.8208059999999477</v>
      </c>
    </row>
    <row r="40" spans="2:10" x14ac:dyDescent="0.45">
      <c r="B40" s="11">
        <v>25</v>
      </c>
      <c r="C40" s="60">
        <v>50.754384999999957</v>
      </c>
      <c r="D40" s="60">
        <v>51.302572999999938</v>
      </c>
      <c r="E40" s="41">
        <f t="shared" si="0"/>
        <v>1643.974385</v>
      </c>
      <c r="F40" s="41">
        <f t="shared" si="1"/>
        <v>1644.522573</v>
      </c>
      <c r="G40" s="60">
        <v>24.832291504000001</v>
      </c>
      <c r="H40" s="61">
        <v>3.4381686574679188E-2</v>
      </c>
      <c r="I40" s="61">
        <v>0</v>
      </c>
      <c r="J40" s="43">
        <f t="shared" si="2"/>
        <v>0.54818799999998191</v>
      </c>
    </row>
    <row r="41" spans="2:10" x14ac:dyDescent="0.45">
      <c r="B41" s="11">
        <v>26</v>
      </c>
      <c r="C41" s="60">
        <v>51.302572999999938</v>
      </c>
      <c r="D41" s="60">
        <v>52.189026999999903</v>
      </c>
      <c r="E41" s="41">
        <f t="shared" si="0"/>
        <v>1644.522573</v>
      </c>
      <c r="F41" s="41">
        <f t="shared" si="1"/>
        <v>1645.4090269999999</v>
      </c>
      <c r="G41" s="60">
        <v>24.851139132</v>
      </c>
      <c r="H41" s="61">
        <v>7.7078686542115152E-2</v>
      </c>
      <c r="I41" s="61">
        <v>0</v>
      </c>
      <c r="J41" s="43">
        <f t="shared" si="2"/>
        <v>0.88645399999995789</v>
      </c>
    </row>
    <row r="42" spans="2:10" x14ac:dyDescent="0.45">
      <c r="B42" s="11">
        <v>27</v>
      </c>
      <c r="C42" s="60">
        <v>52.189026999999903</v>
      </c>
      <c r="D42" s="60">
        <v>52.432835000000068</v>
      </c>
      <c r="E42" s="41">
        <f t="shared" si="0"/>
        <v>1645.4090269999999</v>
      </c>
      <c r="F42" s="41">
        <f t="shared" si="1"/>
        <v>1645.6528350000001</v>
      </c>
      <c r="G42" s="60">
        <v>24.919465842000001</v>
      </c>
      <c r="H42" s="61">
        <v>-0.21535840497426401</v>
      </c>
      <c r="I42" s="61">
        <v>0</v>
      </c>
      <c r="J42" s="43">
        <f t="shared" si="2"/>
        <v>0.24380800000017189</v>
      </c>
    </row>
    <row r="43" spans="2:10" x14ac:dyDescent="0.45">
      <c r="B43" s="11">
        <v>28</v>
      </c>
      <c r="C43" s="60">
        <v>52.432835000000068</v>
      </c>
      <c r="D43" s="60">
        <v>52.682430000000068</v>
      </c>
      <c r="E43" s="41">
        <f t="shared" si="0"/>
        <v>1645.6528350000001</v>
      </c>
      <c r="F43" s="41">
        <f t="shared" si="1"/>
        <v>1645.9024300000001</v>
      </c>
      <c r="G43" s="60">
        <v>24.866959739999999</v>
      </c>
      <c r="H43" s="61">
        <v>-0.30096499529236831</v>
      </c>
      <c r="I43" s="61">
        <v>0</v>
      </c>
      <c r="J43" s="43">
        <f t="shared" si="2"/>
        <v>0.24959499999999935</v>
      </c>
    </row>
    <row r="44" spans="2:10" x14ac:dyDescent="0.45">
      <c r="B44" s="11">
        <v>29</v>
      </c>
      <c r="C44" s="60">
        <v>52.682430000000068</v>
      </c>
      <c r="D44" s="60">
        <v>52.96255599999995</v>
      </c>
      <c r="E44" s="41">
        <f t="shared" si="0"/>
        <v>1645.9024300000001</v>
      </c>
      <c r="F44" s="41">
        <f t="shared" si="1"/>
        <v>1646.182556</v>
      </c>
      <c r="G44" s="60">
        <v>24.791840382</v>
      </c>
      <c r="H44" s="61">
        <v>-0.33986554264880942</v>
      </c>
      <c r="I44" s="61">
        <v>0</v>
      </c>
      <c r="J44" s="43">
        <f t="shared" si="2"/>
        <v>0.28012599999988197</v>
      </c>
    </row>
    <row r="45" spans="2:10" x14ac:dyDescent="0.45">
      <c r="B45" s="11">
        <v>30</v>
      </c>
      <c r="C45" s="60">
        <v>52.96255599999995</v>
      </c>
      <c r="D45" s="60">
        <v>53.967198000000053</v>
      </c>
      <c r="E45" s="41">
        <f t="shared" si="0"/>
        <v>1646.182556</v>
      </c>
      <c r="F45" s="41">
        <f t="shared" si="1"/>
        <v>1647.1871980000001</v>
      </c>
      <c r="G45" s="60">
        <v>24.696635207</v>
      </c>
      <c r="H45" s="61">
        <v>6.4491007742055878E-2</v>
      </c>
      <c r="I45" s="61">
        <v>0</v>
      </c>
      <c r="J45" s="43">
        <f t="shared" si="2"/>
        <v>1.0046420000001035</v>
      </c>
    </row>
    <row r="46" spans="2:10" x14ac:dyDescent="0.45">
      <c r="B46" s="11">
        <v>31</v>
      </c>
      <c r="C46" s="60">
        <v>53.967198000000053</v>
      </c>
      <c r="D46" s="60">
        <v>55.472052000000083</v>
      </c>
      <c r="E46" s="41">
        <f t="shared" si="0"/>
        <v>1647.1871980000001</v>
      </c>
      <c r="F46" s="41">
        <f t="shared" si="1"/>
        <v>1648.6920520000001</v>
      </c>
      <c r="G46" s="60">
        <v>24.761425582000001</v>
      </c>
      <c r="H46" s="61">
        <v>7.6687324484631919E-2</v>
      </c>
      <c r="I46" s="61">
        <v>0</v>
      </c>
      <c r="J46" s="43">
        <f t="shared" si="2"/>
        <v>1.504854000000023</v>
      </c>
    </row>
    <row r="47" spans="2:10" x14ac:dyDescent="0.45">
      <c r="B47" s="11">
        <v>32</v>
      </c>
      <c r="C47" s="60">
        <v>55.472052000000083</v>
      </c>
      <c r="D47" s="60">
        <v>58.778671999999908</v>
      </c>
      <c r="E47" s="41">
        <f t="shared" si="0"/>
        <v>1648.6920520000001</v>
      </c>
      <c r="F47" s="41">
        <f t="shared" si="1"/>
        <v>1651.9986719999999</v>
      </c>
      <c r="G47" s="60">
        <v>24.876828808999999</v>
      </c>
      <c r="H47" s="61">
        <v>6.6165146282310114E-2</v>
      </c>
      <c r="I47" s="61">
        <v>0</v>
      </c>
      <c r="J47" s="43">
        <f t="shared" si="2"/>
        <v>3.3066199999998389</v>
      </c>
    </row>
    <row r="48" spans="2:10" x14ac:dyDescent="0.45">
      <c r="B48" s="11">
        <v>33</v>
      </c>
      <c r="C48" s="60">
        <v>58.778671999999908</v>
      </c>
      <c r="D48" s="60">
        <v>61.01622999999995</v>
      </c>
      <c r="E48" s="41">
        <f t="shared" ref="E48:E79" si="3">C48+Rd_Shift</f>
        <v>1651.9986719999999</v>
      </c>
      <c r="F48" s="41">
        <f t="shared" ref="F48:F79" si="4">D48+Rd_Shift</f>
        <v>1654.23623</v>
      </c>
      <c r="G48" s="60">
        <v>25.095611805000001</v>
      </c>
      <c r="H48" s="61">
        <v>7.0401725452477942E-2</v>
      </c>
      <c r="I48" s="61">
        <v>0</v>
      </c>
      <c r="J48" s="43">
        <f t="shared" ref="J48:J79" si="5">MAX(0,MIN(F48,Prof_Sta1)-MAX(E48,Prof_Sta0))</f>
        <v>2.2375580000000355</v>
      </c>
    </row>
    <row r="49" spans="2:10" x14ac:dyDescent="0.45">
      <c r="B49" s="11">
        <v>34</v>
      </c>
      <c r="C49" s="60">
        <v>61.01622999999995</v>
      </c>
      <c r="D49" s="60">
        <v>61.856831000000057</v>
      </c>
      <c r="E49" s="41">
        <f t="shared" si="3"/>
        <v>1654.23623</v>
      </c>
      <c r="F49" s="41">
        <f t="shared" si="4"/>
        <v>1655.0768310000001</v>
      </c>
      <c r="G49" s="60">
        <v>25.253139748999999</v>
      </c>
      <c r="H49" s="61">
        <v>3.5916086228776463E-2</v>
      </c>
      <c r="I49" s="61">
        <v>0</v>
      </c>
      <c r="J49" s="43">
        <f t="shared" si="5"/>
        <v>0.84060100000010607</v>
      </c>
    </row>
    <row r="50" spans="2:10" x14ac:dyDescent="0.45">
      <c r="B50" s="11">
        <v>35</v>
      </c>
      <c r="C50" s="60">
        <v>61.856831000000057</v>
      </c>
      <c r="D50" s="60">
        <v>63.03118500000005</v>
      </c>
      <c r="E50" s="41">
        <f t="shared" si="3"/>
        <v>1655.0768310000001</v>
      </c>
      <c r="F50" s="41">
        <f t="shared" si="4"/>
        <v>1656.2511850000001</v>
      </c>
      <c r="G50" s="60">
        <v>25.283330846999998</v>
      </c>
      <c r="H50" s="61">
        <v>4.7082882163302447E-2</v>
      </c>
      <c r="I50" s="61">
        <v>0</v>
      </c>
      <c r="J50" s="43">
        <f t="shared" si="5"/>
        <v>1.1743539999999939</v>
      </c>
    </row>
    <row r="51" spans="2:10" x14ac:dyDescent="0.45">
      <c r="B51" s="11">
        <v>36</v>
      </c>
      <c r="C51" s="60">
        <v>63.03118500000005</v>
      </c>
      <c r="D51" s="60">
        <v>63.201452000000018</v>
      </c>
      <c r="E51" s="41">
        <f t="shared" si="3"/>
        <v>1656.2511850000001</v>
      </c>
      <c r="F51" s="41">
        <f t="shared" si="4"/>
        <v>1656.421452</v>
      </c>
      <c r="G51" s="60">
        <v>25.338622818000001</v>
      </c>
      <c r="H51" s="61">
        <v>-2.652562739697371E-2</v>
      </c>
      <c r="I51" s="61">
        <v>0</v>
      </c>
      <c r="J51" s="43">
        <f t="shared" si="5"/>
        <v>0.17026699999996708</v>
      </c>
    </row>
    <row r="52" spans="2:10" x14ac:dyDescent="0.45">
      <c r="B52" s="11">
        <v>37</v>
      </c>
      <c r="C52" s="60">
        <v>63.201452000000018</v>
      </c>
      <c r="D52" s="60">
        <v>63.345145000000002</v>
      </c>
      <c r="E52" s="41">
        <f t="shared" si="3"/>
        <v>1656.421452</v>
      </c>
      <c r="F52" s="41">
        <f t="shared" si="4"/>
        <v>1656.565145</v>
      </c>
      <c r="G52" s="60">
        <v>25.334106379000001</v>
      </c>
      <c r="H52" s="61">
        <v>8.4767546087847173E-2</v>
      </c>
      <c r="I52" s="61">
        <v>0</v>
      </c>
      <c r="J52" s="43">
        <f t="shared" si="5"/>
        <v>0.14369299999998475</v>
      </c>
    </row>
    <row r="53" spans="2:10" x14ac:dyDescent="0.45">
      <c r="B53" s="11">
        <v>38</v>
      </c>
      <c r="C53" s="60">
        <v>63.345145000000002</v>
      </c>
      <c r="D53" s="60">
        <v>68.995652999999947</v>
      </c>
      <c r="E53" s="41">
        <f t="shared" si="3"/>
        <v>1656.565145</v>
      </c>
      <c r="F53" s="41">
        <f t="shared" si="4"/>
        <v>1662.215653</v>
      </c>
      <c r="G53" s="60">
        <v>25.346286882000001</v>
      </c>
      <c r="H53" s="61">
        <v>1.9952900340995661E-2</v>
      </c>
      <c r="I53" s="61">
        <v>0</v>
      </c>
      <c r="J53" s="43">
        <f t="shared" si="5"/>
        <v>5.6505079999999452</v>
      </c>
    </row>
    <row r="54" spans="2:10" x14ac:dyDescent="0.45">
      <c r="B54" s="11">
        <v>39</v>
      </c>
      <c r="C54" s="60">
        <v>68.995652999999947</v>
      </c>
      <c r="D54" s="60">
        <v>70.829439999999977</v>
      </c>
      <c r="E54" s="41">
        <f t="shared" si="3"/>
        <v>1662.215653</v>
      </c>
      <c r="F54" s="41">
        <f t="shared" si="4"/>
        <v>1664.04944</v>
      </c>
      <c r="G54" s="60">
        <v>25.459030904999999</v>
      </c>
      <c r="H54" s="61">
        <v>2.2070669603395029E-2</v>
      </c>
      <c r="I54" s="61">
        <v>0</v>
      </c>
      <c r="J54" s="43">
        <f t="shared" si="5"/>
        <v>1.8337870000000294</v>
      </c>
    </row>
    <row r="55" spans="2:10" x14ac:dyDescent="0.45">
      <c r="B55" s="11">
        <v>40</v>
      </c>
      <c r="C55" s="60">
        <v>70.829439999999977</v>
      </c>
      <c r="D55" s="60">
        <v>74.548448000000008</v>
      </c>
      <c r="E55" s="41">
        <f t="shared" si="3"/>
        <v>1664.04944</v>
      </c>
      <c r="F55" s="41">
        <f t="shared" si="4"/>
        <v>1667.768448</v>
      </c>
      <c r="G55" s="60">
        <v>25.499503812</v>
      </c>
      <c r="H55" s="61">
        <v>1.9351041191629149E-2</v>
      </c>
      <c r="I55" s="61">
        <v>0</v>
      </c>
      <c r="J55" s="43">
        <f t="shared" si="5"/>
        <v>3.7190080000000307</v>
      </c>
    </row>
    <row r="56" spans="2:10" x14ac:dyDescent="0.45">
      <c r="B56" s="11">
        <v>41</v>
      </c>
      <c r="C56" s="60">
        <v>74.548448000000008</v>
      </c>
      <c r="D56" s="60">
        <v>79.207202999999936</v>
      </c>
      <c r="E56" s="41">
        <f t="shared" si="3"/>
        <v>1667.768448</v>
      </c>
      <c r="F56" s="41">
        <f t="shared" si="4"/>
        <v>1672.427203</v>
      </c>
      <c r="G56" s="60">
        <v>25.571470488999999</v>
      </c>
      <c r="H56" s="61">
        <v>4.9726126400725448E-3</v>
      </c>
      <c r="I56" s="61">
        <v>0</v>
      </c>
      <c r="J56" s="43">
        <f t="shared" si="5"/>
        <v>4.6587549999999283</v>
      </c>
    </row>
    <row r="57" spans="2:10" x14ac:dyDescent="0.45">
      <c r="B57" s="11">
        <v>42</v>
      </c>
      <c r="C57" s="60">
        <v>79.207202999999936</v>
      </c>
      <c r="D57" s="60">
        <v>86.543852999999899</v>
      </c>
      <c r="E57" s="41">
        <f t="shared" si="3"/>
        <v>1672.427203</v>
      </c>
      <c r="F57" s="41">
        <f t="shared" si="4"/>
        <v>1679.7638529999999</v>
      </c>
      <c r="G57" s="60">
        <v>25.594636673</v>
      </c>
      <c r="H57" s="61">
        <v>1.0273172088078601E-2</v>
      </c>
      <c r="I57" s="61">
        <v>0</v>
      </c>
      <c r="J57" s="43">
        <f t="shared" si="5"/>
        <v>7.3366499999999633</v>
      </c>
    </row>
    <row r="58" spans="2:10" x14ac:dyDescent="0.45">
      <c r="B58" s="11">
        <v>43</v>
      </c>
      <c r="C58" s="60">
        <v>86.543852999999899</v>
      </c>
      <c r="D58" s="60">
        <v>93.968568000000005</v>
      </c>
      <c r="E58" s="41">
        <f t="shared" si="3"/>
        <v>1679.7638529999999</v>
      </c>
      <c r="F58" s="41">
        <f t="shared" si="4"/>
        <v>1687.188568</v>
      </c>
      <c r="G58" s="60">
        <v>25.670007341000002</v>
      </c>
      <c r="H58" s="61">
        <v>2.635271818514168E-2</v>
      </c>
      <c r="I58" s="61">
        <v>0</v>
      </c>
      <c r="J58" s="43">
        <f t="shared" si="5"/>
        <v>7.4247150000001056</v>
      </c>
    </row>
    <row r="59" spans="2:10" x14ac:dyDescent="0.45">
      <c r="B59" s="11">
        <v>44</v>
      </c>
      <c r="C59" s="60">
        <v>93.968568000000005</v>
      </c>
      <c r="D59" s="60">
        <v>98.540158000000019</v>
      </c>
      <c r="E59" s="41">
        <f t="shared" si="3"/>
        <v>1687.188568</v>
      </c>
      <c r="F59" s="41">
        <f t="shared" si="4"/>
        <v>1691.760158</v>
      </c>
      <c r="G59" s="60">
        <v>25.865668762999999</v>
      </c>
      <c r="H59" s="61">
        <v>8.5219223508672531E-3</v>
      </c>
      <c r="I59" s="61">
        <v>0</v>
      </c>
      <c r="J59" s="43">
        <f t="shared" si="5"/>
        <v>4.5715900000000147</v>
      </c>
    </row>
    <row r="60" spans="2:10" x14ac:dyDescent="0.45">
      <c r="B60" s="11">
        <v>45</v>
      </c>
      <c r="C60" s="60">
        <v>98.540158000000019</v>
      </c>
      <c r="D60" s="60">
        <v>98.726771000000099</v>
      </c>
      <c r="E60" s="41">
        <f t="shared" si="3"/>
        <v>1691.760158</v>
      </c>
      <c r="F60" s="41">
        <f t="shared" si="4"/>
        <v>1691.9467710000001</v>
      </c>
      <c r="G60" s="60">
        <v>25.904627498</v>
      </c>
      <c r="H60" s="61">
        <v>2.657434905390605E-2</v>
      </c>
      <c r="I60" s="61">
        <v>0</v>
      </c>
      <c r="J60" s="43">
        <f t="shared" si="5"/>
        <v>0.18661300000007941</v>
      </c>
    </row>
    <row r="61" spans="2:10" x14ac:dyDescent="0.45">
      <c r="B61" s="11">
        <v>46</v>
      </c>
      <c r="C61" s="60">
        <v>98.726771000000099</v>
      </c>
      <c r="D61" s="60">
        <v>99.019363999999996</v>
      </c>
      <c r="E61" s="41">
        <f t="shared" si="3"/>
        <v>1691.9467710000001</v>
      </c>
      <c r="F61" s="41">
        <f t="shared" si="4"/>
        <v>1692.239364</v>
      </c>
      <c r="G61" s="60">
        <v>25.909586616999999</v>
      </c>
      <c r="H61" s="61">
        <v>0.120557091249663</v>
      </c>
      <c r="I61" s="61">
        <v>0</v>
      </c>
      <c r="J61" s="43">
        <f t="shared" si="5"/>
        <v>0.29259299999989707</v>
      </c>
    </row>
    <row r="62" spans="2:10" x14ac:dyDescent="0.45">
      <c r="B62" s="11">
        <v>47</v>
      </c>
      <c r="C62" s="60">
        <v>99.019363999999996</v>
      </c>
      <c r="D62" s="60">
        <v>99.418079000000034</v>
      </c>
      <c r="E62" s="41">
        <f t="shared" si="3"/>
        <v>1692.239364</v>
      </c>
      <c r="F62" s="41">
        <f t="shared" si="4"/>
        <v>1692.6380790000001</v>
      </c>
      <c r="G62" s="60">
        <v>25.944860777999999</v>
      </c>
      <c r="H62" s="61">
        <v>5.3226633058699922E-2</v>
      </c>
      <c r="I62" s="61">
        <v>0</v>
      </c>
      <c r="J62" s="43">
        <f t="shared" si="5"/>
        <v>0.39871500000003834</v>
      </c>
    </row>
    <row r="63" spans="2:10" x14ac:dyDescent="0.45">
      <c r="B63" s="11">
        <v>48</v>
      </c>
      <c r="C63" s="60">
        <v>99.418079000000034</v>
      </c>
      <c r="D63" s="60">
        <v>100.94587799999999</v>
      </c>
      <c r="E63" s="41">
        <f t="shared" si="3"/>
        <v>1692.6380790000001</v>
      </c>
      <c r="F63" s="41">
        <f t="shared" si="4"/>
        <v>1694.165878</v>
      </c>
      <c r="G63" s="60">
        <v>25.966083035</v>
      </c>
      <c r="H63" s="61">
        <v>3.1940981110735948E-2</v>
      </c>
      <c r="I63" s="61">
        <v>0</v>
      </c>
      <c r="J63" s="43">
        <f t="shared" si="5"/>
        <v>1.5277989999999591</v>
      </c>
    </row>
    <row r="64" spans="2:10" x14ac:dyDescent="0.45">
      <c r="B64" s="11">
        <v>49</v>
      </c>
      <c r="C64" s="60">
        <v>100.94587799999999</v>
      </c>
      <c r="D64" s="60">
        <v>101.89129800000001</v>
      </c>
      <c r="E64" s="41">
        <f t="shared" si="3"/>
        <v>1694.165878</v>
      </c>
      <c r="F64" s="41">
        <f t="shared" si="4"/>
        <v>1695.111298</v>
      </c>
      <c r="G64" s="60">
        <v>26.014882434</v>
      </c>
      <c r="H64" s="61">
        <v>-2.9353476761650749E-2</v>
      </c>
      <c r="I64" s="61">
        <v>0</v>
      </c>
      <c r="J64" s="43">
        <f t="shared" si="5"/>
        <v>0.94542000000001281</v>
      </c>
    </row>
    <row r="65" spans="2:10" x14ac:dyDescent="0.45">
      <c r="B65" s="11">
        <v>50</v>
      </c>
      <c r="C65" s="60">
        <v>101.89129800000001</v>
      </c>
      <c r="D65" s="60">
        <v>103.2733470000001</v>
      </c>
      <c r="E65" s="41">
        <f t="shared" si="3"/>
        <v>1695.111298</v>
      </c>
      <c r="F65" s="41">
        <f t="shared" si="4"/>
        <v>1696.4933470000001</v>
      </c>
      <c r="G65" s="60">
        <v>25.98713107</v>
      </c>
      <c r="H65" s="61">
        <v>1.6183392195211199E-2</v>
      </c>
      <c r="I65" s="61">
        <v>0</v>
      </c>
      <c r="J65" s="43">
        <f t="shared" si="5"/>
        <v>1.3820490000000518</v>
      </c>
    </row>
    <row r="66" spans="2:10" x14ac:dyDescent="0.45">
      <c r="B66" s="11">
        <v>51</v>
      </c>
      <c r="C66" s="60">
        <v>103.2733470000001</v>
      </c>
      <c r="D66" s="60">
        <v>104.27773000000001</v>
      </c>
      <c r="E66" s="41">
        <f t="shared" si="3"/>
        <v>1696.4933470000001</v>
      </c>
      <c r="F66" s="41">
        <f t="shared" si="4"/>
        <v>1697.49773</v>
      </c>
      <c r="G66" s="60">
        <v>26.009497311000001</v>
      </c>
      <c r="H66" s="61">
        <v>1.020600109719094E-2</v>
      </c>
      <c r="I66" s="61">
        <v>0</v>
      </c>
      <c r="J66" s="43">
        <f t="shared" si="5"/>
        <v>1.0043829999999616</v>
      </c>
    </row>
    <row r="67" spans="2:10" x14ac:dyDescent="0.45">
      <c r="B67" s="11">
        <v>52</v>
      </c>
      <c r="C67" s="60">
        <v>104.27773000000001</v>
      </c>
      <c r="D67" s="60">
        <v>106.2423289999999</v>
      </c>
      <c r="E67" s="41">
        <f t="shared" si="3"/>
        <v>1697.49773</v>
      </c>
      <c r="F67" s="41">
        <f t="shared" si="4"/>
        <v>1699.462329</v>
      </c>
      <c r="G67" s="60">
        <v>26.019748045</v>
      </c>
      <c r="H67" s="61">
        <v>4.8914775992455868E-2</v>
      </c>
      <c r="I67" s="61">
        <v>0</v>
      </c>
      <c r="J67" s="43">
        <f t="shared" si="5"/>
        <v>1.9645989999999074</v>
      </c>
    </row>
    <row r="68" spans="2:10" x14ac:dyDescent="0.45">
      <c r="B68" s="11">
        <v>53</v>
      </c>
      <c r="C68" s="60">
        <v>106.2423289999999</v>
      </c>
      <c r="D68" s="60">
        <v>107.57458</v>
      </c>
      <c r="E68" s="41">
        <f t="shared" si="3"/>
        <v>1699.462329</v>
      </c>
      <c r="F68" s="41">
        <f t="shared" si="4"/>
        <v>1700.79458</v>
      </c>
      <c r="G68" s="60">
        <v>26.115845964999998</v>
      </c>
      <c r="H68" s="61">
        <v>-5.7343021697859757E-2</v>
      </c>
      <c r="I68" s="61">
        <v>0</v>
      </c>
      <c r="J68" s="43">
        <f t="shared" si="5"/>
        <v>1.332251000000042</v>
      </c>
    </row>
    <row r="69" spans="2:10" x14ac:dyDescent="0.45">
      <c r="B69" s="11">
        <v>54</v>
      </c>
      <c r="C69" s="60">
        <v>107.57458</v>
      </c>
      <c r="D69" s="60">
        <v>108.4693540000001</v>
      </c>
      <c r="E69" s="41">
        <f t="shared" si="3"/>
        <v>1700.79458</v>
      </c>
      <c r="F69" s="41">
        <f t="shared" si="4"/>
        <v>1701.6893540000001</v>
      </c>
      <c r="G69" s="60">
        <v>26.039450667000001</v>
      </c>
      <c r="H69" s="61">
        <v>-6.5937797700864567E-2</v>
      </c>
      <c r="I69" s="61">
        <v>0</v>
      </c>
      <c r="J69" s="43">
        <f t="shared" si="5"/>
        <v>0.89477400000009766</v>
      </c>
    </row>
    <row r="70" spans="2:10" x14ac:dyDescent="0.45">
      <c r="B70" s="11">
        <v>55</v>
      </c>
      <c r="C70" s="60">
        <v>108.4693540000001</v>
      </c>
      <c r="D70" s="60">
        <v>109.3210779999999</v>
      </c>
      <c r="E70" s="41">
        <f t="shared" si="3"/>
        <v>1701.6893540000001</v>
      </c>
      <c r="F70" s="41">
        <f t="shared" si="4"/>
        <v>1702.541078</v>
      </c>
      <c r="G70" s="60">
        <v>25.980451240000001</v>
      </c>
      <c r="H70" s="61">
        <v>-1.163134301722491E-2</v>
      </c>
      <c r="I70" s="61">
        <v>0</v>
      </c>
      <c r="J70" s="43">
        <f t="shared" si="5"/>
        <v>0.85172399999987647</v>
      </c>
    </row>
    <row r="71" spans="2:10" x14ac:dyDescent="0.45">
      <c r="B71" s="11">
        <v>56</v>
      </c>
      <c r="C71" s="60">
        <v>109.3210779999999</v>
      </c>
      <c r="D71" s="60">
        <v>111.645</v>
      </c>
      <c r="E71" s="41">
        <f t="shared" si="3"/>
        <v>1702.541078</v>
      </c>
      <c r="F71" s="41">
        <f t="shared" si="4"/>
        <v>1704.865</v>
      </c>
      <c r="G71" s="60">
        <v>25.970544545999999</v>
      </c>
      <c r="H71" s="61">
        <v>-2.782478930015749E-3</v>
      </c>
      <c r="I71" s="61">
        <v>0</v>
      </c>
      <c r="J71" s="43">
        <f t="shared" si="5"/>
        <v>2.3239220000000387</v>
      </c>
    </row>
    <row r="72" spans="2:10" x14ac:dyDescent="0.45">
      <c r="B72" s="11">
        <v>57</v>
      </c>
      <c r="C72" s="60">
        <v>111.645</v>
      </c>
      <c r="D72" s="60">
        <v>112.4639050000001</v>
      </c>
      <c r="E72" s="41">
        <f t="shared" si="3"/>
        <v>1704.865</v>
      </c>
      <c r="F72" s="41">
        <f t="shared" si="4"/>
        <v>1705.6839050000001</v>
      </c>
      <c r="G72" s="60">
        <v>25.964078281999999</v>
      </c>
      <c r="H72" s="61">
        <v>-1.9775011753494911E-2</v>
      </c>
      <c r="I72" s="61">
        <v>0</v>
      </c>
      <c r="J72" s="43">
        <f t="shared" si="5"/>
        <v>0.81890500000008615</v>
      </c>
    </row>
    <row r="73" spans="2:10" x14ac:dyDescent="0.45">
      <c r="B73" s="11">
        <v>58</v>
      </c>
      <c r="C73" s="60">
        <v>112.4639050000001</v>
      </c>
      <c r="D73" s="60">
        <v>113.52903599999991</v>
      </c>
      <c r="E73" s="41">
        <f t="shared" si="3"/>
        <v>1705.6839050000001</v>
      </c>
      <c r="F73" s="41">
        <f t="shared" si="4"/>
        <v>1706.7490359999999</v>
      </c>
      <c r="G73" s="60">
        <v>25.947884426000002</v>
      </c>
      <c r="H73" s="61">
        <v>1.332922241489543E-2</v>
      </c>
      <c r="I73" s="61">
        <v>0</v>
      </c>
      <c r="J73" s="43">
        <f t="shared" si="5"/>
        <v>1.0651309999998375</v>
      </c>
    </row>
    <row r="74" spans="2:10" x14ac:dyDescent="0.45">
      <c r="B74" s="11">
        <v>59</v>
      </c>
      <c r="C74" s="60">
        <v>113.52903599999991</v>
      </c>
      <c r="D74" s="60">
        <v>115.1687830000001</v>
      </c>
      <c r="E74" s="41">
        <f t="shared" si="3"/>
        <v>1706.7490359999999</v>
      </c>
      <c r="F74" s="41">
        <f t="shared" si="4"/>
        <v>1708.3887830000001</v>
      </c>
      <c r="G74" s="60">
        <v>25.962081793999999</v>
      </c>
      <c r="H74" s="61">
        <v>-4.371026322962817E-2</v>
      </c>
      <c r="I74" s="61">
        <v>0</v>
      </c>
      <c r="J74" s="43">
        <f t="shared" si="5"/>
        <v>1.6397470000001704</v>
      </c>
    </row>
    <row r="75" spans="2:10" x14ac:dyDescent="0.45">
      <c r="B75" s="11">
        <v>60</v>
      </c>
      <c r="C75" s="60">
        <v>115.1687830000001</v>
      </c>
      <c r="D75" s="60">
        <v>115.61924500000011</v>
      </c>
      <c r="E75" s="41">
        <f t="shared" si="3"/>
        <v>1708.3887830000001</v>
      </c>
      <c r="F75" s="41">
        <f t="shared" si="4"/>
        <v>1708.8392450000001</v>
      </c>
      <c r="G75" s="60">
        <v>25.890408020999999</v>
      </c>
      <c r="H75" s="61">
        <v>-3.7920781331161939E-2</v>
      </c>
      <c r="I75" s="61">
        <v>0</v>
      </c>
      <c r="J75" s="43">
        <f t="shared" si="5"/>
        <v>0.45046200000001591</v>
      </c>
    </row>
    <row r="76" spans="2:10" x14ac:dyDescent="0.45">
      <c r="B76" s="11">
        <v>61</v>
      </c>
      <c r="C76" s="60">
        <v>115.61924500000011</v>
      </c>
      <c r="D76" s="60">
        <v>115.75846299999991</v>
      </c>
      <c r="E76" s="41">
        <f t="shared" si="3"/>
        <v>1708.8392450000001</v>
      </c>
      <c r="F76" s="41">
        <f t="shared" si="4"/>
        <v>1708.9784629999999</v>
      </c>
      <c r="G76" s="60">
        <v>25.87332615</v>
      </c>
      <c r="H76" s="61">
        <v>-1.380494619949833E-2</v>
      </c>
      <c r="I76" s="61">
        <v>0</v>
      </c>
      <c r="J76" s="43">
        <f t="shared" si="5"/>
        <v>0.13921799999980067</v>
      </c>
    </row>
    <row r="77" spans="2:10" x14ac:dyDescent="0.45">
      <c r="B77" s="11">
        <v>62</v>
      </c>
      <c r="C77" s="60">
        <v>115.75846299999991</v>
      </c>
      <c r="D77" s="60">
        <v>116.10053499999999</v>
      </c>
      <c r="E77" s="41">
        <f t="shared" si="3"/>
        <v>1708.9784629999999</v>
      </c>
      <c r="F77" s="41">
        <f t="shared" si="4"/>
        <v>1709.3205350000001</v>
      </c>
      <c r="G77" s="60">
        <v>25.871404253000001</v>
      </c>
      <c r="H77" s="61">
        <v>-3.8014742510337728E-2</v>
      </c>
      <c r="I77" s="61">
        <v>0</v>
      </c>
      <c r="J77" s="43">
        <f t="shared" si="5"/>
        <v>0.34207200000014382</v>
      </c>
    </row>
    <row r="78" spans="2:10" x14ac:dyDescent="0.45">
      <c r="B78" s="11">
        <v>63</v>
      </c>
      <c r="C78" s="60">
        <v>116.10053499999999</v>
      </c>
      <c r="D78" s="60">
        <v>126.9405790000001</v>
      </c>
      <c r="E78" s="41">
        <f t="shared" si="3"/>
        <v>1709.3205350000001</v>
      </c>
      <c r="F78" s="41">
        <f t="shared" si="4"/>
        <v>1720.1605790000001</v>
      </c>
      <c r="G78" s="60">
        <v>25.858400474</v>
      </c>
      <c r="H78" s="61">
        <v>-1.0860834144215681E-2</v>
      </c>
      <c r="I78" s="61">
        <v>0</v>
      </c>
      <c r="J78" s="43">
        <f t="shared" si="5"/>
        <v>10.840044000000034</v>
      </c>
    </row>
    <row r="79" spans="2:10" x14ac:dyDescent="0.45">
      <c r="B79" s="11">
        <v>64</v>
      </c>
      <c r="C79" s="60">
        <v>126.9405790000001</v>
      </c>
      <c r="D79" s="60">
        <v>128.1276169999999</v>
      </c>
      <c r="E79" s="41">
        <f t="shared" si="3"/>
        <v>1720.1605790000001</v>
      </c>
      <c r="F79" s="41">
        <f t="shared" si="4"/>
        <v>1721.3476169999999</v>
      </c>
      <c r="G79" s="60">
        <v>25.740668553999999</v>
      </c>
      <c r="H79" s="61">
        <v>-1.047392332848868E-2</v>
      </c>
      <c r="I79" s="61">
        <v>0</v>
      </c>
      <c r="J79" s="43">
        <f t="shared" si="5"/>
        <v>1.1870379999998022</v>
      </c>
    </row>
    <row r="80" spans="2:10" x14ac:dyDescent="0.45">
      <c r="B80" s="11">
        <v>65</v>
      </c>
      <c r="C80" s="60">
        <v>128.1276169999999</v>
      </c>
      <c r="D80" s="60">
        <v>130.12283099999991</v>
      </c>
      <c r="E80" s="41">
        <f t="shared" ref="E80:E114" si="6">C80+Rd_Shift</f>
        <v>1721.3476169999999</v>
      </c>
      <c r="F80" s="41">
        <f t="shared" ref="F80:F114" si="7">D80+Rd_Shift</f>
        <v>1723.3428309999999</v>
      </c>
      <c r="G80" s="60">
        <v>25.728235608999999</v>
      </c>
      <c r="H80" s="61">
        <v>-1.932031601622558E-2</v>
      </c>
      <c r="I80" s="61">
        <v>0</v>
      </c>
      <c r="J80" s="43">
        <f t="shared" ref="J80:J114" si="8">MAX(0,MIN(F80,Prof_Sta1)-MAX(E80,Prof_Sta0))</f>
        <v>1.9952140000000327</v>
      </c>
    </row>
    <row r="81" spans="2:10" x14ac:dyDescent="0.45">
      <c r="B81" s="11">
        <v>66</v>
      </c>
      <c r="C81" s="60">
        <v>130.12283099999991</v>
      </c>
      <c r="D81" s="60">
        <v>140.19070600000009</v>
      </c>
      <c r="E81" s="41">
        <f t="shared" si="6"/>
        <v>1723.3428309999999</v>
      </c>
      <c r="F81" s="41">
        <f t="shared" si="7"/>
        <v>1733.4107060000001</v>
      </c>
      <c r="G81" s="60">
        <v>25.689687444</v>
      </c>
      <c r="H81" s="61">
        <v>-1.8318222167041071E-2</v>
      </c>
      <c r="I81" s="61">
        <v>0</v>
      </c>
      <c r="J81" s="43">
        <f t="shared" si="8"/>
        <v>10.067875000000186</v>
      </c>
    </row>
    <row r="82" spans="2:10" x14ac:dyDescent="0.45">
      <c r="B82" s="11">
        <v>67</v>
      </c>
      <c r="C82" s="60">
        <v>140.19070600000009</v>
      </c>
      <c r="D82" s="60">
        <v>144.15370699999991</v>
      </c>
      <c r="E82" s="41">
        <f t="shared" si="6"/>
        <v>1733.4107060000001</v>
      </c>
      <c r="F82" s="41">
        <f t="shared" si="7"/>
        <v>1737.373707</v>
      </c>
      <c r="G82" s="60">
        <v>25.505261872999998</v>
      </c>
      <c r="H82" s="61">
        <v>-1.529878846863773E-2</v>
      </c>
      <c r="I82" s="61">
        <v>0</v>
      </c>
      <c r="J82" s="43">
        <f t="shared" si="8"/>
        <v>3.9630009999998492</v>
      </c>
    </row>
    <row r="83" spans="2:10" x14ac:dyDescent="0.45">
      <c r="B83" s="11">
        <v>68</v>
      </c>
      <c r="C83" s="60">
        <v>144.15370699999991</v>
      </c>
      <c r="D83" s="60">
        <v>151.14136000000011</v>
      </c>
      <c r="E83" s="41">
        <f t="shared" si="6"/>
        <v>1737.373707</v>
      </c>
      <c r="F83" s="41">
        <f t="shared" si="7"/>
        <v>1744.3613600000001</v>
      </c>
      <c r="G83" s="60">
        <v>25.444632759000001</v>
      </c>
      <c r="H83" s="61">
        <v>-1.8579452786221421E-2</v>
      </c>
      <c r="I83" s="61">
        <v>0</v>
      </c>
      <c r="J83" s="43">
        <f t="shared" si="8"/>
        <v>6.9876530000001367</v>
      </c>
    </row>
    <row r="84" spans="2:10" x14ac:dyDescent="0.45">
      <c r="B84" s="11">
        <v>69</v>
      </c>
      <c r="C84" s="60">
        <v>151.14136000000011</v>
      </c>
      <c r="D84" s="60">
        <v>151.62579899999989</v>
      </c>
      <c r="E84" s="41">
        <f t="shared" si="6"/>
        <v>1744.3613600000001</v>
      </c>
      <c r="F84" s="41">
        <f t="shared" si="7"/>
        <v>1744.8457989999999</v>
      </c>
      <c r="G84" s="60">
        <v>25.31480599</v>
      </c>
      <c r="H84" s="61">
        <v>-0.1061959689455596</v>
      </c>
      <c r="I84" s="61">
        <v>0</v>
      </c>
      <c r="J84" s="43">
        <f t="shared" si="8"/>
        <v>0.48443899999983842</v>
      </c>
    </row>
    <row r="85" spans="2:10" x14ac:dyDescent="0.45">
      <c r="B85" s="11">
        <v>70</v>
      </c>
      <c r="C85" s="60">
        <v>151.62579899999989</v>
      </c>
      <c r="D85" s="60">
        <v>151.6413850000001</v>
      </c>
      <c r="E85" s="41">
        <f t="shared" si="6"/>
        <v>1744.8457989999999</v>
      </c>
      <c r="F85" s="41">
        <f t="shared" si="7"/>
        <v>1744.8613850000002</v>
      </c>
      <c r="G85" s="60">
        <v>25.263360520999999</v>
      </c>
      <c r="H85" s="61">
        <v>-4.4399781854810208E-2</v>
      </c>
      <c r="I85" s="61">
        <v>0</v>
      </c>
      <c r="J85" s="43">
        <f t="shared" si="8"/>
        <v>1.5586000000212152E-2</v>
      </c>
    </row>
    <row r="86" spans="2:10" x14ac:dyDescent="0.45">
      <c r="B86" s="11">
        <v>71</v>
      </c>
      <c r="C86" s="60">
        <v>151.6413850000001</v>
      </c>
      <c r="D86" s="60">
        <v>151.70094100000011</v>
      </c>
      <c r="E86" s="41">
        <f t="shared" si="6"/>
        <v>1744.8613850000002</v>
      </c>
      <c r="F86" s="41">
        <f t="shared" si="7"/>
        <v>1744.9209410000001</v>
      </c>
      <c r="G86" s="60">
        <v>25.262668506000001</v>
      </c>
      <c r="H86" s="61">
        <v>-2.8908774934552829E-2</v>
      </c>
      <c r="I86" s="61">
        <v>0</v>
      </c>
      <c r="J86" s="43">
        <f t="shared" si="8"/>
        <v>5.9555999999929554E-2</v>
      </c>
    </row>
    <row r="87" spans="2:10" x14ac:dyDescent="0.45">
      <c r="B87" s="11">
        <v>72</v>
      </c>
      <c r="C87" s="60">
        <v>151.70094100000011</v>
      </c>
      <c r="D87" s="60">
        <v>153.39003600000001</v>
      </c>
      <c r="E87" s="41">
        <f t="shared" si="6"/>
        <v>1744.9209410000001</v>
      </c>
      <c r="F87" s="41">
        <f t="shared" si="7"/>
        <v>1746.610036</v>
      </c>
      <c r="G87" s="60">
        <v>25.260946815</v>
      </c>
      <c r="H87" s="61">
        <v>-2.165469674589245E-2</v>
      </c>
      <c r="I87" s="61">
        <v>0</v>
      </c>
      <c r="J87" s="43">
        <f t="shared" si="8"/>
        <v>1.6890949999999521</v>
      </c>
    </row>
    <row r="88" spans="2:10" x14ac:dyDescent="0.45">
      <c r="B88" s="11">
        <v>73</v>
      </c>
      <c r="C88" s="60">
        <v>153.39003600000001</v>
      </c>
      <c r="D88" s="60">
        <v>155.64725799999999</v>
      </c>
      <c r="E88" s="41">
        <f t="shared" si="6"/>
        <v>1746.610036</v>
      </c>
      <c r="F88" s="41">
        <f t="shared" si="7"/>
        <v>1748.867258</v>
      </c>
      <c r="G88" s="60">
        <v>25.224369974999998</v>
      </c>
      <c r="H88" s="61">
        <v>-5.3156300532246993E-2</v>
      </c>
      <c r="I88" s="61">
        <v>0</v>
      </c>
      <c r="J88" s="43">
        <f t="shared" si="8"/>
        <v>2.2572219999999561</v>
      </c>
    </row>
    <row r="89" spans="2:10" x14ac:dyDescent="0.45">
      <c r="B89" s="11">
        <v>74</v>
      </c>
      <c r="C89" s="60">
        <v>155.64725799999999</v>
      </c>
      <c r="D89" s="60">
        <v>159.89344000000011</v>
      </c>
      <c r="E89" s="41">
        <f t="shared" si="6"/>
        <v>1748.867258</v>
      </c>
      <c r="F89" s="41">
        <f t="shared" si="7"/>
        <v>1753.1134400000001</v>
      </c>
      <c r="G89" s="60">
        <v>25.104384404000001</v>
      </c>
      <c r="H89" s="61">
        <v>-6.2848839734141529E-2</v>
      </c>
      <c r="I89" s="61">
        <v>0</v>
      </c>
      <c r="J89" s="43">
        <f t="shared" si="8"/>
        <v>4.2461820000000898</v>
      </c>
    </row>
    <row r="90" spans="2:10" x14ac:dyDescent="0.45">
      <c r="B90" s="11">
        <v>75</v>
      </c>
      <c r="C90" s="60">
        <v>159.89344000000011</v>
      </c>
      <c r="D90" s="60">
        <v>160.762956</v>
      </c>
      <c r="E90" s="41">
        <f t="shared" si="6"/>
        <v>1753.1134400000001</v>
      </c>
      <c r="F90" s="41">
        <f t="shared" si="7"/>
        <v>1753.9829560000001</v>
      </c>
      <c r="G90" s="60">
        <v>24.837516791999999</v>
      </c>
      <c r="H90" s="61">
        <v>-5.8978307472203298E-2</v>
      </c>
      <c r="I90" s="61">
        <v>0</v>
      </c>
      <c r="J90" s="43">
        <f t="shared" si="8"/>
        <v>0.86951599999997597</v>
      </c>
    </row>
    <row r="91" spans="2:10" x14ac:dyDescent="0.45">
      <c r="B91" s="11">
        <v>76</v>
      </c>
      <c r="C91" s="60">
        <v>160.762956</v>
      </c>
      <c r="D91" s="60">
        <v>161.603801</v>
      </c>
      <c r="E91" s="41">
        <f t="shared" si="6"/>
        <v>1753.9829560000001</v>
      </c>
      <c r="F91" s="41">
        <f t="shared" si="7"/>
        <v>1754.823801</v>
      </c>
      <c r="G91" s="60">
        <v>24.78623421</v>
      </c>
      <c r="H91" s="61">
        <v>-4.8469518163281163E-2</v>
      </c>
      <c r="I91" s="61">
        <v>0</v>
      </c>
      <c r="J91" s="43">
        <f t="shared" si="8"/>
        <v>0.84084499999994478</v>
      </c>
    </row>
    <row r="92" spans="2:10" x14ac:dyDescent="0.45">
      <c r="B92" s="11">
        <v>77</v>
      </c>
      <c r="C92" s="60">
        <v>161.603801</v>
      </c>
      <c r="D92" s="60">
        <v>164.0454950000001</v>
      </c>
      <c r="E92" s="41">
        <f t="shared" si="6"/>
        <v>1754.823801</v>
      </c>
      <c r="F92" s="41">
        <f t="shared" si="7"/>
        <v>1757.2654950000001</v>
      </c>
      <c r="G92" s="60">
        <v>24.745478857999998</v>
      </c>
      <c r="H92" s="61">
        <v>5.2201886477174407E-2</v>
      </c>
      <c r="I92" s="61">
        <v>0</v>
      </c>
      <c r="J92" s="43">
        <f t="shared" si="8"/>
        <v>2.4416940000000977</v>
      </c>
    </row>
    <row r="93" spans="2:10" x14ac:dyDescent="0.45">
      <c r="B93" s="11">
        <v>78</v>
      </c>
      <c r="C93" s="60">
        <v>164.0454950000001</v>
      </c>
      <c r="D93" s="60">
        <v>164.52501699999991</v>
      </c>
      <c r="E93" s="41">
        <f t="shared" si="6"/>
        <v>1757.2654950000001</v>
      </c>
      <c r="F93" s="41">
        <f t="shared" si="7"/>
        <v>1757.745017</v>
      </c>
      <c r="G93" s="60">
        <v>24.872939891000001</v>
      </c>
      <c r="H93" s="61">
        <v>3.077684444092536E-2</v>
      </c>
      <c r="I93" s="61">
        <v>0</v>
      </c>
      <c r="J93" s="43">
        <f t="shared" si="8"/>
        <v>0.47952199999986078</v>
      </c>
    </row>
    <row r="94" spans="2:10" x14ac:dyDescent="0.45">
      <c r="B94" s="11">
        <v>79</v>
      </c>
      <c r="C94" s="60">
        <v>164.52501699999991</v>
      </c>
      <c r="D94" s="60">
        <v>165.112482</v>
      </c>
      <c r="E94" s="41">
        <f t="shared" si="6"/>
        <v>1757.745017</v>
      </c>
      <c r="F94" s="41">
        <f t="shared" si="7"/>
        <v>1758.332482</v>
      </c>
      <c r="G94" s="60">
        <v>24.887698064999999</v>
      </c>
      <c r="H94" s="61">
        <v>-0.19285522201320099</v>
      </c>
      <c r="I94" s="61">
        <v>0</v>
      </c>
      <c r="J94" s="43">
        <f t="shared" si="8"/>
        <v>0.58746500000006563</v>
      </c>
    </row>
    <row r="95" spans="2:10" x14ac:dyDescent="0.45">
      <c r="B95" s="11">
        <v>80</v>
      </c>
      <c r="C95" s="60">
        <v>165.112482</v>
      </c>
      <c r="D95" s="60">
        <v>165.919995</v>
      </c>
      <c r="E95" s="41">
        <f t="shared" si="6"/>
        <v>1758.332482</v>
      </c>
      <c r="F95" s="41">
        <f t="shared" si="7"/>
        <v>1759.139995</v>
      </c>
      <c r="G95" s="60">
        <v>24.774402372000001</v>
      </c>
      <c r="H95" s="61">
        <v>-0.21481233119467541</v>
      </c>
      <c r="I95" s="61">
        <v>0</v>
      </c>
      <c r="J95" s="43">
        <f t="shared" si="8"/>
        <v>0.80751299999997173</v>
      </c>
    </row>
    <row r="96" spans="2:10" x14ac:dyDescent="0.45">
      <c r="B96" s="11">
        <v>81</v>
      </c>
      <c r="C96" s="60">
        <v>165.919995</v>
      </c>
      <c r="D96" s="60">
        <v>168.27760199999989</v>
      </c>
      <c r="E96" s="41">
        <f t="shared" si="6"/>
        <v>1759.139995</v>
      </c>
      <c r="F96" s="41">
        <f t="shared" si="7"/>
        <v>1761.4976019999999</v>
      </c>
      <c r="G96" s="60">
        <v>24.600938622000001</v>
      </c>
      <c r="H96" s="61">
        <v>-0.18186335042270191</v>
      </c>
      <c r="I96" s="61">
        <v>0</v>
      </c>
      <c r="J96" s="43">
        <f t="shared" si="8"/>
        <v>2.3576069999999163</v>
      </c>
    </row>
    <row r="97" spans="2:10" x14ac:dyDescent="0.45">
      <c r="B97" s="11">
        <v>82</v>
      </c>
      <c r="C97" s="60">
        <v>168.27760199999989</v>
      </c>
      <c r="D97" s="60">
        <v>168.4258649999999</v>
      </c>
      <c r="E97" s="41">
        <f t="shared" si="6"/>
        <v>1761.4976019999999</v>
      </c>
      <c r="F97" s="41">
        <f t="shared" si="7"/>
        <v>1761.645865</v>
      </c>
      <c r="G97" s="60">
        <v>24.172176314000001</v>
      </c>
      <c r="H97" s="61">
        <v>-0.19055251816023991</v>
      </c>
      <c r="I97" s="61">
        <v>0</v>
      </c>
      <c r="J97" s="43">
        <f t="shared" si="8"/>
        <v>0.14826300000004267</v>
      </c>
    </row>
    <row r="98" spans="2:10" x14ac:dyDescent="0.45">
      <c r="B98" s="11">
        <v>83</v>
      </c>
      <c r="C98" s="60">
        <v>168.4258649999999</v>
      </c>
      <c r="D98" s="60">
        <v>168.653043</v>
      </c>
      <c r="E98" s="41">
        <f t="shared" si="6"/>
        <v>1761.645865</v>
      </c>
      <c r="F98" s="41">
        <f t="shared" si="7"/>
        <v>1761.8730430000001</v>
      </c>
      <c r="G98" s="60">
        <v>24.143924426000002</v>
      </c>
      <c r="H98" s="61">
        <v>-0.1560731100722251</v>
      </c>
      <c r="I98" s="61">
        <v>0</v>
      </c>
      <c r="J98" s="43">
        <f t="shared" si="8"/>
        <v>0.22717800000009447</v>
      </c>
    </row>
    <row r="99" spans="2:10" x14ac:dyDescent="0.45">
      <c r="B99" s="11">
        <v>84</v>
      </c>
      <c r="C99" s="60">
        <v>168.653043</v>
      </c>
      <c r="D99" s="60">
        <v>172.48799200000011</v>
      </c>
      <c r="E99" s="41">
        <f t="shared" si="6"/>
        <v>1761.8730430000001</v>
      </c>
      <c r="F99" s="41">
        <f t="shared" si="7"/>
        <v>1765.7079920000001</v>
      </c>
      <c r="G99" s="60">
        <v>24.108468048999999</v>
      </c>
      <c r="H99" s="61">
        <v>-0.15970384012929231</v>
      </c>
      <c r="I99" s="61">
        <v>0</v>
      </c>
      <c r="J99" s="43">
        <f t="shared" si="8"/>
        <v>3.8349490000000515</v>
      </c>
    </row>
    <row r="100" spans="2:10" x14ac:dyDescent="0.45">
      <c r="B100" s="11">
        <v>85</v>
      </c>
      <c r="C100" s="60">
        <v>172.48799200000011</v>
      </c>
      <c r="D100" s="60">
        <v>174.85185299999989</v>
      </c>
      <c r="E100" s="41">
        <f t="shared" si="6"/>
        <v>1765.7079920000001</v>
      </c>
      <c r="F100" s="41">
        <f t="shared" si="7"/>
        <v>1768.0718529999999</v>
      </c>
      <c r="G100" s="60">
        <v>23.496011967000001</v>
      </c>
      <c r="H100" s="61">
        <v>-0.1899615375015857</v>
      </c>
      <c r="I100" s="61">
        <v>0</v>
      </c>
      <c r="J100" s="43">
        <f t="shared" si="8"/>
        <v>2.3638609999998152</v>
      </c>
    </row>
    <row r="101" spans="2:10" x14ac:dyDescent="0.45">
      <c r="B101" s="11">
        <v>86</v>
      </c>
      <c r="C101" s="60">
        <v>174.85185299999989</v>
      </c>
      <c r="D101" s="60">
        <v>177.853014</v>
      </c>
      <c r="E101" s="41">
        <f t="shared" si="6"/>
        <v>1768.0718529999999</v>
      </c>
      <c r="F101" s="41">
        <f t="shared" si="7"/>
        <v>1771.0730140000001</v>
      </c>
      <c r="G101" s="60">
        <v>23.046969297</v>
      </c>
      <c r="H101" s="61">
        <v>-0.20372907518122901</v>
      </c>
      <c r="I101" s="61">
        <v>0</v>
      </c>
      <c r="J101" s="43">
        <f t="shared" si="8"/>
        <v>3.0011610000001383</v>
      </c>
    </row>
    <row r="102" spans="2:10" x14ac:dyDescent="0.45">
      <c r="B102" s="11">
        <v>87</v>
      </c>
      <c r="C102" s="60">
        <v>177.853014</v>
      </c>
      <c r="D102" s="60">
        <v>182.40547199999989</v>
      </c>
      <c r="E102" s="41">
        <f t="shared" si="6"/>
        <v>1771.0730140000001</v>
      </c>
      <c r="F102" s="41">
        <f t="shared" si="7"/>
        <v>1775.6254719999999</v>
      </c>
      <c r="G102" s="60">
        <v>22.435545542</v>
      </c>
      <c r="H102" s="61">
        <v>-0.18057410590059689</v>
      </c>
      <c r="I102" s="61">
        <v>0</v>
      </c>
      <c r="J102" s="43">
        <f t="shared" si="8"/>
        <v>4.5524579999998878</v>
      </c>
    </row>
    <row r="103" spans="2:10" x14ac:dyDescent="0.45">
      <c r="B103" s="11">
        <v>88</v>
      </c>
      <c r="C103" s="60">
        <v>182.40547199999989</v>
      </c>
      <c r="D103" s="60">
        <v>183.0659720000001</v>
      </c>
      <c r="E103" s="41">
        <f t="shared" si="6"/>
        <v>1775.6254719999999</v>
      </c>
      <c r="F103" s="41">
        <f t="shared" si="7"/>
        <v>1776.2859720000001</v>
      </c>
      <c r="G103" s="60">
        <v>21.613489509000001</v>
      </c>
      <c r="H103" s="61">
        <v>-0.1580929023466616</v>
      </c>
      <c r="I103" s="61">
        <v>0</v>
      </c>
      <c r="J103" s="43">
        <f t="shared" si="8"/>
        <v>0.66050000000018372</v>
      </c>
    </row>
    <row r="104" spans="2:10" x14ac:dyDescent="0.45">
      <c r="B104" s="11">
        <v>89</v>
      </c>
      <c r="C104" s="60">
        <v>183.0659720000001</v>
      </c>
      <c r="D104" s="60">
        <v>183.86930200000009</v>
      </c>
      <c r="E104" s="41">
        <f t="shared" si="6"/>
        <v>1776.2859720000001</v>
      </c>
      <c r="F104" s="41">
        <f t="shared" si="7"/>
        <v>1777.0893020000001</v>
      </c>
      <c r="G104" s="60">
        <v>21.509069147000002</v>
      </c>
      <c r="H104" s="61">
        <v>-4.2491420711292312E-2</v>
      </c>
      <c r="I104" s="61">
        <v>0</v>
      </c>
      <c r="J104" s="43">
        <f t="shared" si="8"/>
        <v>0.80332999999995991</v>
      </c>
    </row>
    <row r="105" spans="2:10" x14ac:dyDescent="0.45">
      <c r="B105" s="11">
        <v>90</v>
      </c>
      <c r="C105" s="60">
        <v>183.86930200000009</v>
      </c>
      <c r="D105" s="60">
        <v>186.51730599999999</v>
      </c>
      <c r="E105" s="41">
        <f t="shared" si="6"/>
        <v>1777.0893020000001</v>
      </c>
      <c r="F105" s="41">
        <f t="shared" si="7"/>
        <v>1779.737306</v>
      </c>
      <c r="G105" s="60">
        <v>21.474934514000001</v>
      </c>
      <c r="H105" s="61">
        <v>-1.7688409836239739E-2</v>
      </c>
      <c r="I105" s="61">
        <v>0</v>
      </c>
      <c r="J105" s="43">
        <f t="shared" si="8"/>
        <v>2.6480039999999008</v>
      </c>
    </row>
    <row r="106" spans="2:10" x14ac:dyDescent="0.45">
      <c r="B106" s="11">
        <v>91</v>
      </c>
      <c r="C106" s="60">
        <v>186.51730599999999</v>
      </c>
      <c r="D106" s="60">
        <v>187.58021800000009</v>
      </c>
      <c r="E106" s="41">
        <f t="shared" si="6"/>
        <v>1779.737306</v>
      </c>
      <c r="F106" s="41">
        <f t="shared" si="7"/>
        <v>1780.8002180000001</v>
      </c>
      <c r="G106" s="60">
        <v>21.428095534000001</v>
      </c>
      <c r="H106" s="61">
        <v>-0.10949006220645779</v>
      </c>
      <c r="I106" s="61">
        <v>0</v>
      </c>
      <c r="J106" s="43">
        <f t="shared" si="8"/>
        <v>1.0629120000000967</v>
      </c>
    </row>
    <row r="107" spans="2:10" x14ac:dyDescent="0.45">
      <c r="B107" s="11">
        <v>92</v>
      </c>
      <c r="C107" s="60">
        <v>187.58021800000009</v>
      </c>
      <c r="D107" s="60">
        <v>188.83510700000011</v>
      </c>
      <c r="E107" s="41">
        <f t="shared" si="6"/>
        <v>1780.8002180000001</v>
      </c>
      <c r="F107" s="41">
        <f t="shared" si="7"/>
        <v>1782.0551070000001</v>
      </c>
      <c r="G107" s="60">
        <v>21.311717233</v>
      </c>
      <c r="H107" s="61">
        <v>-0.12907738931490539</v>
      </c>
      <c r="I107" s="61">
        <v>0</v>
      </c>
      <c r="J107" s="43">
        <f t="shared" si="8"/>
        <v>1.2548890000000483</v>
      </c>
    </row>
    <row r="108" spans="2:10" x14ac:dyDescent="0.45">
      <c r="B108" s="11">
        <v>93</v>
      </c>
      <c r="C108" s="60">
        <v>188.83510700000011</v>
      </c>
      <c r="D108" s="60">
        <v>191.33210800000009</v>
      </c>
      <c r="E108" s="41">
        <f t="shared" si="6"/>
        <v>1782.0551070000001</v>
      </c>
      <c r="F108" s="41">
        <f t="shared" si="7"/>
        <v>1784.5521080000001</v>
      </c>
      <c r="G108" s="60">
        <v>21.149739437000001</v>
      </c>
      <c r="H108" s="61">
        <v>8.9760495089910519E-2</v>
      </c>
      <c r="I108" s="61">
        <v>0</v>
      </c>
      <c r="J108" s="43">
        <f t="shared" si="8"/>
        <v>2.4970009999999547</v>
      </c>
    </row>
    <row r="109" spans="2:10" x14ac:dyDescent="0.45">
      <c r="B109" s="11">
        <v>94</v>
      </c>
      <c r="C109" s="60">
        <v>191.33210800000009</v>
      </c>
      <c r="D109" s="60">
        <v>191.897739</v>
      </c>
      <c r="E109" s="41">
        <f t="shared" si="6"/>
        <v>1784.5521080000001</v>
      </c>
      <c r="F109" s="41">
        <f t="shared" si="7"/>
        <v>1785.117739</v>
      </c>
      <c r="G109" s="60">
        <v>21.373871482999999</v>
      </c>
      <c r="H109" s="61">
        <v>6.5720885170732393E-2</v>
      </c>
      <c r="I109" s="61">
        <v>0</v>
      </c>
      <c r="J109" s="43">
        <f t="shared" si="8"/>
        <v>0.56563099999993938</v>
      </c>
    </row>
    <row r="110" spans="2:10" x14ac:dyDescent="0.45">
      <c r="B110" s="11">
        <v>95</v>
      </c>
      <c r="C110" s="60">
        <v>191.897739</v>
      </c>
      <c r="D110" s="60">
        <v>192.84823899999989</v>
      </c>
      <c r="E110" s="41">
        <f t="shared" si="6"/>
        <v>1785.117739</v>
      </c>
      <c r="F110" s="41">
        <f t="shared" si="7"/>
        <v>1786.0682389999999</v>
      </c>
      <c r="G110" s="60">
        <v>21.411045253000001</v>
      </c>
      <c r="H110" s="61">
        <v>0.22209399579170541</v>
      </c>
      <c r="I110" s="61">
        <v>0</v>
      </c>
      <c r="J110" s="43">
        <f t="shared" si="8"/>
        <v>0.95049999999991996</v>
      </c>
    </row>
    <row r="111" spans="2:10" x14ac:dyDescent="0.45">
      <c r="B111" s="11">
        <v>96</v>
      </c>
      <c r="C111" s="60">
        <v>192.84823899999989</v>
      </c>
      <c r="D111" s="60">
        <v>198.0481179999999</v>
      </c>
      <c r="E111" s="41">
        <f t="shared" si="6"/>
        <v>1786.0682389999999</v>
      </c>
      <c r="F111" s="41">
        <f t="shared" si="7"/>
        <v>1791.268118</v>
      </c>
      <c r="G111" s="60">
        <v>21.622145595999999</v>
      </c>
      <c r="H111" s="61">
        <v>0.18895188138031671</v>
      </c>
      <c r="I111" s="61">
        <v>0</v>
      </c>
      <c r="J111" s="43">
        <f t="shared" si="8"/>
        <v>5.1998790000000099</v>
      </c>
    </row>
    <row r="112" spans="2:10" x14ac:dyDescent="0.45">
      <c r="B112" s="11">
        <v>97</v>
      </c>
      <c r="C112" s="60">
        <v>198.0481179999999</v>
      </c>
      <c r="D112" s="60">
        <v>204.05500200000009</v>
      </c>
      <c r="E112" s="41">
        <f t="shared" si="6"/>
        <v>1791.268118</v>
      </c>
      <c r="F112" s="41">
        <f t="shared" si="7"/>
        <v>1797.2750020000001</v>
      </c>
      <c r="G112" s="60">
        <v>22.604672516000001</v>
      </c>
      <c r="H112" s="61">
        <v>0.1019966310319939</v>
      </c>
      <c r="I112" s="61">
        <v>0</v>
      </c>
      <c r="J112" s="43">
        <f t="shared" si="8"/>
        <v>6.0068840000001273</v>
      </c>
    </row>
    <row r="113" spans="1:22" x14ac:dyDescent="0.45">
      <c r="B113" s="11">
        <v>98</v>
      </c>
      <c r="C113" s="60">
        <v>204.05500200000009</v>
      </c>
      <c r="D113" s="60">
        <v>206.93518499999999</v>
      </c>
      <c r="E113" s="41">
        <f t="shared" si="6"/>
        <v>1797.2750020000001</v>
      </c>
      <c r="F113" s="41">
        <f t="shared" si="7"/>
        <v>1800.1551850000001</v>
      </c>
      <c r="G113" s="60">
        <v>23.217354447000002</v>
      </c>
      <c r="H113" s="61">
        <v>7.8432485019181042E-2</v>
      </c>
      <c r="I113" s="61">
        <v>0</v>
      </c>
      <c r="J113" s="43">
        <f t="shared" si="8"/>
        <v>2.8801829999999882</v>
      </c>
    </row>
    <row r="114" spans="1:22" x14ac:dyDescent="0.45">
      <c r="B114" s="11">
        <v>99</v>
      </c>
      <c r="C114" s="60">
        <v>206.93518499999999</v>
      </c>
      <c r="D114" s="60">
        <v>207.231886</v>
      </c>
      <c r="E114" s="41">
        <f t="shared" si="6"/>
        <v>1800.1551850000001</v>
      </c>
      <c r="F114" s="41">
        <f t="shared" si="7"/>
        <v>1800.4518860000001</v>
      </c>
      <c r="G114" s="60">
        <v>23.443254357000001</v>
      </c>
      <c r="H114" s="61">
        <v>7.4108378468560651E-2</v>
      </c>
      <c r="I114" s="61">
        <v>0</v>
      </c>
      <c r="J114" s="43">
        <f t="shared" si="8"/>
        <v>0.29670099999998456</v>
      </c>
    </row>
    <row r="116" spans="1:22" x14ac:dyDescent="0.45">
      <c r="A116" s="17" t="s">
        <v>1212</v>
      </c>
      <c r="B116" s="18"/>
      <c r="C116" s="18"/>
      <c r="D116" s="18"/>
      <c r="E116" s="18"/>
      <c r="F116" s="18"/>
      <c r="G116" s="18"/>
      <c r="H116" s="18"/>
      <c r="I116" s="18"/>
      <c r="J116" s="18"/>
      <c r="K116" s="18"/>
      <c r="L116" s="18"/>
      <c r="M116" s="18"/>
      <c r="N116" s="18"/>
      <c r="O116" s="18"/>
      <c r="P116" s="18"/>
      <c r="Q116" s="18"/>
      <c r="R116" s="18"/>
      <c r="S116" s="18"/>
      <c r="T116" s="18"/>
    </row>
    <row r="117" spans="1:22" ht="32" customHeight="1" x14ac:dyDescent="0.45">
      <c r="B117" s="19" t="s">
        <v>1213</v>
      </c>
      <c r="C117" s="19" t="s">
        <v>789</v>
      </c>
      <c r="D117" s="19" t="s">
        <v>1203</v>
      </c>
      <c r="E117" s="19" t="s">
        <v>1214</v>
      </c>
      <c r="F117" s="19" t="s">
        <v>1215</v>
      </c>
      <c r="G117" s="19" t="s">
        <v>1216</v>
      </c>
      <c r="H117" s="19" t="s">
        <v>1217</v>
      </c>
      <c r="I117" s="19" t="s">
        <v>1218</v>
      </c>
      <c r="J117" s="19" t="s">
        <v>1219</v>
      </c>
      <c r="K117" s="19" t="s">
        <v>1220</v>
      </c>
      <c r="L117" s="19" t="s">
        <v>1221</v>
      </c>
      <c r="M117" s="19" t="s">
        <v>1222</v>
      </c>
      <c r="N117" s="19" t="s">
        <v>1223</v>
      </c>
      <c r="O117" s="19" t="s">
        <v>1224</v>
      </c>
      <c r="P117" s="19" t="s">
        <v>1225</v>
      </c>
      <c r="Q117" s="19" t="s">
        <v>1226</v>
      </c>
      <c r="R117" s="19" t="s">
        <v>1227</v>
      </c>
      <c r="S117" s="19" t="s">
        <v>1228</v>
      </c>
      <c r="T117" s="19" t="s">
        <v>1229</v>
      </c>
      <c r="U117" s="19" t="s">
        <v>1230</v>
      </c>
      <c r="V117" s="19" t="s">
        <v>1231</v>
      </c>
    </row>
    <row r="118" spans="1:22" x14ac:dyDescent="0.45">
      <c r="B118" s="11">
        <v>1</v>
      </c>
      <c r="C118" s="11">
        <v>1</v>
      </c>
      <c r="D118" s="11">
        <v>1</v>
      </c>
      <c r="E118" s="41">
        <f t="shared" ref="E118:E149" si="9">MAX(E16,Sp1_Bm0)</f>
        <v>1593.47</v>
      </c>
      <c r="F118" s="41">
        <f t="shared" ref="F118:F149" si="10">MIN(F16,Sp1_Bm1)</f>
        <v>1595.556793</v>
      </c>
      <c r="G118" s="41">
        <f t="shared" ref="G118:G149" si="11">(E118+F118)/2</f>
        <v>1594.5133965</v>
      </c>
      <c r="H118" s="43">
        <f t="shared" ref="H118:H149" si="12">$G16+$H16*(E118-$E16)+$I16*(E118-$E16)^2</f>
        <v>24.018171130462793</v>
      </c>
      <c r="I118" s="43">
        <f t="shared" ref="I118:I149" si="13">$G16+$H16*(G118-$E16)+$I16*(G118-$E16)^2</f>
        <v>23.951225773731398</v>
      </c>
      <c r="J118" s="43">
        <f t="shared" ref="J118:J149" si="14">$G16+$H16*(F118-$E16)+$I16*(F118-$E16)^2</f>
        <v>23.884280416999999</v>
      </c>
      <c r="K118" s="43">
        <f t="shared" ref="K118:K149" si="15">(Sp1_ZA+(Sp1_ZB-Sp1_ZA)*((E118-Sp1_BrgA)/Sp1_Lb)-Sup_Drop+Sp1_C/3*((E118-Sp1_BrgA)/Sp1_Lb)*(1-((E118-Sp1_BrgA)/Sp1_Lb))+(MIN(Bm1_Raise,Bm2_Raise))/12)</f>
        <v>43.947188006977207</v>
      </c>
      <c r="L118" s="43">
        <f t="shared" ref="L118:L149" si="16">(Sp1_ZA+(Sp1_ZB-Sp1_ZA)*((G118-Sp1_BrgA)/Sp1_Lb)-Sup_Drop+Sp1_C/3*((G118-Sp1_BrgA)/Sp1_Lb)*(1-((G118-Sp1_BrgA)/Sp1_Lb))+(MIN(Bm1_Raise,Bm2_Raise))/12)</f>
        <v>43.952816391751256</v>
      </c>
      <c r="M118" s="43">
        <f t="shared" ref="M118:M149" si="17">(Sp1_ZA+(Sp1_ZB-Sp1_ZA)*((F118-Sp1_BrgA)/Sp1_Lb)-Sup_Drop+Sp1_C/3*((F118-Sp1_BrgA)/Sp1_Lb)*(1-((F118-Sp1_BrgA)/Sp1_Lb))+(MIN(Bm1_Raise,Bm2_Raise))/12)</f>
        <v>43.958436648198159</v>
      </c>
      <c r="N118" s="43">
        <f t="shared" ref="N118:N149" si="18">K118-H118</f>
        <v>19.929016876514414</v>
      </c>
      <c r="O118" s="43">
        <f t="shared" ref="O118:O149" si="19">L118-I118</f>
        <v>20.001590618019858</v>
      </c>
      <c r="P118" s="43">
        <f t="shared" ref="P118:P149" si="20">M118-J118</f>
        <v>20.07415623119816</v>
      </c>
      <c r="Q118" s="50">
        <f t="shared" ref="Q118:Q149" si="21">2*(P118-2*O118+N118)</f>
        <v>-1.6256654284063643E-5</v>
      </c>
      <c r="R118" s="50">
        <f t="shared" ref="R118:R149" si="22">P118-N118-Q118</f>
        <v>0.1451556113380299</v>
      </c>
      <c r="S118" s="43">
        <f t="shared" ref="S118:S149" si="23">IF(Q118&gt;0.000000000001,-R118/(2*Q118),-1)</f>
        <v>-1</v>
      </c>
      <c r="T118" s="43">
        <f t="shared" ref="T118:T149" si="24">IF(AND(S118&gt;0,S118&lt;1),N118+R118*S118+Q118*S118^2,N118)</f>
        <v>19.929016876514414</v>
      </c>
      <c r="U118" s="43">
        <f t="shared" ref="U118:U149" si="25">IF(F118&gt;E118,MIN(N118,P118,T118),"")</f>
        <v>19.929016876514414</v>
      </c>
      <c r="V118" s="41">
        <f t="shared" ref="V118:V149" si="26">IF(U118="","",IF(U118=N118,E118,IF(U118=P118,F118,E118+(F118-E118)*S118)))</f>
        <v>1593.47</v>
      </c>
    </row>
    <row r="119" spans="1:22" x14ac:dyDescent="0.45">
      <c r="B119" s="11">
        <v>2</v>
      </c>
      <c r="C119" s="11">
        <v>1</v>
      </c>
      <c r="D119" s="11">
        <v>2</v>
      </c>
      <c r="E119" s="41">
        <f t="shared" si="9"/>
        <v>1595.556793</v>
      </c>
      <c r="F119" s="41">
        <f t="shared" si="10"/>
        <v>1598.38014</v>
      </c>
      <c r="G119" s="41">
        <f t="shared" si="11"/>
        <v>1596.9684665</v>
      </c>
      <c r="H119" s="43">
        <f t="shared" si="12"/>
        <v>23.884280416999999</v>
      </c>
      <c r="I119" s="43">
        <f t="shared" si="13"/>
        <v>23.880114573500002</v>
      </c>
      <c r="J119" s="43">
        <f t="shared" si="14"/>
        <v>23.875948730000001</v>
      </c>
      <c r="K119" s="43">
        <f t="shared" si="15"/>
        <v>43.958436648198159</v>
      </c>
      <c r="L119" s="43">
        <f t="shared" si="16"/>
        <v>43.966027691027016</v>
      </c>
      <c r="M119" s="43">
        <f t="shared" si="17"/>
        <v>43.973603854951662</v>
      </c>
      <c r="N119" s="43">
        <f t="shared" si="18"/>
        <v>20.07415623119816</v>
      </c>
      <c r="O119" s="43">
        <f t="shared" si="19"/>
        <v>20.085913117527014</v>
      </c>
      <c r="P119" s="43">
        <f t="shared" si="20"/>
        <v>20.097655124951661</v>
      </c>
      <c r="Q119" s="50">
        <f t="shared" si="21"/>
        <v>-2.9757808412966824E-5</v>
      </c>
      <c r="R119" s="50">
        <f t="shared" si="22"/>
        <v>2.3528651561914415E-2</v>
      </c>
      <c r="S119" s="43">
        <f t="shared" si="23"/>
        <v>-1</v>
      </c>
      <c r="T119" s="43">
        <f t="shared" si="24"/>
        <v>20.07415623119816</v>
      </c>
      <c r="U119" s="43">
        <f t="shared" si="25"/>
        <v>20.07415623119816</v>
      </c>
      <c r="V119" s="41">
        <f t="shared" si="26"/>
        <v>1595.556793</v>
      </c>
    </row>
    <row r="120" spans="1:22" x14ac:dyDescent="0.45">
      <c r="B120" s="11">
        <v>3</v>
      </c>
      <c r="C120" s="11">
        <v>1</v>
      </c>
      <c r="D120" s="11">
        <v>3</v>
      </c>
      <c r="E120" s="41">
        <f t="shared" si="9"/>
        <v>1598.38014</v>
      </c>
      <c r="F120" s="41">
        <f t="shared" si="10"/>
        <v>1600.2863770000001</v>
      </c>
      <c r="G120" s="41">
        <f t="shared" si="11"/>
        <v>1599.3332585000001</v>
      </c>
      <c r="H120" s="43">
        <f t="shared" si="12"/>
        <v>23.875948730000001</v>
      </c>
      <c r="I120" s="43">
        <f t="shared" si="13"/>
        <v>23.875001674</v>
      </c>
      <c r="J120" s="43">
        <f t="shared" si="14"/>
        <v>23.874054617999999</v>
      </c>
      <c r="K120" s="43">
        <f t="shared" si="15"/>
        <v>43.973603854951662</v>
      </c>
      <c r="L120" s="43">
        <f t="shared" si="16"/>
        <v>43.978710633472076</v>
      </c>
      <c r="M120" s="43">
        <f t="shared" si="17"/>
        <v>43.983810629392245</v>
      </c>
      <c r="N120" s="43">
        <f t="shared" si="18"/>
        <v>20.097655124951661</v>
      </c>
      <c r="O120" s="43">
        <f t="shared" si="19"/>
        <v>20.103708959472076</v>
      </c>
      <c r="P120" s="43">
        <f t="shared" si="20"/>
        <v>20.109756011392246</v>
      </c>
      <c r="Q120" s="50">
        <f t="shared" si="21"/>
        <v>-1.3565200490006646E-5</v>
      </c>
      <c r="R120" s="50">
        <f t="shared" si="22"/>
        <v>1.2114451641075163E-2</v>
      </c>
      <c r="S120" s="43">
        <f t="shared" si="23"/>
        <v>-1</v>
      </c>
      <c r="T120" s="43">
        <f t="shared" si="24"/>
        <v>20.097655124951661</v>
      </c>
      <c r="U120" s="43">
        <f t="shared" si="25"/>
        <v>20.097655124951661</v>
      </c>
      <c r="V120" s="41">
        <f t="shared" si="26"/>
        <v>1598.38014</v>
      </c>
    </row>
    <row r="121" spans="1:22" x14ac:dyDescent="0.45">
      <c r="B121" s="11">
        <v>4</v>
      </c>
      <c r="C121" s="11">
        <v>1</v>
      </c>
      <c r="D121" s="11">
        <v>4</v>
      </c>
      <c r="E121" s="41">
        <f t="shared" si="9"/>
        <v>1600.2863770000001</v>
      </c>
      <c r="F121" s="41">
        <f t="shared" si="10"/>
        <v>1603.207911</v>
      </c>
      <c r="G121" s="41">
        <f t="shared" si="11"/>
        <v>1601.7471439999999</v>
      </c>
      <c r="H121" s="43">
        <f t="shared" si="12"/>
        <v>23.874054617999999</v>
      </c>
      <c r="I121" s="43">
        <f t="shared" si="13"/>
        <v>24.201423456499974</v>
      </c>
      <c r="J121" s="43">
        <f t="shared" si="14"/>
        <v>24.528792294999999</v>
      </c>
      <c r="K121" s="43">
        <f t="shared" si="15"/>
        <v>43.983810629392245</v>
      </c>
      <c r="L121" s="43">
        <f t="shared" si="16"/>
        <v>43.991613813784845</v>
      </c>
      <c r="M121" s="43">
        <f t="shared" si="17"/>
        <v>43.999401066396658</v>
      </c>
      <c r="N121" s="43">
        <f t="shared" si="18"/>
        <v>20.109756011392246</v>
      </c>
      <c r="O121" s="43">
        <f t="shared" si="19"/>
        <v>19.790190357284871</v>
      </c>
      <c r="P121" s="43">
        <f t="shared" si="20"/>
        <v>19.470608771396659</v>
      </c>
      <c r="Q121" s="50">
        <f t="shared" si="21"/>
        <v>-3.1863561673617369E-5</v>
      </c>
      <c r="R121" s="50">
        <f t="shared" si="22"/>
        <v>-0.6391153764339137</v>
      </c>
      <c r="S121" s="43">
        <f t="shared" si="23"/>
        <v>-1</v>
      </c>
      <c r="T121" s="43">
        <f t="shared" si="24"/>
        <v>20.109756011392246</v>
      </c>
      <c r="U121" s="43">
        <f t="shared" si="25"/>
        <v>19.470608771396659</v>
      </c>
      <c r="V121" s="41">
        <f t="shared" si="26"/>
        <v>1603.207911</v>
      </c>
    </row>
    <row r="122" spans="1:22" x14ac:dyDescent="0.45">
      <c r="B122" s="11">
        <v>5</v>
      </c>
      <c r="C122" s="11">
        <v>1</v>
      </c>
      <c r="D122" s="11">
        <v>5</v>
      </c>
      <c r="E122" s="41">
        <f t="shared" si="9"/>
        <v>1603.207911</v>
      </c>
      <c r="F122" s="41">
        <f t="shared" si="10"/>
        <v>1603.471894</v>
      </c>
      <c r="G122" s="41">
        <f t="shared" si="11"/>
        <v>1603.3399024999999</v>
      </c>
      <c r="H122" s="43">
        <f t="shared" si="12"/>
        <v>24.528792294999999</v>
      </c>
      <c r="I122" s="43">
        <f t="shared" si="13"/>
        <v>24.53881179699999</v>
      </c>
      <c r="J122" s="43">
        <f t="shared" si="14"/>
        <v>24.548831299</v>
      </c>
      <c r="K122" s="43">
        <f t="shared" si="15"/>
        <v>43.999401066396658</v>
      </c>
      <c r="L122" s="43">
        <f t="shared" si="16"/>
        <v>44.000103919567998</v>
      </c>
      <c r="M122" s="43">
        <f t="shared" si="17"/>
        <v>44.000806642664188</v>
      </c>
      <c r="N122" s="43">
        <f t="shared" si="18"/>
        <v>19.470608771396659</v>
      </c>
      <c r="O122" s="43">
        <f t="shared" si="19"/>
        <v>19.461292122568008</v>
      </c>
      <c r="P122" s="43">
        <f t="shared" si="20"/>
        <v>19.451975343664188</v>
      </c>
      <c r="Q122" s="50">
        <f t="shared" si="21"/>
        <v>-2.6015033682824651E-7</v>
      </c>
      <c r="R122" s="50">
        <f t="shared" si="22"/>
        <v>-1.8633167582134291E-2</v>
      </c>
      <c r="S122" s="43">
        <f t="shared" si="23"/>
        <v>-1</v>
      </c>
      <c r="T122" s="43">
        <f t="shared" si="24"/>
        <v>19.470608771396659</v>
      </c>
      <c r="U122" s="43">
        <f t="shared" si="25"/>
        <v>19.451975343664188</v>
      </c>
      <c r="V122" s="41">
        <f t="shared" si="26"/>
        <v>1603.471894</v>
      </c>
    </row>
    <row r="123" spans="1:22" x14ac:dyDescent="0.45">
      <c r="B123" s="11">
        <v>6</v>
      </c>
      <c r="C123" s="11">
        <v>1</v>
      </c>
      <c r="D123" s="11">
        <v>6</v>
      </c>
      <c r="E123" s="41">
        <f t="shared" si="9"/>
        <v>1603.471894</v>
      </c>
      <c r="F123" s="41">
        <f t="shared" si="10"/>
        <v>1603.5319180000001</v>
      </c>
      <c r="G123" s="41">
        <f t="shared" si="11"/>
        <v>1603.501906</v>
      </c>
      <c r="H123" s="43">
        <f t="shared" si="12"/>
        <v>24.548831299</v>
      </c>
      <c r="I123" s="43">
        <f t="shared" si="13"/>
        <v>24.551109539499993</v>
      </c>
      <c r="J123" s="43">
        <f t="shared" si="14"/>
        <v>24.553387780000001</v>
      </c>
      <c r="K123" s="43">
        <f t="shared" si="15"/>
        <v>44.000806642664188</v>
      </c>
      <c r="L123" s="43">
        <f t="shared" si="16"/>
        <v>44.000966408481176</v>
      </c>
      <c r="M123" s="43">
        <f t="shared" si="17"/>
        <v>44.001126167573169</v>
      </c>
      <c r="N123" s="43">
        <f t="shared" si="18"/>
        <v>19.451975343664188</v>
      </c>
      <c r="O123" s="43">
        <f t="shared" si="19"/>
        <v>19.449856868981183</v>
      </c>
      <c r="P123" s="43">
        <f t="shared" si="20"/>
        <v>19.447738387573168</v>
      </c>
      <c r="Q123" s="50">
        <f t="shared" si="21"/>
        <v>-1.3450019764604804E-8</v>
      </c>
      <c r="R123" s="50">
        <f t="shared" si="22"/>
        <v>-4.2369426410004962E-3</v>
      </c>
      <c r="S123" s="43">
        <f t="shared" si="23"/>
        <v>-1</v>
      </c>
      <c r="T123" s="43">
        <f t="shared" si="24"/>
        <v>19.451975343664188</v>
      </c>
      <c r="U123" s="43">
        <f t="shared" si="25"/>
        <v>19.447738387573168</v>
      </c>
      <c r="V123" s="41">
        <f t="shared" si="26"/>
        <v>1603.5319180000001</v>
      </c>
    </row>
    <row r="124" spans="1:22" x14ac:dyDescent="0.45">
      <c r="B124" s="11">
        <v>7</v>
      </c>
      <c r="C124" s="11">
        <v>1</v>
      </c>
      <c r="D124" s="11">
        <v>7</v>
      </c>
      <c r="E124" s="41">
        <f t="shared" si="9"/>
        <v>1603.5319180000001</v>
      </c>
      <c r="F124" s="41">
        <f t="shared" si="10"/>
        <v>1603.6043340000001</v>
      </c>
      <c r="G124" s="41">
        <f t="shared" si="11"/>
        <v>1603.5681260000001</v>
      </c>
      <c r="H124" s="43">
        <f t="shared" si="12"/>
        <v>24.553387780000001</v>
      </c>
      <c r="I124" s="43">
        <f t="shared" si="13"/>
        <v>24.5561363405</v>
      </c>
      <c r="J124" s="43">
        <f t="shared" si="14"/>
        <v>24.558884900999999</v>
      </c>
      <c r="K124" s="43">
        <f t="shared" si="15"/>
        <v>44.001126167573169</v>
      </c>
      <c r="L124" s="43">
        <f t="shared" si="16"/>
        <v>44.001318900099122</v>
      </c>
      <c r="M124" s="43">
        <f t="shared" si="17"/>
        <v>44.001511622836681</v>
      </c>
      <c r="N124" s="43">
        <f t="shared" si="18"/>
        <v>19.447738387573168</v>
      </c>
      <c r="O124" s="43">
        <f t="shared" si="19"/>
        <v>19.445182559599122</v>
      </c>
      <c r="P124" s="43">
        <f t="shared" si="20"/>
        <v>19.442626721836682</v>
      </c>
      <c r="Q124" s="50">
        <f t="shared" si="21"/>
        <v>-1.9576788190533989E-8</v>
      </c>
      <c r="R124" s="50">
        <f t="shared" si="22"/>
        <v>-5.1116461596976137E-3</v>
      </c>
      <c r="S124" s="43">
        <f t="shared" si="23"/>
        <v>-1</v>
      </c>
      <c r="T124" s="43">
        <f t="shared" si="24"/>
        <v>19.447738387573168</v>
      </c>
      <c r="U124" s="43">
        <f t="shared" si="25"/>
        <v>19.442626721836682</v>
      </c>
      <c r="V124" s="41">
        <f t="shared" si="26"/>
        <v>1603.6043340000001</v>
      </c>
    </row>
    <row r="125" spans="1:22" x14ac:dyDescent="0.45">
      <c r="B125" s="11">
        <v>8</v>
      </c>
      <c r="C125" s="11">
        <v>1</v>
      </c>
      <c r="D125" s="11">
        <v>8</v>
      </c>
      <c r="E125" s="41">
        <f t="shared" si="9"/>
        <v>1603.6043340000001</v>
      </c>
      <c r="F125" s="41">
        <f t="shared" si="10"/>
        <v>1603.675045</v>
      </c>
      <c r="G125" s="41">
        <f t="shared" si="11"/>
        <v>1603.6396895</v>
      </c>
      <c r="H125" s="43">
        <f t="shared" si="12"/>
        <v>24.558884900999999</v>
      </c>
      <c r="I125" s="43">
        <f t="shared" si="13"/>
        <v>24.561568761</v>
      </c>
      <c r="J125" s="43">
        <f t="shared" si="14"/>
        <v>24.564252621000001</v>
      </c>
      <c r="K125" s="43">
        <f t="shared" si="15"/>
        <v>44.001511622836681</v>
      </c>
      <c r="L125" s="43">
        <f t="shared" si="16"/>
        <v>44.00169979856436</v>
      </c>
      <c r="M125" s="43">
        <f t="shared" si="17"/>
        <v>44.001887964959153</v>
      </c>
      <c r="N125" s="43">
        <f t="shared" si="18"/>
        <v>19.442626721836682</v>
      </c>
      <c r="O125" s="43">
        <f t="shared" si="19"/>
        <v>19.44013103756436</v>
      </c>
      <c r="P125" s="43">
        <f t="shared" si="20"/>
        <v>19.437635343959151</v>
      </c>
      <c r="Q125" s="50">
        <f t="shared" si="21"/>
        <v>-1.8665772927306534E-8</v>
      </c>
      <c r="R125" s="50">
        <f t="shared" si="22"/>
        <v>-4.99135921175764E-3</v>
      </c>
      <c r="S125" s="43">
        <f t="shared" si="23"/>
        <v>-1</v>
      </c>
      <c r="T125" s="43">
        <f t="shared" si="24"/>
        <v>19.442626721836682</v>
      </c>
      <c r="U125" s="43">
        <f t="shared" si="25"/>
        <v>19.437635343959151</v>
      </c>
      <c r="V125" s="41">
        <f t="shared" si="26"/>
        <v>1603.675045</v>
      </c>
    </row>
    <row r="126" spans="1:22" x14ac:dyDescent="0.45">
      <c r="B126" s="11">
        <v>9</v>
      </c>
      <c r="C126" s="11">
        <v>1</v>
      </c>
      <c r="D126" s="11">
        <v>9</v>
      </c>
      <c r="E126" s="41">
        <f t="shared" si="9"/>
        <v>1603.675045</v>
      </c>
      <c r="F126" s="41">
        <f t="shared" si="10"/>
        <v>1604.996173</v>
      </c>
      <c r="G126" s="41">
        <f t="shared" si="11"/>
        <v>1604.335609</v>
      </c>
      <c r="H126" s="43">
        <f t="shared" si="12"/>
        <v>24.564252621000001</v>
      </c>
      <c r="I126" s="43">
        <f t="shared" si="13"/>
        <v>24.6143963355</v>
      </c>
      <c r="J126" s="43">
        <f t="shared" si="14"/>
        <v>24.664540049999999</v>
      </c>
      <c r="K126" s="43">
        <f t="shared" si="15"/>
        <v>44.001887964959153</v>
      </c>
      <c r="L126" s="43">
        <f t="shared" si="16"/>
        <v>44.005401853104203</v>
      </c>
      <c r="M126" s="43">
        <f t="shared" si="17"/>
        <v>44.008912483390681</v>
      </c>
      <c r="N126" s="43">
        <f t="shared" si="18"/>
        <v>19.437635343959151</v>
      </c>
      <c r="O126" s="43">
        <f t="shared" si="19"/>
        <v>19.391005517604203</v>
      </c>
      <c r="P126" s="43">
        <f t="shared" si="20"/>
        <v>19.344372433390681</v>
      </c>
      <c r="Q126" s="50">
        <f t="shared" si="21"/>
        <v>-6.5157171462715269E-6</v>
      </c>
      <c r="R126" s="50">
        <f t="shared" si="22"/>
        <v>-9.3256394851323421E-2</v>
      </c>
      <c r="S126" s="43">
        <f t="shared" si="23"/>
        <v>-1</v>
      </c>
      <c r="T126" s="43">
        <f t="shared" si="24"/>
        <v>19.437635343959151</v>
      </c>
      <c r="U126" s="43">
        <f t="shared" si="25"/>
        <v>19.344372433390681</v>
      </c>
      <c r="V126" s="41">
        <f t="shared" si="26"/>
        <v>1604.996173</v>
      </c>
    </row>
    <row r="127" spans="1:22" x14ac:dyDescent="0.45">
      <c r="B127" s="11">
        <v>10</v>
      </c>
      <c r="C127" s="11">
        <v>1</v>
      </c>
      <c r="D127" s="11">
        <v>10</v>
      </c>
      <c r="E127" s="41">
        <f t="shared" si="9"/>
        <v>1604.996173</v>
      </c>
      <c r="F127" s="41">
        <f t="shared" si="10"/>
        <v>1605.7672030000001</v>
      </c>
      <c r="G127" s="41">
        <f t="shared" si="11"/>
        <v>1605.3816879999999</v>
      </c>
      <c r="H127" s="43">
        <f t="shared" si="12"/>
        <v>24.664540049999999</v>
      </c>
      <c r="I127" s="43">
        <f t="shared" si="13"/>
        <v>24.618023911500014</v>
      </c>
      <c r="J127" s="43">
        <f t="shared" si="14"/>
        <v>24.571507773</v>
      </c>
      <c r="K127" s="43">
        <f t="shared" si="15"/>
        <v>44.008912483390681</v>
      </c>
      <c r="L127" s="43">
        <f t="shared" si="16"/>
        <v>44.010959834081412</v>
      </c>
      <c r="M127" s="43">
        <f t="shared" si="17"/>
        <v>44.013006075124778</v>
      </c>
      <c r="N127" s="43">
        <f t="shared" si="18"/>
        <v>19.344372433390681</v>
      </c>
      <c r="O127" s="43">
        <f t="shared" si="19"/>
        <v>19.392935922581398</v>
      </c>
      <c r="P127" s="43">
        <f t="shared" si="20"/>
        <v>19.441498302124778</v>
      </c>
      <c r="Q127" s="50">
        <f t="shared" si="21"/>
        <v>-2.2192946715904327E-6</v>
      </c>
      <c r="R127" s="50">
        <f t="shared" si="22"/>
        <v>9.7128088028767934E-2</v>
      </c>
      <c r="S127" s="43">
        <f t="shared" si="23"/>
        <v>-1</v>
      </c>
      <c r="T127" s="43">
        <f t="shared" si="24"/>
        <v>19.344372433390681</v>
      </c>
      <c r="U127" s="43">
        <f t="shared" si="25"/>
        <v>19.344372433390681</v>
      </c>
      <c r="V127" s="41">
        <f t="shared" si="26"/>
        <v>1604.996173</v>
      </c>
    </row>
    <row r="128" spans="1:22" x14ac:dyDescent="0.45">
      <c r="B128" s="11">
        <v>11</v>
      </c>
      <c r="C128" s="11">
        <v>1</v>
      </c>
      <c r="D128" s="11">
        <v>11</v>
      </c>
      <c r="E128" s="41">
        <f t="shared" si="9"/>
        <v>1605.7672030000001</v>
      </c>
      <c r="F128" s="41">
        <f t="shared" si="10"/>
        <v>1607.8901270000001</v>
      </c>
      <c r="G128" s="41">
        <f t="shared" si="11"/>
        <v>1606.828665</v>
      </c>
      <c r="H128" s="43">
        <f t="shared" si="12"/>
        <v>24.571507773</v>
      </c>
      <c r="I128" s="43">
        <f t="shared" si="13"/>
        <v>24.519784446500008</v>
      </c>
      <c r="J128" s="43">
        <f t="shared" si="14"/>
        <v>24.468061120000002</v>
      </c>
      <c r="K128" s="43">
        <f t="shared" si="15"/>
        <v>44.013006075124778</v>
      </c>
      <c r="L128" s="43">
        <f t="shared" si="16"/>
        <v>44.018634381844343</v>
      </c>
      <c r="M128" s="43">
        <f t="shared" si="17"/>
        <v>44.024254276330282</v>
      </c>
      <c r="N128" s="43">
        <f t="shared" si="18"/>
        <v>19.441498302124778</v>
      </c>
      <c r="O128" s="43">
        <f t="shared" si="19"/>
        <v>19.498849935344335</v>
      </c>
      <c r="P128" s="43">
        <f t="shared" si="20"/>
        <v>19.556193156330281</v>
      </c>
      <c r="Q128" s="50">
        <f t="shared" si="21"/>
        <v>-1.6824467223841566E-5</v>
      </c>
      <c r="R128" s="50">
        <f t="shared" si="22"/>
        <v>0.11471167867272669</v>
      </c>
      <c r="S128" s="43">
        <f t="shared" si="23"/>
        <v>-1</v>
      </c>
      <c r="T128" s="43">
        <f t="shared" si="24"/>
        <v>19.441498302124778</v>
      </c>
      <c r="U128" s="43">
        <f t="shared" si="25"/>
        <v>19.441498302124778</v>
      </c>
      <c r="V128" s="41">
        <f t="shared" si="26"/>
        <v>1605.7672030000001</v>
      </c>
    </row>
    <row r="129" spans="2:22" x14ac:dyDescent="0.45">
      <c r="B129" s="11">
        <v>12</v>
      </c>
      <c r="C129" s="11">
        <v>1</v>
      </c>
      <c r="D129" s="11">
        <v>12</v>
      </c>
      <c r="E129" s="41">
        <f t="shared" si="9"/>
        <v>1607.8901270000001</v>
      </c>
      <c r="F129" s="41">
        <f t="shared" si="10"/>
        <v>1616.0943070000001</v>
      </c>
      <c r="G129" s="41">
        <f t="shared" si="11"/>
        <v>1611.992217</v>
      </c>
      <c r="H129" s="43">
        <f t="shared" si="12"/>
        <v>24.468061120000002</v>
      </c>
      <c r="I129" s="43">
        <f t="shared" si="13"/>
        <v>23.881893007000016</v>
      </c>
      <c r="J129" s="43">
        <f t="shared" si="14"/>
        <v>23.295724893999999</v>
      </c>
      <c r="K129" s="43">
        <f t="shared" si="15"/>
        <v>44.024254276330282</v>
      </c>
      <c r="L129" s="43">
        <f t="shared" si="16"/>
        <v>44.045893657092847</v>
      </c>
      <c r="M129" s="43">
        <f t="shared" si="17"/>
        <v>44.06740740223384</v>
      </c>
      <c r="N129" s="43">
        <f t="shared" si="18"/>
        <v>19.556193156330281</v>
      </c>
      <c r="O129" s="43">
        <f t="shared" si="19"/>
        <v>20.164000650092831</v>
      </c>
      <c r="P129" s="43">
        <f t="shared" si="20"/>
        <v>20.771682508233841</v>
      </c>
      <c r="Q129" s="50">
        <f t="shared" si="21"/>
        <v>-2.5127124307999793E-4</v>
      </c>
      <c r="R129" s="50">
        <f t="shared" si="22"/>
        <v>1.2157406231466403</v>
      </c>
      <c r="S129" s="43">
        <f t="shared" si="23"/>
        <v>-1</v>
      </c>
      <c r="T129" s="43">
        <f t="shared" si="24"/>
        <v>19.556193156330281</v>
      </c>
      <c r="U129" s="43">
        <f t="shared" si="25"/>
        <v>19.556193156330281</v>
      </c>
      <c r="V129" s="41">
        <f t="shared" si="26"/>
        <v>1607.8901270000001</v>
      </c>
    </row>
    <row r="130" spans="2:22" x14ac:dyDescent="0.45">
      <c r="B130" s="11">
        <v>13</v>
      </c>
      <c r="C130" s="11">
        <v>1</v>
      </c>
      <c r="D130" s="11">
        <v>13</v>
      </c>
      <c r="E130" s="41">
        <f t="shared" si="9"/>
        <v>1616.0943070000001</v>
      </c>
      <c r="F130" s="41">
        <f t="shared" si="10"/>
        <v>1619.9076700000001</v>
      </c>
      <c r="G130" s="41">
        <f t="shared" si="11"/>
        <v>1618.0009884999999</v>
      </c>
      <c r="H130" s="43">
        <f t="shared" si="12"/>
        <v>23.295724893999999</v>
      </c>
      <c r="I130" s="43">
        <f t="shared" si="13"/>
        <v>23.016498265000017</v>
      </c>
      <c r="J130" s="43">
        <f t="shared" si="14"/>
        <v>22.737271635999999</v>
      </c>
      <c r="K130" s="43">
        <f t="shared" si="15"/>
        <v>44.06740740223384</v>
      </c>
      <c r="L130" s="43">
        <f t="shared" si="16"/>
        <v>44.077364378962976</v>
      </c>
      <c r="M130" s="43">
        <f t="shared" si="17"/>
        <v>44.087294212636948</v>
      </c>
      <c r="N130" s="43">
        <f t="shared" si="18"/>
        <v>20.771682508233841</v>
      </c>
      <c r="O130" s="43">
        <f t="shared" si="19"/>
        <v>21.060866113962959</v>
      </c>
      <c r="P130" s="43">
        <f t="shared" si="20"/>
        <v>21.350022576636949</v>
      </c>
      <c r="Q130" s="50">
        <f t="shared" si="21"/>
        <v>-5.4286110255929998E-5</v>
      </c>
      <c r="R130" s="50">
        <f t="shared" si="22"/>
        <v>0.57839435451336385</v>
      </c>
      <c r="S130" s="43">
        <f t="shared" si="23"/>
        <v>-1</v>
      </c>
      <c r="T130" s="43">
        <f t="shared" si="24"/>
        <v>20.771682508233841</v>
      </c>
      <c r="U130" s="43">
        <f t="shared" si="25"/>
        <v>20.771682508233841</v>
      </c>
      <c r="V130" s="41">
        <f t="shared" si="26"/>
        <v>1616.0943070000001</v>
      </c>
    </row>
    <row r="131" spans="2:22" x14ac:dyDescent="0.45">
      <c r="B131" s="11">
        <v>14</v>
      </c>
      <c r="C131" s="11">
        <v>1</v>
      </c>
      <c r="D131" s="11">
        <v>14</v>
      </c>
      <c r="E131" s="41">
        <f t="shared" si="9"/>
        <v>1619.9076700000001</v>
      </c>
      <c r="F131" s="41">
        <f t="shared" si="10"/>
        <v>1622.0950170000001</v>
      </c>
      <c r="G131" s="41">
        <f t="shared" si="11"/>
        <v>1621.0013435000001</v>
      </c>
      <c r="H131" s="43">
        <f t="shared" si="12"/>
        <v>22.737271635999999</v>
      </c>
      <c r="I131" s="43">
        <f t="shared" si="13"/>
        <v>22.713766636500001</v>
      </c>
      <c r="J131" s="43">
        <f t="shared" si="14"/>
        <v>22.690261636999999</v>
      </c>
      <c r="K131" s="43">
        <f t="shared" si="15"/>
        <v>44.087294212636948</v>
      </c>
      <c r="L131" s="43">
        <f t="shared" si="16"/>
        <v>44.092977720490403</v>
      </c>
      <c r="M131" s="43">
        <f t="shared" si="17"/>
        <v>44.098652297802168</v>
      </c>
      <c r="N131" s="43">
        <f t="shared" si="18"/>
        <v>21.350022576636949</v>
      </c>
      <c r="O131" s="43">
        <f t="shared" si="19"/>
        <v>21.379211083990402</v>
      </c>
      <c r="P131" s="43">
        <f t="shared" si="20"/>
        <v>21.408390660802169</v>
      </c>
      <c r="Q131" s="50">
        <f t="shared" si="21"/>
        <v>-1.7861083371428776E-5</v>
      </c>
      <c r="R131" s="50">
        <f t="shared" si="22"/>
        <v>5.8385945248591753E-2</v>
      </c>
      <c r="S131" s="43">
        <f t="shared" si="23"/>
        <v>-1</v>
      </c>
      <c r="T131" s="43">
        <f t="shared" si="24"/>
        <v>21.350022576636949</v>
      </c>
      <c r="U131" s="43">
        <f t="shared" si="25"/>
        <v>21.350022576636949</v>
      </c>
      <c r="V131" s="41">
        <f t="shared" si="26"/>
        <v>1619.9076700000001</v>
      </c>
    </row>
    <row r="132" spans="2:22" x14ac:dyDescent="0.45">
      <c r="B132" s="11">
        <v>15</v>
      </c>
      <c r="C132" s="11">
        <v>1</v>
      </c>
      <c r="D132" s="11">
        <v>15</v>
      </c>
      <c r="E132" s="41">
        <f t="shared" si="9"/>
        <v>1622.0950170000001</v>
      </c>
      <c r="F132" s="41">
        <f t="shared" si="10"/>
        <v>1626.7029090000001</v>
      </c>
      <c r="G132" s="41">
        <f t="shared" si="11"/>
        <v>1624.3989630000001</v>
      </c>
      <c r="H132" s="43">
        <f t="shared" si="12"/>
        <v>22.690261636999999</v>
      </c>
      <c r="I132" s="43">
        <f t="shared" si="13"/>
        <v>22.620062668499997</v>
      </c>
      <c r="J132" s="43">
        <f t="shared" si="14"/>
        <v>22.5498637</v>
      </c>
      <c r="K132" s="43">
        <f t="shared" si="15"/>
        <v>44.098652297802168</v>
      </c>
      <c r="L132" s="43">
        <f t="shared" si="16"/>
        <v>44.110577209277984</v>
      </c>
      <c r="M132" s="43">
        <f t="shared" si="17"/>
        <v>44.122462488660176</v>
      </c>
      <c r="N132" s="43">
        <f t="shared" si="18"/>
        <v>21.408390660802169</v>
      </c>
      <c r="O132" s="43">
        <f t="shared" si="19"/>
        <v>21.490514540777987</v>
      </c>
      <c r="P132" s="43">
        <f t="shared" si="20"/>
        <v>21.572598788660176</v>
      </c>
      <c r="Q132" s="50">
        <f t="shared" si="21"/>
        <v>-7.9264187256455898E-5</v>
      </c>
      <c r="R132" s="50">
        <f t="shared" si="22"/>
        <v>0.16428739204526366</v>
      </c>
      <c r="S132" s="43">
        <f t="shared" si="23"/>
        <v>-1</v>
      </c>
      <c r="T132" s="43">
        <f t="shared" si="24"/>
        <v>21.408390660802169</v>
      </c>
      <c r="U132" s="43">
        <f t="shared" si="25"/>
        <v>21.408390660802169</v>
      </c>
      <c r="V132" s="41">
        <f t="shared" si="26"/>
        <v>1622.0950170000001</v>
      </c>
    </row>
    <row r="133" spans="2:22" x14ac:dyDescent="0.45">
      <c r="B133" s="11">
        <v>16</v>
      </c>
      <c r="C133" s="11">
        <v>1</v>
      </c>
      <c r="D133" s="11">
        <v>16</v>
      </c>
      <c r="E133" s="41">
        <f t="shared" si="9"/>
        <v>1626.7029090000001</v>
      </c>
      <c r="F133" s="41">
        <f t="shared" si="10"/>
        <v>1626.7517440000001</v>
      </c>
      <c r="G133" s="41">
        <f t="shared" si="11"/>
        <v>1626.7273265000001</v>
      </c>
      <c r="H133" s="43">
        <f t="shared" si="12"/>
        <v>22.5498637</v>
      </c>
      <c r="I133" s="43">
        <f t="shared" si="13"/>
        <v>22.550447926499999</v>
      </c>
      <c r="J133" s="43">
        <f t="shared" si="14"/>
        <v>22.551032153000001</v>
      </c>
      <c r="K133" s="43">
        <f t="shared" si="15"/>
        <v>44.122462488660176</v>
      </c>
      <c r="L133" s="43">
        <f t="shared" si="16"/>
        <v>44.122588238058384</v>
      </c>
      <c r="M133" s="43">
        <f t="shared" si="17"/>
        <v>44.122713983005106</v>
      </c>
      <c r="N133" s="43">
        <f t="shared" si="18"/>
        <v>21.572598788660176</v>
      </c>
      <c r="O133" s="43">
        <f t="shared" si="19"/>
        <v>21.572140311558385</v>
      </c>
      <c r="P133" s="43">
        <f t="shared" si="20"/>
        <v>21.571681830005105</v>
      </c>
      <c r="Q133" s="50">
        <f t="shared" si="21"/>
        <v>-8.9029796868089761E-9</v>
      </c>
      <c r="R133" s="50">
        <f t="shared" si="22"/>
        <v>-9.1694975209222207E-4</v>
      </c>
      <c r="S133" s="43">
        <f t="shared" si="23"/>
        <v>-1</v>
      </c>
      <c r="T133" s="43">
        <f t="shared" si="24"/>
        <v>21.572598788660176</v>
      </c>
      <c r="U133" s="43">
        <f t="shared" si="25"/>
        <v>21.571681830005105</v>
      </c>
      <c r="V133" s="41">
        <f t="shared" si="26"/>
        <v>1626.7517440000001</v>
      </c>
    </row>
    <row r="134" spans="2:22" x14ac:dyDescent="0.45">
      <c r="B134" s="11">
        <v>17</v>
      </c>
      <c r="C134" s="11">
        <v>1</v>
      </c>
      <c r="D134" s="11">
        <v>17</v>
      </c>
      <c r="E134" s="41">
        <f t="shared" si="9"/>
        <v>1626.7517440000001</v>
      </c>
      <c r="F134" s="41">
        <f t="shared" si="10"/>
        <v>1629.6907249999999</v>
      </c>
      <c r="G134" s="41">
        <f t="shared" si="11"/>
        <v>1628.2212345</v>
      </c>
      <c r="H134" s="43">
        <f t="shared" si="12"/>
        <v>22.551032153000001</v>
      </c>
      <c r="I134" s="43">
        <f t="shared" si="13"/>
        <v>22.696114983500003</v>
      </c>
      <c r="J134" s="43">
        <f t="shared" si="14"/>
        <v>22.841197814000001</v>
      </c>
      <c r="K134" s="43">
        <f t="shared" si="15"/>
        <v>44.122713983005106</v>
      </c>
      <c r="L134" s="43">
        <f t="shared" si="16"/>
        <v>44.130273352175621</v>
      </c>
      <c r="M134" s="43">
        <f t="shared" si="17"/>
        <v>44.137816598712355</v>
      </c>
      <c r="N134" s="43">
        <f t="shared" si="18"/>
        <v>21.571681830005105</v>
      </c>
      <c r="O134" s="43">
        <f t="shared" si="19"/>
        <v>21.434158368675618</v>
      </c>
      <c r="P134" s="43">
        <f t="shared" si="20"/>
        <v>21.296618784712354</v>
      </c>
      <c r="Q134" s="50">
        <f t="shared" si="21"/>
        <v>-3.2245267554742441E-5</v>
      </c>
      <c r="R134" s="50">
        <f t="shared" si="22"/>
        <v>-0.27503080002519553</v>
      </c>
      <c r="S134" s="43">
        <f t="shared" si="23"/>
        <v>-1</v>
      </c>
      <c r="T134" s="43">
        <f t="shared" si="24"/>
        <v>21.571681830005105</v>
      </c>
      <c r="U134" s="43">
        <f t="shared" si="25"/>
        <v>21.296618784712354</v>
      </c>
      <c r="V134" s="41">
        <f t="shared" si="26"/>
        <v>1629.6907249999999</v>
      </c>
    </row>
    <row r="135" spans="2:22" x14ac:dyDescent="0.45">
      <c r="B135" s="11">
        <v>18</v>
      </c>
      <c r="C135" s="11">
        <v>1</v>
      </c>
      <c r="D135" s="11">
        <v>18</v>
      </c>
      <c r="E135" s="41">
        <f t="shared" si="9"/>
        <v>1629.6907249999999</v>
      </c>
      <c r="F135" s="41">
        <f t="shared" si="10"/>
        <v>1630.63831</v>
      </c>
      <c r="G135" s="41">
        <f t="shared" si="11"/>
        <v>1630.1645174999999</v>
      </c>
      <c r="H135" s="43">
        <f t="shared" si="12"/>
        <v>22.841197814000001</v>
      </c>
      <c r="I135" s="43">
        <f t="shared" si="13"/>
        <v>22.877393997499993</v>
      </c>
      <c r="J135" s="43">
        <f t="shared" si="14"/>
        <v>22.913590181</v>
      </c>
      <c r="K135" s="43">
        <f t="shared" si="15"/>
        <v>44.137816598712355</v>
      </c>
      <c r="L135" s="43">
        <f t="shared" si="16"/>
        <v>44.140245251906578</v>
      </c>
      <c r="M135" s="43">
        <f t="shared" si="17"/>
        <v>44.142672229082379</v>
      </c>
      <c r="N135" s="43">
        <f t="shared" si="18"/>
        <v>21.296618784712354</v>
      </c>
      <c r="O135" s="43">
        <f t="shared" si="19"/>
        <v>21.262851254406584</v>
      </c>
      <c r="P135" s="43">
        <f t="shared" si="20"/>
        <v>21.229082048082379</v>
      </c>
      <c r="Q135" s="50">
        <f t="shared" si="21"/>
        <v>-3.3520368702966152E-6</v>
      </c>
      <c r="R135" s="50">
        <f t="shared" si="22"/>
        <v>-6.7533384593104984E-2</v>
      </c>
      <c r="S135" s="43">
        <f t="shared" si="23"/>
        <v>-1</v>
      </c>
      <c r="T135" s="43">
        <f t="shared" si="24"/>
        <v>21.296618784712354</v>
      </c>
      <c r="U135" s="43">
        <f t="shared" si="25"/>
        <v>21.229082048082379</v>
      </c>
      <c r="V135" s="41">
        <f t="shared" si="26"/>
        <v>1630.63831</v>
      </c>
    </row>
    <row r="136" spans="2:22" x14ac:dyDescent="0.45">
      <c r="B136" s="11">
        <v>19</v>
      </c>
      <c r="C136" s="11">
        <v>1</v>
      </c>
      <c r="D136" s="11">
        <v>19</v>
      </c>
      <c r="E136" s="41">
        <f t="shared" si="9"/>
        <v>1630.63831</v>
      </c>
      <c r="F136" s="41">
        <f t="shared" si="10"/>
        <v>1633.5003530000001</v>
      </c>
      <c r="G136" s="41">
        <f t="shared" si="11"/>
        <v>1632.0693315000001</v>
      </c>
      <c r="H136" s="43">
        <f t="shared" si="12"/>
        <v>22.913590181</v>
      </c>
      <c r="I136" s="43">
        <f t="shared" si="13"/>
        <v>23.059333089500001</v>
      </c>
      <c r="J136" s="43">
        <f t="shared" si="14"/>
        <v>23.205075998000002</v>
      </c>
      <c r="K136" s="43">
        <f t="shared" si="15"/>
        <v>44.142672229082379</v>
      </c>
      <c r="L136" s="43">
        <f t="shared" si="16"/>
        <v>44.149992385631954</v>
      </c>
      <c r="M136" s="43">
        <f t="shared" si="17"/>
        <v>44.157297252630215</v>
      </c>
      <c r="N136" s="43">
        <f t="shared" si="18"/>
        <v>21.229082048082379</v>
      </c>
      <c r="O136" s="43">
        <f t="shared" si="19"/>
        <v>21.090659296131953</v>
      </c>
      <c r="P136" s="43">
        <f t="shared" si="20"/>
        <v>20.952221254630214</v>
      </c>
      <c r="Q136" s="50">
        <f t="shared" si="21"/>
        <v>-3.0579102627825705E-5</v>
      </c>
      <c r="R136" s="50">
        <f t="shared" si="22"/>
        <v>-0.27683021434953758</v>
      </c>
      <c r="S136" s="43">
        <f t="shared" si="23"/>
        <v>-1</v>
      </c>
      <c r="T136" s="43">
        <f t="shared" si="24"/>
        <v>21.229082048082379</v>
      </c>
      <c r="U136" s="43">
        <f t="shared" si="25"/>
        <v>20.952221254630214</v>
      </c>
      <c r="V136" s="41">
        <f t="shared" si="26"/>
        <v>1633.5003530000001</v>
      </c>
    </row>
    <row r="137" spans="2:22" x14ac:dyDescent="0.45">
      <c r="B137" s="11">
        <v>20</v>
      </c>
      <c r="C137" s="11">
        <v>1</v>
      </c>
      <c r="D137" s="11">
        <v>20</v>
      </c>
      <c r="E137" s="41">
        <f t="shared" si="9"/>
        <v>1633.5003530000001</v>
      </c>
      <c r="F137" s="41">
        <f t="shared" si="10"/>
        <v>1634.4367750000001</v>
      </c>
      <c r="G137" s="41">
        <f t="shared" si="11"/>
        <v>1633.9685640000002</v>
      </c>
      <c r="H137" s="43">
        <f t="shared" si="12"/>
        <v>23.205075998000002</v>
      </c>
      <c r="I137" s="43">
        <f t="shared" si="13"/>
        <v>23.255795324000012</v>
      </c>
      <c r="J137" s="43">
        <f t="shared" si="14"/>
        <v>23.30651465</v>
      </c>
      <c r="K137" s="43">
        <f t="shared" si="15"/>
        <v>44.157297252630215</v>
      </c>
      <c r="L137" s="43">
        <f t="shared" si="16"/>
        <v>44.159683987276019</v>
      </c>
      <c r="M137" s="43">
        <f t="shared" si="17"/>
        <v>44.162069085159395</v>
      </c>
      <c r="N137" s="43">
        <f t="shared" si="18"/>
        <v>20.952221254630214</v>
      </c>
      <c r="O137" s="43">
        <f t="shared" si="19"/>
        <v>20.903888663276007</v>
      </c>
      <c r="P137" s="43">
        <f t="shared" si="20"/>
        <v>20.855554435159394</v>
      </c>
      <c r="Q137" s="50">
        <f t="shared" si="21"/>
        <v>-3.2735248112203408E-6</v>
      </c>
      <c r="R137" s="50">
        <f t="shared" si="22"/>
        <v>-9.6663545946007901E-2</v>
      </c>
      <c r="S137" s="43">
        <f t="shared" si="23"/>
        <v>-1</v>
      </c>
      <c r="T137" s="43">
        <f t="shared" si="24"/>
        <v>20.952221254630214</v>
      </c>
      <c r="U137" s="43">
        <f t="shared" si="25"/>
        <v>20.855554435159394</v>
      </c>
      <c r="V137" s="41">
        <f t="shared" si="26"/>
        <v>1634.4367750000001</v>
      </c>
    </row>
    <row r="138" spans="2:22" x14ac:dyDescent="0.45">
      <c r="B138" s="11">
        <v>21</v>
      </c>
      <c r="C138" s="11">
        <v>1</v>
      </c>
      <c r="D138" s="11">
        <v>21</v>
      </c>
      <c r="E138" s="41">
        <f t="shared" si="9"/>
        <v>1634.4367750000001</v>
      </c>
      <c r="F138" s="41">
        <f t="shared" si="10"/>
        <v>1635.014177</v>
      </c>
      <c r="G138" s="41">
        <f t="shared" si="11"/>
        <v>1634.7254760000001</v>
      </c>
      <c r="H138" s="43">
        <f t="shared" si="12"/>
        <v>23.30651465</v>
      </c>
      <c r="I138" s="43">
        <f t="shared" si="13"/>
        <v>23.358826196000003</v>
      </c>
      <c r="J138" s="43">
        <f t="shared" si="14"/>
        <v>23.411137742000001</v>
      </c>
      <c r="K138" s="43">
        <f t="shared" si="15"/>
        <v>44.162069085159395</v>
      </c>
      <c r="L138" s="43">
        <f t="shared" si="16"/>
        <v>44.163538931431624</v>
      </c>
      <c r="M138" s="43">
        <f t="shared" si="17"/>
        <v>44.165008155405012</v>
      </c>
      <c r="N138" s="43">
        <f t="shared" si="18"/>
        <v>20.855554435159394</v>
      </c>
      <c r="O138" s="43">
        <f t="shared" si="19"/>
        <v>20.804712735431622</v>
      </c>
      <c r="P138" s="43">
        <f t="shared" si="20"/>
        <v>20.753870413405011</v>
      </c>
      <c r="Q138" s="50">
        <f t="shared" si="21"/>
        <v>-1.2445976764752231E-6</v>
      </c>
      <c r="R138" s="50">
        <f t="shared" si="22"/>
        <v>-0.10168277715670726</v>
      </c>
      <c r="S138" s="43">
        <f t="shared" si="23"/>
        <v>-1</v>
      </c>
      <c r="T138" s="43">
        <f t="shared" si="24"/>
        <v>20.855554435159394</v>
      </c>
      <c r="U138" s="43">
        <f t="shared" si="25"/>
        <v>20.753870413405011</v>
      </c>
      <c r="V138" s="41">
        <f t="shared" si="26"/>
        <v>1635.014177</v>
      </c>
    </row>
    <row r="139" spans="2:22" x14ac:dyDescent="0.45">
      <c r="B139" s="11">
        <v>22</v>
      </c>
      <c r="C139" s="11">
        <v>1</v>
      </c>
      <c r="D139" s="11">
        <v>22</v>
      </c>
      <c r="E139" s="41">
        <f t="shared" si="9"/>
        <v>1635.014177</v>
      </c>
      <c r="F139" s="41">
        <f t="shared" si="10"/>
        <v>1638.829354</v>
      </c>
      <c r="G139" s="41">
        <f t="shared" si="11"/>
        <v>1636.9217655</v>
      </c>
      <c r="H139" s="43">
        <f t="shared" si="12"/>
        <v>23.411137742000001</v>
      </c>
      <c r="I139" s="43">
        <f t="shared" si="13"/>
        <v>23.761081769</v>
      </c>
      <c r="J139" s="43">
        <f t="shared" si="14"/>
        <v>24.111025796</v>
      </c>
      <c r="K139" s="43">
        <f t="shared" si="15"/>
        <v>44.165008155405012</v>
      </c>
      <c r="L139" s="43">
        <f t="shared" si="16"/>
        <v>44.174700395363821</v>
      </c>
      <c r="M139" s="43">
        <f t="shared" si="17"/>
        <v>44.184365466437669</v>
      </c>
      <c r="N139" s="43">
        <f t="shared" si="18"/>
        <v>20.753870413405011</v>
      </c>
      <c r="O139" s="43">
        <f t="shared" si="19"/>
        <v>20.413618626363821</v>
      </c>
      <c r="P139" s="43">
        <f t="shared" si="20"/>
        <v>20.073339670437669</v>
      </c>
      <c r="Q139" s="50">
        <f t="shared" si="21"/>
        <v>-5.4337769924472923E-5</v>
      </c>
      <c r="R139" s="50">
        <f t="shared" si="22"/>
        <v>-0.68047640519741748</v>
      </c>
      <c r="S139" s="43">
        <f t="shared" si="23"/>
        <v>-1</v>
      </c>
      <c r="T139" s="43">
        <f t="shared" si="24"/>
        <v>20.753870413405011</v>
      </c>
      <c r="U139" s="43">
        <f t="shared" si="25"/>
        <v>20.073339670437669</v>
      </c>
      <c r="V139" s="41">
        <f t="shared" si="26"/>
        <v>1638.829354</v>
      </c>
    </row>
    <row r="140" spans="2:22" x14ac:dyDescent="0.45">
      <c r="B140" s="11">
        <v>23</v>
      </c>
      <c r="C140" s="11">
        <v>1</v>
      </c>
      <c r="D140" s="11">
        <v>23</v>
      </c>
      <c r="E140" s="41">
        <f t="shared" si="9"/>
        <v>1638.829354</v>
      </c>
      <c r="F140" s="41">
        <f t="shared" si="10"/>
        <v>1642.153579</v>
      </c>
      <c r="G140" s="41">
        <f t="shared" si="11"/>
        <v>1640.4914665000001</v>
      </c>
      <c r="H140" s="43">
        <f t="shared" si="12"/>
        <v>24.111025796</v>
      </c>
      <c r="I140" s="43">
        <f t="shared" si="13"/>
        <v>24.348431819500018</v>
      </c>
      <c r="J140" s="43">
        <f t="shared" si="14"/>
        <v>24.585837843</v>
      </c>
      <c r="K140" s="43">
        <f t="shared" si="15"/>
        <v>44.184365466437669</v>
      </c>
      <c r="L140" s="43">
        <f t="shared" si="16"/>
        <v>44.192764648567398</v>
      </c>
      <c r="M140" s="43">
        <f t="shared" si="17"/>
        <v>44.201143204305708</v>
      </c>
      <c r="N140" s="43">
        <f t="shared" si="18"/>
        <v>20.073339670437669</v>
      </c>
      <c r="O140" s="43">
        <f t="shared" si="19"/>
        <v>19.84433282906738</v>
      </c>
      <c r="P140" s="43">
        <f t="shared" si="20"/>
        <v>19.615305361305708</v>
      </c>
      <c r="Q140" s="50">
        <f t="shared" si="21"/>
        <v>-4.1252782764900076E-5</v>
      </c>
      <c r="R140" s="50">
        <f t="shared" si="22"/>
        <v>-0.45799305634919563</v>
      </c>
      <c r="S140" s="43">
        <f t="shared" si="23"/>
        <v>-1</v>
      </c>
      <c r="T140" s="43">
        <f t="shared" si="24"/>
        <v>20.073339670437669</v>
      </c>
      <c r="U140" s="43">
        <f t="shared" si="25"/>
        <v>19.615305361305708</v>
      </c>
      <c r="V140" s="41">
        <f t="shared" si="26"/>
        <v>1642.153579</v>
      </c>
    </row>
    <row r="141" spans="2:22" x14ac:dyDescent="0.45">
      <c r="B141" s="11">
        <v>24</v>
      </c>
      <c r="C141" s="11">
        <v>1</v>
      </c>
      <c r="D141" s="11">
        <v>24</v>
      </c>
      <c r="E141" s="41">
        <f t="shared" si="9"/>
        <v>1642.153579</v>
      </c>
      <c r="F141" s="41">
        <f t="shared" si="10"/>
        <v>1643.974385</v>
      </c>
      <c r="G141" s="41">
        <f t="shared" si="11"/>
        <v>1643.0639820000001</v>
      </c>
      <c r="H141" s="43">
        <f t="shared" si="12"/>
        <v>24.585837843</v>
      </c>
      <c r="I141" s="43">
        <f t="shared" si="13"/>
        <v>24.709064673500016</v>
      </c>
      <c r="J141" s="43">
        <f t="shared" si="14"/>
        <v>24.832291504000001</v>
      </c>
      <c r="K141" s="43">
        <f t="shared" si="15"/>
        <v>44.201143204305708</v>
      </c>
      <c r="L141" s="43">
        <f t="shared" si="16"/>
        <v>44.205723718746682</v>
      </c>
      <c r="M141" s="43">
        <f t="shared" si="17"/>
        <v>44.210298044910111</v>
      </c>
      <c r="N141" s="43">
        <f t="shared" si="18"/>
        <v>19.615305361305708</v>
      </c>
      <c r="O141" s="43">
        <f t="shared" si="19"/>
        <v>19.496659045246666</v>
      </c>
      <c r="P141" s="43">
        <f t="shared" si="20"/>
        <v>19.378006540910111</v>
      </c>
      <c r="Q141" s="50">
        <f t="shared" si="21"/>
        <v>-1.2376555027060476E-5</v>
      </c>
      <c r="R141" s="50">
        <f t="shared" si="22"/>
        <v>-0.23728644384057063</v>
      </c>
      <c r="S141" s="43">
        <f t="shared" si="23"/>
        <v>-1</v>
      </c>
      <c r="T141" s="43">
        <f t="shared" si="24"/>
        <v>19.615305361305708</v>
      </c>
      <c r="U141" s="43">
        <f t="shared" si="25"/>
        <v>19.378006540910111</v>
      </c>
      <c r="V141" s="41">
        <f t="shared" si="26"/>
        <v>1643.974385</v>
      </c>
    </row>
    <row r="142" spans="2:22" x14ac:dyDescent="0.45">
      <c r="B142" s="11">
        <v>25</v>
      </c>
      <c r="C142" s="11">
        <v>1</v>
      </c>
      <c r="D142" s="11">
        <v>25</v>
      </c>
      <c r="E142" s="41">
        <f t="shared" si="9"/>
        <v>1643.974385</v>
      </c>
      <c r="F142" s="41">
        <f t="shared" si="10"/>
        <v>1644.522573</v>
      </c>
      <c r="G142" s="41">
        <f t="shared" si="11"/>
        <v>1644.2484789999999</v>
      </c>
      <c r="H142" s="43">
        <f t="shared" si="12"/>
        <v>24.832291504000001</v>
      </c>
      <c r="I142" s="43">
        <f t="shared" si="13"/>
        <v>24.841715317999995</v>
      </c>
      <c r="J142" s="43">
        <f t="shared" si="14"/>
        <v>24.851139132</v>
      </c>
      <c r="K142" s="43">
        <f t="shared" si="15"/>
        <v>44.210298044910111</v>
      </c>
      <c r="L142" s="43">
        <f t="shared" si="16"/>
        <v>44.211674020097597</v>
      </c>
      <c r="M142" s="43">
        <f t="shared" si="17"/>
        <v>44.213049434364365</v>
      </c>
      <c r="N142" s="43">
        <f t="shared" si="18"/>
        <v>19.378006540910111</v>
      </c>
      <c r="O142" s="43">
        <f t="shared" si="19"/>
        <v>19.369958702097602</v>
      </c>
      <c r="P142" s="43">
        <f t="shared" si="20"/>
        <v>19.361910302364365</v>
      </c>
      <c r="Q142" s="50">
        <f t="shared" si="21"/>
        <v>-1.1218414570635105E-6</v>
      </c>
      <c r="R142" s="50">
        <f t="shared" si="22"/>
        <v>-1.609511670428887E-2</v>
      </c>
      <c r="S142" s="43">
        <f t="shared" si="23"/>
        <v>-1</v>
      </c>
      <c r="T142" s="43">
        <f t="shared" si="24"/>
        <v>19.378006540910111</v>
      </c>
      <c r="U142" s="43">
        <f t="shared" si="25"/>
        <v>19.361910302364365</v>
      </c>
      <c r="V142" s="41">
        <f t="shared" si="26"/>
        <v>1644.522573</v>
      </c>
    </row>
    <row r="143" spans="2:22" x14ac:dyDescent="0.45">
      <c r="B143" s="11">
        <v>26</v>
      </c>
      <c r="C143" s="11">
        <v>1</v>
      </c>
      <c r="D143" s="11">
        <v>26</v>
      </c>
      <c r="E143" s="41">
        <f t="shared" si="9"/>
        <v>1644.522573</v>
      </c>
      <c r="F143" s="41">
        <f t="shared" si="10"/>
        <v>1645.4090269999999</v>
      </c>
      <c r="G143" s="41">
        <f t="shared" si="11"/>
        <v>1644.9657999999999</v>
      </c>
      <c r="H143" s="43">
        <f t="shared" si="12"/>
        <v>24.851139132</v>
      </c>
      <c r="I143" s="43">
        <f t="shared" si="13"/>
        <v>24.885302487000001</v>
      </c>
      <c r="J143" s="43">
        <f t="shared" si="14"/>
        <v>24.919465842000001</v>
      </c>
      <c r="K143" s="43">
        <f t="shared" si="15"/>
        <v>44.213049434364365</v>
      </c>
      <c r="L143" s="43">
        <f t="shared" si="16"/>
        <v>44.215272377655744</v>
      </c>
      <c r="M143" s="43">
        <f t="shared" si="17"/>
        <v>44.217493854201365</v>
      </c>
      <c r="N143" s="43">
        <f t="shared" si="18"/>
        <v>19.361910302364365</v>
      </c>
      <c r="O143" s="43">
        <f t="shared" si="19"/>
        <v>19.329969890655743</v>
      </c>
      <c r="P143" s="43">
        <f t="shared" si="20"/>
        <v>19.298028012201364</v>
      </c>
      <c r="Q143" s="50">
        <f t="shared" si="21"/>
        <v>-2.9334915154777264E-6</v>
      </c>
      <c r="R143" s="50">
        <f t="shared" si="22"/>
        <v>-6.3879356671485255E-2</v>
      </c>
      <c r="S143" s="43">
        <f t="shared" si="23"/>
        <v>-1</v>
      </c>
      <c r="T143" s="43">
        <f t="shared" si="24"/>
        <v>19.361910302364365</v>
      </c>
      <c r="U143" s="43">
        <f t="shared" si="25"/>
        <v>19.298028012201364</v>
      </c>
      <c r="V143" s="41">
        <f t="shared" si="26"/>
        <v>1645.4090269999999</v>
      </c>
    </row>
    <row r="144" spans="2:22" x14ac:dyDescent="0.45">
      <c r="B144" s="11">
        <v>27</v>
      </c>
      <c r="C144" s="11">
        <v>1</v>
      </c>
      <c r="D144" s="11">
        <v>27</v>
      </c>
      <c r="E144" s="41">
        <f t="shared" si="9"/>
        <v>1645.4090269999999</v>
      </c>
      <c r="F144" s="41">
        <f t="shared" si="10"/>
        <v>1645.6528350000001</v>
      </c>
      <c r="G144" s="41">
        <f t="shared" si="11"/>
        <v>1645.530931</v>
      </c>
      <c r="H144" s="43">
        <f t="shared" si="12"/>
        <v>24.919465842000001</v>
      </c>
      <c r="I144" s="43">
        <f t="shared" si="13"/>
        <v>24.893212791</v>
      </c>
      <c r="J144" s="43">
        <f t="shared" si="14"/>
        <v>24.866959739999999</v>
      </c>
      <c r="K144" s="43">
        <f t="shared" si="15"/>
        <v>44.217493854201365</v>
      </c>
      <c r="L144" s="43">
        <f t="shared" si="16"/>
        <v>44.21810458614479</v>
      </c>
      <c r="M144" s="43">
        <f t="shared" si="17"/>
        <v>44.218715207135396</v>
      </c>
      <c r="N144" s="43">
        <f t="shared" si="18"/>
        <v>19.298028012201364</v>
      </c>
      <c r="O144" s="43">
        <f t="shared" si="19"/>
        <v>19.32489179514479</v>
      </c>
      <c r="P144" s="43">
        <f t="shared" si="20"/>
        <v>19.351755467135398</v>
      </c>
      <c r="Q144" s="50">
        <f t="shared" si="21"/>
        <v>-2.2190563697677135E-7</v>
      </c>
      <c r="R144" s="50">
        <f t="shared" si="22"/>
        <v>5.3727676839670835E-2</v>
      </c>
      <c r="S144" s="43">
        <f t="shared" si="23"/>
        <v>-1</v>
      </c>
      <c r="T144" s="43">
        <f t="shared" si="24"/>
        <v>19.298028012201364</v>
      </c>
      <c r="U144" s="43">
        <f t="shared" si="25"/>
        <v>19.298028012201364</v>
      </c>
      <c r="V144" s="41">
        <f t="shared" si="26"/>
        <v>1645.4090269999999</v>
      </c>
    </row>
    <row r="145" spans="2:22" x14ac:dyDescent="0.45">
      <c r="B145" s="11">
        <v>28</v>
      </c>
      <c r="C145" s="11">
        <v>1</v>
      </c>
      <c r="D145" s="11">
        <v>28</v>
      </c>
      <c r="E145" s="41">
        <f t="shared" si="9"/>
        <v>1645.6528350000001</v>
      </c>
      <c r="F145" s="41">
        <f t="shared" si="10"/>
        <v>1645.9024300000001</v>
      </c>
      <c r="G145" s="41">
        <f t="shared" si="11"/>
        <v>1645.7776325</v>
      </c>
      <c r="H145" s="43">
        <f t="shared" si="12"/>
        <v>24.866959739999999</v>
      </c>
      <c r="I145" s="43">
        <f t="shared" si="13"/>
        <v>24.829400061000033</v>
      </c>
      <c r="J145" s="43">
        <f t="shared" si="14"/>
        <v>24.791840382</v>
      </c>
      <c r="K145" s="43">
        <f t="shared" si="15"/>
        <v>44.218715207135396</v>
      </c>
      <c r="L145" s="43">
        <f t="shared" si="16"/>
        <v>44.219340206824583</v>
      </c>
      <c r="M145" s="43">
        <f t="shared" si="17"/>
        <v>44.219965090231298</v>
      </c>
      <c r="N145" s="43">
        <f t="shared" si="18"/>
        <v>19.351755467135398</v>
      </c>
      <c r="O145" s="43">
        <f t="shared" si="19"/>
        <v>19.38994014582455</v>
      </c>
      <c r="P145" s="43">
        <f t="shared" si="20"/>
        <v>19.428124708231298</v>
      </c>
      <c r="Q145" s="50">
        <f t="shared" si="21"/>
        <v>-2.325648083001397E-7</v>
      </c>
      <c r="R145" s="50">
        <f t="shared" si="22"/>
        <v>7.6369473660708564E-2</v>
      </c>
      <c r="S145" s="43">
        <f t="shared" si="23"/>
        <v>-1</v>
      </c>
      <c r="T145" s="43">
        <f t="shared" si="24"/>
        <v>19.351755467135398</v>
      </c>
      <c r="U145" s="43">
        <f t="shared" si="25"/>
        <v>19.351755467135398</v>
      </c>
      <c r="V145" s="41">
        <f t="shared" si="26"/>
        <v>1645.6528350000001</v>
      </c>
    </row>
    <row r="146" spans="2:22" x14ac:dyDescent="0.45">
      <c r="B146" s="11">
        <v>29</v>
      </c>
      <c r="C146" s="11">
        <v>1</v>
      </c>
      <c r="D146" s="11">
        <v>29</v>
      </c>
      <c r="E146" s="41">
        <f t="shared" si="9"/>
        <v>1645.9024300000001</v>
      </c>
      <c r="F146" s="41">
        <f t="shared" si="10"/>
        <v>1646.182556</v>
      </c>
      <c r="G146" s="41">
        <f t="shared" si="11"/>
        <v>1646.0424929999999</v>
      </c>
      <c r="H146" s="43">
        <f t="shared" si="12"/>
        <v>24.791840382</v>
      </c>
      <c r="I146" s="43">
        <f t="shared" si="13"/>
        <v>24.744237794500037</v>
      </c>
      <c r="J146" s="43">
        <f t="shared" si="14"/>
        <v>24.696635207</v>
      </c>
      <c r="K146" s="43">
        <f t="shared" si="15"/>
        <v>44.219965090231298</v>
      </c>
      <c r="L146" s="43">
        <f t="shared" si="16"/>
        <v>44.220666272238979</v>
      </c>
      <c r="M146" s="43">
        <f t="shared" si="17"/>
        <v>44.221367307776475</v>
      </c>
      <c r="N146" s="43">
        <f t="shared" si="18"/>
        <v>19.428124708231298</v>
      </c>
      <c r="O146" s="43">
        <f t="shared" si="19"/>
        <v>19.476428477738942</v>
      </c>
      <c r="P146" s="43">
        <f t="shared" si="20"/>
        <v>19.524732100776475</v>
      </c>
      <c r="Q146" s="50">
        <f t="shared" si="21"/>
        <v>-2.9294022141357345E-7</v>
      </c>
      <c r="R146" s="50">
        <f t="shared" si="22"/>
        <v>9.6607685485398775E-2</v>
      </c>
      <c r="S146" s="43">
        <f t="shared" si="23"/>
        <v>-1</v>
      </c>
      <c r="T146" s="43">
        <f t="shared" si="24"/>
        <v>19.428124708231298</v>
      </c>
      <c r="U146" s="43">
        <f t="shared" si="25"/>
        <v>19.428124708231298</v>
      </c>
      <c r="V146" s="41">
        <f t="shared" si="26"/>
        <v>1645.9024300000001</v>
      </c>
    </row>
    <row r="147" spans="2:22" x14ac:dyDescent="0.45">
      <c r="B147" s="11">
        <v>30</v>
      </c>
      <c r="C147" s="11">
        <v>1</v>
      </c>
      <c r="D147" s="11">
        <v>30</v>
      </c>
      <c r="E147" s="41">
        <f t="shared" si="9"/>
        <v>1646.182556</v>
      </c>
      <c r="F147" s="41">
        <f t="shared" si="10"/>
        <v>1647.1871980000001</v>
      </c>
      <c r="G147" s="41">
        <f t="shared" si="11"/>
        <v>1646.6848770000001</v>
      </c>
      <c r="H147" s="43">
        <f t="shared" si="12"/>
        <v>24.696635207</v>
      </c>
      <c r="I147" s="43">
        <f t="shared" si="13"/>
        <v>24.729030394500008</v>
      </c>
      <c r="J147" s="43">
        <f t="shared" si="14"/>
        <v>24.761425582000001</v>
      </c>
      <c r="K147" s="43">
        <f t="shared" si="15"/>
        <v>44.221367307776475</v>
      </c>
      <c r="L147" s="43">
        <f t="shared" si="16"/>
        <v>44.223880292291668</v>
      </c>
      <c r="M147" s="43">
        <f t="shared" si="17"/>
        <v>44.226391392875435</v>
      </c>
      <c r="N147" s="43">
        <f t="shared" si="18"/>
        <v>19.524732100776475</v>
      </c>
      <c r="O147" s="43">
        <f t="shared" si="19"/>
        <v>19.49484989779166</v>
      </c>
      <c r="P147" s="43">
        <f t="shared" si="20"/>
        <v>19.464965810875434</v>
      </c>
      <c r="Q147" s="50">
        <f t="shared" si="21"/>
        <v>-3.7678628217463483E-6</v>
      </c>
      <c r="R147" s="50">
        <f t="shared" si="22"/>
        <v>-5.9762522038219856E-2</v>
      </c>
      <c r="S147" s="43">
        <f t="shared" si="23"/>
        <v>-1</v>
      </c>
      <c r="T147" s="43">
        <f t="shared" si="24"/>
        <v>19.524732100776475</v>
      </c>
      <c r="U147" s="43">
        <f t="shared" si="25"/>
        <v>19.464965810875434</v>
      </c>
      <c r="V147" s="41">
        <f t="shared" si="26"/>
        <v>1647.1871980000001</v>
      </c>
    </row>
    <row r="148" spans="2:22" x14ac:dyDescent="0.45">
      <c r="B148" s="11">
        <v>31</v>
      </c>
      <c r="C148" s="11">
        <v>1</v>
      </c>
      <c r="D148" s="11">
        <v>31</v>
      </c>
      <c r="E148" s="41">
        <f t="shared" si="9"/>
        <v>1647.1871980000001</v>
      </c>
      <c r="F148" s="41">
        <f t="shared" si="10"/>
        <v>1648.6920520000001</v>
      </c>
      <c r="G148" s="41">
        <f t="shared" si="11"/>
        <v>1647.939625</v>
      </c>
      <c r="H148" s="43">
        <f t="shared" si="12"/>
        <v>24.761425582000001</v>
      </c>
      <c r="I148" s="43">
        <f t="shared" si="13"/>
        <v>24.819127195499991</v>
      </c>
      <c r="J148" s="43">
        <f t="shared" si="14"/>
        <v>24.876828808999999</v>
      </c>
      <c r="K148" s="43">
        <f t="shared" si="15"/>
        <v>44.226391392875435</v>
      </c>
      <c r="L148" s="43">
        <f t="shared" si="16"/>
        <v>44.230149247844089</v>
      </c>
      <c r="M148" s="43">
        <f t="shared" si="17"/>
        <v>44.233902875823276</v>
      </c>
      <c r="N148" s="43">
        <f t="shared" si="18"/>
        <v>19.464965810875434</v>
      </c>
      <c r="O148" s="43">
        <f t="shared" si="19"/>
        <v>19.411022052344098</v>
      </c>
      <c r="P148" s="43">
        <f t="shared" si="20"/>
        <v>19.357074066823277</v>
      </c>
      <c r="Q148" s="50">
        <f t="shared" si="21"/>
        <v>-8.4539789710902369E-6</v>
      </c>
      <c r="R148" s="50">
        <f t="shared" si="22"/>
        <v>-0.10788329007318609</v>
      </c>
      <c r="S148" s="43">
        <f t="shared" si="23"/>
        <v>-1</v>
      </c>
      <c r="T148" s="43">
        <f t="shared" si="24"/>
        <v>19.464965810875434</v>
      </c>
      <c r="U148" s="43">
        <f t="shared" si="25"/>
        <v>19.357074066823277</v>
      </c>
      <c r="V148" s="41">
        <f t="shared" si="26"/>
        <v>1648.6920520000001</v>
      </c>
    </row>
    <row r="149" spans="2:22" x14ac:dyDescent="0.45">
      <c r="B149" s="11">
        <v>32</v>
      </c>
      <c r="C149" s="11">
        <v>1</v>
      </c>
      <c r="D149" s="11">
        <v>32</v>
      </c>
      <c r="E149" s="41">
        <f t="shared" si="9"/>
        <v>1648.6920520000001</v>
      </c>
      <c r="F149" s="41">
        <f t="shared" si="10"/>
        <v>1651.9986719999999</v>
      </c>
      <c r="G149" s="41">
        <f t="shared" si="11"/>
        <v>1650.345362</v>
      </c>
      <c r="H149" s="43">
        <f t="shared" si="12"/>
        <v>24.876828808999999</v>
      </c>
      <c r="I149" s="43">
        <f t="shared" si="13"/>
        <v>24.986220307</v>
      </c>
      <c r="J149" s="43">
        <f t="shared" si="14"/>
        <v>25.095611805000001</v>
      </c>
      <c r="K149" s="43">
        <f t="shared" si="15"/>
        <v>44.233902875823276</v>
      </c>
      <c r="L149" s="43">
        <f t="shared" si="16"/>
        <v>44.242135885085865</v>
      </c>
      <c r="M149" s="43">
        <f t="shared" si="17"/>
        <v>44.250348485852093</v>
      </c>
      <c r="N149" s="43">
        <f t="shared" si="18"/>
        <v>19.357074066823277</v>
      </c>
      <c r="O149" s="43">
        <f t="shared" si="19"/>
        <v>19.255915578085865</v>
      </c>
      <c r="P149" s="43">
        <f t="shared" si="20"/>
        <v>19.154736680852093</v>
      </c>
      <c r="Q149" s="50">
        <f t="shared" si="21"/>
        <v>-4.08169927226254E-5</v>
      </c>
      <c r="R149" s="50">
        <f t="shared" si="22"/>
        <v>-0.20229656897846127</v>
      </c>
      <c r="S149" s="43">
        <f t="shared" si="23"/>
        <v>-1</v>
      </c>
      <c r="T149" s="43">
        <f t="shared" si="24"/>
        <v>19.357074066823277</v>
      </c>
      <c r="U149" s="43">
        <f t="shared" si="25"/>
        <v>19.154736680852093</v>
      </c>
      <c r="V149" s="41">
        <f t="shared" si="26"/>
        <v>1651.9986719999999</v>
      </c>
    </row>
    <row r="150" spans="2:22" x14ac:dyDescent="0.45">
      <c r="B150" s="11">
        <v>33</v>
      </c>
      <c r="C150" s="11">
        <v>1</v>
      </c>
      <c r="D150" s="11">
        <v>33</v>
      </c>
      <c r="E150" s="41">
        <f t="shared" ref="E150:E181" si="27">MAX(E48,Sp1_Bm0)</f>
        <v>1651.9986719999999</v>
      </c>
      <c r="F150" s="41">
        <f t="shared" ref="F150:F181" si="28">MIN(F48,Sp1_Bm1)</f>
        <v>1654.23623</v>
      </c>
      <c r="G150" s="41">
        <f t="shared" ref="G150:G181" si="29">(E150+F150)/2</f>
        <v>1653.1174510000001</v>
      </c>
      <c r="H150" s="43">
        <f t="shared" ref="H150:H181" si="30">$G48+$H48*(E150-$E48)+$I48*(E150-$E48)^2</f>
        <v>25.095611805000001</v>
      </c>
      <c r="I150" s="43">
        <f t="shared" ref="I150:I181" si="31">$G48+$H48*(G150-$E48)+$I48*(G150-$E48)^2</f>
        <v>25.174375777000009</v>
      </c>
      <c r="J150" s="43">
        <f t="shared" ref="J150:J181" si="32">$G48+$H48*(F150-$E48)+$I48*(F150-$E48)^2</f>
        <v>25.253139748999999</v>
      </c>
      <c r="K150" s="43">
        <f t="shared" ref="K150:K170" si="33">(Sp1_ZA+(Sp1_ZB-Sp1_ZA)*((E150-Sp1_BrgA)/Sp1_Lb)-Sup_Drop+Sp1_C/3*((E150-Sp1_BrgA)/Sp1_Lb)*(1-((E150-Sp1_BrgA)/Sp1_Lb))+(MIN(Bm1_Raise,Bm2_Raise))/12)</f>
        <v>44.250348485852093</v>
      </c>
      <c r="L150" s="43">
        <f t="shared" ref="L150:L170" si="34">(Sp1_ZA+(Sp1_ZB-Sp1_ZA)*((G150-Sp1_BrgA)/Sp1_Lb)-Sup_Drop+Sp1_C/3*((G150-Sp1_BrgA)/Sp1_Lb)*(1-((G150-Sp1_BrgA)/Sp1_Lb))+(MIN(Bm1_Raise,Bm2_Raise))/12)</f>
        <v>44.255894296180713</v>
      </c>
      <c r="M150" s="43">
        <f t="shared" ref="M150:M170" si="35">(Sp1_ZA+(Sp1_ZB-Sp1_ZA)*((F150-Sp1_BrgA)/Sp1_Lb)-Sup_Drop+Sp1_C/3*((F150-Sp1_BrgA)/Sp1_Lb)*(1-((F150-Sp1_BrgA)/Sp1_Lb))+(MIN(Bm1_Raise,Bm2_Raise))/12)</f>
        <v>44.261430761256946</v>
      </c>
      <c r="N150" s="43">
        <f t="shared" ref="N150:N181" si="36">K150-H150</f>
        <v>19.154736680852093</v>
      </c>
      <c r="O150" s="43">
        <f t="shared" ref="O150:O181" si="37">L150-I150</f>
        <v>19.081518519180705</v>
      </c>
      <c r="P150" s="43">
        <f t="shared" ref="P150:P181" si="38">M150-J150</f>
        <v>19.008291012256947</v>
      </c>
      <c r="Q150" s="50">
        <f t="shared" ref="Q150:Q181" si="39">2*(P150-2*O150+N150)</f>
        <v>-1.8690504738572145E-5</v>
      </c>
      <c r="R150" s="50">
        <f t="shared" ref="R150:R181" si="40">P150-N150-Q150</f>
        <v>-0.14642697809040683</v>
      </c>
      <c r="S150" s="43">
        <f t="shared" ref="S150:S181" si="41">IF(Q150&gt;0.000000000001,-R150/(2*Q150),-1)</f>
        <v>-1</v>
      </c>
      <c r="T150" s="43">
        <f t="shared" ref="T150:T181" si="42">IF(AND(S150&gt;0,S150&lt;1),N150+R150*S150+Q150*S150^2,N150)</f>
        <v>19.154736680852093</v>
      </c>
      <c r="U150" s="43">
        <f t="shared" ref="U150:U181" si="43">IF(F150&gt;E150,MIN(N150,P150,T150),"")</f>
        <v>19.008291012256947</v>
      </c>
      <c r="V150" s="41">
        <f t="shared" ref="V150:V181" si="44">IF(U150="","",IF(U150=N150,E150,IF(U150=P150,F150,E150+(F150-E150)*S150)))</f>
        <v>1654.23623</v>
      </c>
    </row>
    <row r="151" spans="2:22" x14ac:dyDescent="0.45">
      <c r="B151" s="11">
        <v>34</v>
      </c>
      <c r="C151" s="11">
        <v>1</v>
      </c>
      <c r="D151" s="11">
        <v>34</v>
      </c>
      <c r="E151" s="41">
        <f t="shared" si="27"/>
        <v>1654.23623</v>
      </c>
      <c r="F151" s="41">
        <f t="shared" si="28"/>
        <v>1655.0768310000001</v>
      </c>
      <c r="G151" s="41">
        <f t="shared" si="29"/>
        <v>1654.6565304999999</v>
      </c>
      <c r="H151" s="43">
        <f t="shared" si="30"/>
        <v>25.253139748999999</v>
      </c>
      <c r="I151" s="43">
        <f t="shared" si="31"/>
        <v>25.268235297999993</v>
      </c>
      <c r="J151" s="43">
        <f t="shared" si="32"/>
        <v>25.283330846999998</v>
      </c>
      <c r="K151" s="43">
        <f t="shared" si="33"/>
        <v>44.261430761256946</v>
      </c>
      <c r="L151" s="43">
        <f t="shared" si="34"/>
        <v>44.263508273738161</v>
      </c>
      <c r="M151" s="43">
        <f t="shared" si="35"/>
        <v>44.26558446728788</v>
      </c>
      <c r="N151" s="43">
        <f t="shared" si="36"/>
        <v>19.008291012256947</v>
      </c>
      <c r="O151" s="43">
        <f t="shared" si="37"/>
        <v>18.995272975738168</v>
      </c>
      <c r="P151" s="43">
        <f t="shared" si="38"/>
        <v>18.982253620287882</v>
      </c>
      <c r="Q151" s="50">
        <f t="shared" si="39"/>
        <v>-2.6378630124668234E-6</v>
      </c>
      <c r="R151" s="50">
        <f t="shared" si="40"/>
        <v>-2.6034754106053271E-2</v>
      </c>
      <c r="S151" s="43">
        <f t="shared" si="41"/>
        <v>-1</v>
      </c>
      <c r="T151" s="43">
        <f t="shared" si="42"/>
        <v>19.008291012256947</v>
      </c>
      <c r="U151" s="43">
        <f t="shared" si="43"/>
        <v>18.982253620287882</v>
      </c>
      <c r="V151" s="41">
        <f t="shared" si="44"/>
        <v>1655.0768310000001</v>
      </c>
    </row>
    <row r="152" spans="2:22" x14ac:dyDescent="0.45">
      <c r="B152" s="11">
        <v>35</v>
      </c>
      <c r="C152" s="11">
        <v>1</v>
      </c>
      <c r="D152" s="11">
        <v>35</v>
      </c>
      <c r="E152" s="41">
        <f t="shared" si="27"/>
        <v>1655.0768310000001</v>
      </c>
      <c r="F152" s="41">
        <f t="shared" si="28"/>
        <v>1656.2511850000001</v>
      </c>
      <c r="G152" s="41">
        <f t="shared" si="29"/>
        <v>1655.6640080000002</v>
      </c>
      <c r="H152" s="43">
        <f t="shared" si="30"/>
        <v>25.283330846999998</v>
      </c>
      <c r="I152" s="43">
        <f t="shared" si="31"/>
        <v>25.310976832500007</v>
      </c>
      <c r="J152" s="43">
        <f t="shared" si="32"/>
        <v>25.338622818000001</v>
      </c>
      <c r="K152" s="43">
        <f t="shared" si="33"/>
        <v>44.26558446728788</v>
      </c>
      <c r="L152" s="43">
        <f t="shared" si="34"/>
        <v>44.268482786253209</v>
      </c>
      <c r="M152" s="43">
        <f t="shared" si="35"/>
        <v>44.27137853102915</v>
      </c>
      <c r="N152" s="43">
        <f t="shared" si="36"/>
        <v>18.982253620287882</v>
      </c>
      <c r="O152" s="43">
        <f t="shared" si="37"/>
        <v>18.957505953753202</v>
      </c>
      <c r="P152" s="43">
        <f t="shared" si="38"/>
        <v>18.932755713029149</v>
      </c>
      <c r="Q152" s="50">
        <f t="shared" si="39"/>
        <v>-5.148378747321658E-6</v>
      </c>
      <c r="R152" s="50">
        <f t="shared" si="40"/>
        <v>-4.9492758879985388E-2</v>
      </c>
      <c r="S152" s="43">
        <f t="shared" si="41"/>
        <v>-1</v>
      </c>
      <c r="T152" s="43">
        <f t="shared" si="42"/>
        <v>18.982253620287882</v>
      </c>
      <c r="U152" s="43">
        <f t="shared" si="43"/>
        <v>18.932755713029149</v>
      </c>
      <c r="V152" s="41">
        <f t="shared" si="44"/>
        <v>1656.2511850000001</v>
      </c>
    </row>
    <row r="153" spans="2:22" x14ac:dyDescent="0.45">
      <c r="B153" s="11">
        <v>36</v>
      </c>
      <c r="C153" s="11">
        <v>1</v>
      </c>
      <c r="D153" s="11">
        <v>36</v>
      </c>
      <c r="E153" s="41">
        <f t="shared" si="27"/>
        <v>1656.2511850000001</v>
      </c>
      <c r="F153" s="41">
        <f t="shared" si="28"/>
        <v>1656.421452</v>
      </c>
      <c r="G153" s="41">
        <f t="shared" si="29"/>
        <v>1656.3363185000001</v>
      </c>
      <c r="H153" s="43">
        <f t="shared" si="30"/>
        <v>25.338622818000001</v>
      </c>
      <c r="I153" s="43">
        <f t="shared" si="31"/>
        <v>25.336364598500001</v>
      </c>
      <c r="J153" s="43">
        <f t="shared" si="32"/>
        <v>25.334106379000001</v>
      </c>
      <c r="K153" s="43">
        <f t="shared" si="33"/>
        <v>44.27137853102915</v>
      </c>
      <c r="L153" s="43">
        <f t="shared" si="34"/>
        <v>44.27179816501684</v>
      </c>
      <c r="M153" s="43">
        <f t="shared" si="35"/>
        <v>44.2722177448913</v>
      </c>
      <c r="N153" s="43">
        <f t="shared" si="36"/>
        <v>18.932755713029149</v>
      </c>
      <c r="O153" s="43">
        <f t="shared" si="37"/>
        <v>18.935433566516839</v>
      </c>
      <c r="P153" s="43">
        <f t="shared" si="38"/>
        <v>18.938111365891299</v>
      </c>
      <c r="Q153" s="50">
        <f t="shared" si="39"/>
        <v>-1.0822645890584681E-7</v>
      </c>
      <c r="R153" s="50">
        <f t="shared" si="40"/>
        <v>5.3557610886088014E-3</v>
      </c>
      <c r="S153" s="43">
        <f t="shared" si="41"/>
        <v>-1</v>
      </c>
      <c r="T153" s="43">
        <f t="shared" si="42"/>
        <v>18.932755713029149</v>
      </c>
      <c r="U153" s="43">
        <f t="shared" si="43"/>
        <v>18.932755713029149</v>
      </c>
      <c r="V153" s="41">
        <f t="shared" si="44"/>
        <v>1656.2511850000001</v>
      </c>
    </row>
    <row r="154" spans="2:22" x14ac:dyDescent="0.45">
      <c r="B154" s="11">
        <v>37</v>
      </c>
      <c r="C154" s="11">
        <v>1</v>
      </c>
      <c r="D154" s="11">
        <v>37</v>
      </c>
      <c r="E154" s="41">
        <f t="shared" si="27"/>
        <v>1656.421452</v>
      </c>
      <c r="F154" s="41">
        <f t="shared" si="28"/>
        <v>1656.565145</v>
      </c>
      <c r="G154" s="41">
        <f t="shared" si="29"/>
        <v>1656.4932985</v>
      </c>
      <c r="H154" s="43">
        <f t="shared" si="30"/>
        <v>25.334106379000001</v>
      </c>
      <c r="I154" s="43">
        <f t="shared" si="31"/>
        <v>25.340196630500003</v>
      </c>
      <c r="J154" s="43">
        <f t="shared" si="32"/>
        <v>25.346286882000001</v>
      </c>
      <c r="K154" s="43">
        <f t="shared" si="33"/>
        <v>44.2722177448913</v>
      </c>
      <c r="L154" s="43">
        <f t="shared" si="34"/>
        <v>44.272571797772919</v>
      </c>
      <c r="M154" s="43">
        <f t="shared" si="35"/>
        <v>44.27292581211438</v>
      </c>
      <c r="N154" s="43">
        <f t="shared" si="36"/>
        <v>18.938111365891299</v>
      </c>
      <c r="O154" s="43">
        <f t="shared" si="37"/>
        <v>18.932375167272916</v>
      </c>
      <c r="P154" s="43">
        <f t="shared" si="38"/>
        <v>18.926638930114379</v>
      </c>
      <c r="Q154" s="50">
        <f t="shared" si="39"/>
        <v>-7.7080308358290495E-8</v>
      </c>
      <c r="R154" s="50">
        <f t="shared" si="40"/>
        <v>-1.1472358696611451E-2</v>
      </c>
      <c r="S154" s="43">
        <f t="shared" si="41"/>
        <v>-1</v>
      </c>
      <c r="T154" s="43">
        <f t="shared" si="42"/>
        <v>18.938111365891299</v>
      </c>
      <c r="U154" s="43">
        <f t="shared" si="43"/>
        <v>18.926638930114379</v>
      </c>
      <c r="V154" s="41">
        <f t="shared" si="44"/>
        <v>1656.565145</v>
      </c>
    </row>
    <row r="155" spans="2:22" x14ac:dyDescent="0.45">
      <c r="B155" s="11">
        <v>38</v>
      </c>
      <c r="C155" s="11">
        <v>1</v>
      </c>
      <c r="D155" s="11">
        <v>38</v>
      </c>
      <c r="E155" s="41">
        <f t="shared" si="27"/>
        <v>1656.565145</v>
      </c>
      <c r="F155" s="41">
        <f t="shared" si="28"/>
        <v>1662.215653</v>
      </c>
      <c r="G155" s="41">
        <f t="shared" si="29"/>
        <v>1659.3903989999999</v>
      </c>
      <c r="H155" s="43">
        <f t="shared" si="30"/>
        <v>25.346286882000001</v>
      </c>
      <c r="I155" s="43">
        <f t="shared" si="31"/>
        <v>25.402658893499996</v>
      </c>
      <c r="J155" s="43">
        <f t="shared" si="32"/>
        <v>25.459030904999999</v>
      </c>
      <c r="K155" s="43">
        <f t="shared" si="33"/>
        <v>44.27292581211438</v>
      </c>
      <c r="L155" s="43">
        <f t="shared" si="34"/>
        <v>44.286816330202598</v>
      </c>
      <c r="M155" s="43">
        <f t="shared" si="35"/>
        <v>44.30064725224841</v>
      </c>
      <c r="N155" s="43">
        <f t="shared" si="36"/>
        <v>18.926638930114379</v>
      </c>
      <c r="O155" s="43">
        <f t="shared" si="37"/>
        <v>18.884157436702601</v>
      </c>
      <c r="P155" s="43">
        <f t="shared" si="38"/>
        <v>18.841616347248412</v>
      </c>
      <c r="Q155" s="50">
        <f t="shared" si="39"/>
        <v>-1.1919208482424892E-4</v>
      </c>
      <c r="R155" s="50">
        <f t="shared" si="40"/>
        <v>-8.4903390781143173E-2</v>
      </c>
      <c r="S155" s="43">
        <f t="shared" si="41"/>
        <v>-1</v>
      </c>
      <c r="T155" s="43">
        <f t="shared" si="42"/>
        <v>18.926638930114379</v>
      </c>
      <c r="U155" s="43">
        <f t="shared" si="43"/>
        <v>18.841616347248412</v>
      </c>
      <c r="V155" s="41">
        <f t="shared" si="44"/>
        <v>1662.215653</v>
      </c>
    </row>
    <row r="156" spans="2:22" x14ac:dyDescent="0.45">
      <c r="B156" s="11">
        <v>39</v>
      </c>
      <c r="C156" s="11">
        <v>1</v>
      </c>
      <c r="D156" s="11">
        <v>39</v>
      </c>
      <c r="E156" s="41">
        <f t="shared" si="27"/>
        <v>1662.215653</v>
      </c>
      <c r="F156" s="41">
        <f t="shared" si="28"/>
        <v>1664.04944</v>
      </c>
      <c r="G156" s="41">
        <f t="shared" si="29"/>
        <v>1663.1325465</v>
      </c>
      <c r="H156" s="43">
        <f t="shared" si="30"/>
        <v>25.459030904999999</v>
      </c>
      <c r="I156" s="43">
        <f t="shared" si="31"/>
        <v>25.4792673585</v>
      </c>
      <c r="J156" s="43">
        <f t="shared" si="32"/>
        <v>25.499503812</v>
      </c>
      <c r="K156" s="43">
        <f t="shared" si="33"/>
        <v>44.30064725224841</v>
      </c>
      <c r="L156" s="43">
        <f t="shared" si="34"/>
        <v>44.305123060120728</v>
      </c>
      <c r="M156" s="43">
        <f t="shared" si="35"/>
        <v>44.309592591165277</v>
      </c>
      <c r="N156" s="43">
        <f t="shared" si="36"/>
        <v>18.841616347248412</v>
      </c>
      <c r="O156" s="43">
        <f t="shared" si="37"/>
        <v>18.825855701620728</v>
      </c>
      <c r="P156" s="43">
        <f t="shared" si="38"/>
        <v>18.810088779165277</v>
      </c>
      <c r="Q156" s="50">
        <f t="shared" si="39"/>
        <v>-1.2553655537317354E-5</v>
      </c>
      <c r="R156" s="50">
        <f t="shared" si="40"/>
        <v>-3.1515014427597521E-2</v>
      </c>
      <c r="S156" s="43">
        <f t="shared" si="41"/>
        <v>-1</v>
      </c>
      <c r="T156" s="43">
        <f t="shared" si="42"/>
        <v>18.841616347248412</v>
      </c>
      <c r="U156" s="43">
        <f t="shared" si="43"/>
        <v>18.810088779165277</v>
      </c>
      <c r="V156" s="41">
        <f t="shared" si="44"/>
        <v>1664.04944</v>
      </c>
    </row>
    <row r="157" spans="2:22" x14ac:dyDescent="0.45">
      <c r="B157" s="11">
        <v>40</v>
      </c>
      <c r="C157" s="11">
        <v>1</v>
      </c>
      <c r="D157" s="11">
        <v>40</v>
      </c>
      <c r="E157" s="41">
        <f t="shared" si="27"/>
        <v>1664.04944</v>
      </c>
      <c r="F157" s="41">
        <f t="shared" si="28"/>
        <v>1667.768448</v>
      </c>
      <c r="G157" s="41">
        <f t="shared" si="29"/>
        <v>1665.908944</v>
      </c>
      <c r="H157" s="43">
        <f t="shared" si="30"/>
        <v>25.499503812</v>
      </c>
      <c r="I157" s="43">
        <f t="shared" si="31"/>
        <v>25.5354871505</v>
      </c>
      <c r="J157" s="43">
        <f t="shared" si="32"/>
        <v>25.571470488999999</v>
      </c>
      <c r="K157" s="43">
        <f t="shared" si="33"/>
        <v>44.309592591165277</v>
      </c>
      <c r="L157" s="43">
        <f t="shared" si="34"/>
        <v>44.318637741437406</v>
      </c>
      <c r="M157" s="43">
        <f t="shared" si="35"/>
        <v>44.327657075251516</v>
      </c>
      <c r="N157" s="43">
        <f t="shared" si="36"/>
        <v>18.810088779165277</v>
      </c>
      <c r="O157" s="43">
        <f t="shared" si="37"/>
        <v>18.783150590937407</v>
      </c>
      <c r="P157" s="43">
        <f t="shared" si="38"/>
        <v>18.756186586251516</v>
      </c>
      <c r="Q157" s="50">
        <f t="shared" si="39"/>
        <v>-5.1632916040489363E-5</v>
      </c>
      <c r="R157" s="50">
        <f t="shared" si="40"/>
        <v>-5.3850559997719927E-2</v>
      </c>
      <c r="S157" s="43">
        <f t="shared" si="41"/>
        <v>-1</v>
      </c>
      <c r="T157" s="43">
        <f t="shared" si="42"/>
        <v>18.810088779165277</v>
      </c>
      <c r="U157" s="43">
        <f t="shared" si="43"/>
        <v>18.756186586251516</v>
      </c>
      <c r="V157" s="41">
        <f t="shared" si="44"/>
        <v>1667.768448</v>
      </c>
    </row>
    <row r="158" spans="2:22" x14ac:dyDescent="0.45">
      <c r="B158" s="11">
        <v>41</v>
      </c>
      <c r="C158" s="11">
        <v>1</v>
      </c>
      <c r="D158" s="11">
        <v>41</v>
      </c>
      <c r="E158" s="41">
        <f t="shared" si="27"/>
        <v>1667.768448</v>
      </c>
      <c r="F158" s="41">
        <f t="shared" si="28"/>
        <v>1672.427203</v>
      </c>
      <c r="G158" s="41">
        <f t="shared" si="29"/>
        <v>1670.0978255</v>
      </c>
      <c r="H158" s="43">
        <f t="shared" si="30"/>
        <v>25.571470488999999</v>
      </c>
      <c r="I158" s="43">
        <f t="shared" si="31"/>
        <v>25.583053581000001</v>
      </c>
      <c r="J158" s="43">
        <f t="shared" si="32"/>
        <v>25.594636673</v>
      </c>
      <c r="K158" s="43">
        <f t="shared" si="33"/>
        <v>44.327657075251516</v>
      </c>
      <c r="L158" s="43">
        <f t="shared" si="34"/>
        <v>44.338919056473998</v>
      </c>
      <c r="M158" s="43">
        <f t="shared" si="35"/>
        <v>44.350140525837141</v>
      </c>
      <c r="N158" s="43">
        <f t="shared" si="36"/>
        <v>18.756186586251516</v>
      </c>
      <c r="O158" s="43">
        <f t="shared" si="37"/>
        <v>18.755865475473996</v>
      </c>
      <c r="P158" s="43">
        <f t="shared" si="38"/>
        <v>18.75550385283714</v>
      </c>
      <c r="Q158" s="50">
        <f t="shared" si="39"/>
        <v>-8.1023718671247025E-5</v>
      </c>
      <c r="R158" s="50">
        <f t="shared" si="40"/>
        <v>-6.0170969570449984E-4</v>
      </c>
      <c r="S158" s="43">
        <f t="shared" si="41"/>
        <v>-1</v>
      </c>
      <c r="T158" s="43">
        <f t="shared" si="42"/>
        <v>18.756186586251516</v>
      </c>
      <c r="U158" s="43">
        <f t="shared" si="43"/>
        <v>18.75550385283714</v>
      </c>
      <c r="V158" s="41">
        <f t="shared" si="44"/>
        <v>1672.427203</v>
      </c>
    </row>
    <row r="159" spans="2:22" x14ac:dyDescent="0.45">
      <c r="B159" s="11">
        <v>42</v>
      </c>
      <c r="C159" s="11">
        <v>1</v>
      </c>
      <c r="D159" s="11">
        <v>42</v>
      </c>
      <c r="E159" s="41">
        <f t="shared" si="27"/>
        <v>1672.427203</v>
      </c>
      <c r="F159" s="41">
        <f t="shared" si="28"/>
        <v>1679.7638529999999</v>
      </c>
      <c r="G159" s="41">
        <f t="shared" si="29"/>
        <v>1676.0955279999998</v>
      </c>
      <c r="H159" s="43">
        <f t="shared" si="30"/>
        <v>25.594636673</v>
      </c>
      <c r="I159" s="43">
        <f t="shared" si="31"/>
        <v>25.632322006999999</v>
      </c>
      <c r="J159" s="43">
        <f t="shared" si="32"/>
        <v>25.670007341000002</v>
      </c>
      <c r="K159" s="43">
        <f t="shared" si="33"/>
        <v>44.350140525837141</v>
      </c>
      <c r="L159" s="43">
        <f t="shared" si="34"/>
        <v>44.36773006405059</v>
      </c>
      <c r="M159" s="43">
        <f t="shared" si="35"/>
        <v>44.38521913188638</v>
      </c>
      <c r="N159" s="43">
        <f t="shared" si="36"/>
        <v>18.75550385283714</v>
      </c>
      <c r="O159" s="43">
        <f t="shared" si="37"/>
        <v>18.735408057050591</v>
      </c>
      <c r="P159" s="43">
        <f t="shared" si="38"/>
        <v>18.715211790886379</v>
      </c>
      <c r="Q159" s="50">
        <f t="shared" si="39"/>
        <v>-2.0094075532739453E-4</v>
      </c>
      <c r="R159" s="50">
        <f t="shared" si="40"/>
        <v>-4.0091121195434454E-2</v>
      </c>
      <c r="S159" s="43">
        <f t="shared" si="41"/>
        <v>-1</v>
      </c>
      <c r="T159" s="43">
        <f t="shared" si="42"/>
        <v>18.75550385283714</v>
      </c>
      <c r="U159" s="43">
        <f t="shared" si="43"/>
        <v>18.715211790886379</v>
      </c>
      <c r="V159" s="41">
        <f t="shared" si="44"/>
        <v>1679.7638529999999</v>
      </c>
    </row>
    <row r="160" spans="2:22" x14ac:dyDescent="0.45">
      <c r="B160" s="11">
        <v>43</v>
      </c>
      <c r="C160" s="11">
        <v>1</v>
      </c>
      <c r="D160" s="11">
        <v>43</v>
      </c>
      <c r="E160" s="41">
        <f t="shared" si="27"/>
        <v>1679.7638529999999</v>
      </c>
      <c r="F160" s="41">
        <f t="shared" si="28"/>
        <v>1687.188568</v>
      </c>
      <c r="G160" s="41">
        <f t="shared" si="29"/>
        <v>1683.4762105</v>
      </c>
      <c r="H160" s="43">
        <f t="shared" si="30"/>
        <v>25.670007341000002</v>
      </c>
      <c r="I160" s="43">
        <f t="shared" si="31"/>
        <v>25.767838051999998</v>
      </c>
      <c r="J160" s="43">
        <f t="shared" si="32"/>
        <v>25.865668762999999</v>
      </c>
      <c r="K160" s="43">
        <f t="shared" si="33"/>
        <v>44.38521913188638</v>
      </c>
      <c r="L160" s="43">
        <f t="shared" si="34"/>
        <v>44.402815842007705</v>
      </c>
      <c r="M160" s="43">
        <f t="shared" si="35"/>
        <v>44.420309655296094</v>
      </c>
      <c r="N160" s="43">
        <f t="shared" si="36"/>
        <v>18.715211790886379</v>
      </c>
      <c r="O160" s="43">
        <f t="shared" si="37"/>
        <v>18.634977790007706</v>
      </c>
      <c r="P160" s="43">
        <f t="shared" si="38"/>
        <v>18.554640892296096</v>
      </c>
      <c r="Q160" s="50">
        <f t="shared" si="39"/>
        <v>-2.057936658772519E-4</v>
      </c>
      <c r="R160" s="50">
        <f t="shared" si="40"/>
        <v>-0.1603651049244057</v>
      </c>
      <c r="S160" s="43">
        <f t="shared" si="41"/>
        <v>-1</v>
      </c>
      <c r="T160" s="43">
        <f t="shared" si="42"/>
        <v>18.715211790886379</v>
      </c>
      <c r="U160" s="43">
        <f t="shared" si="43"/>
        <v>18.554640892296096</v>
      </c>
      <c r="V160" s="41">
        <f t="shared" si="44"/>
        <v>1687.188568</v>
      </c>
    </row>
    <row r="161" spans="2:22" x14ac:dyDescent="0.45">
      <c r="B161" s="11">
        <v>44</v>
      </c>
      <c r="C161" s="11">
        <v>1</v>
      </c>
      <c r="D161" s="11">
        <v>44</v>
      </c>
      <c r="E161" s="41">
        <f t="shared" si="27"/>
        <v>1687.188568</v>
      </c>
      <c r="F161" s="41">
        <f t="shared" si="28"/>
        <v>1691.760158</v>
      </c>
      <c r="G161" s="41">
        <f t="shared" si="29"/>
        <v>1689.474363</v>
      </c>
      <c r="H161" s="43">
        <f t="shared" si="30"/>
        <v>25.865668762999999</v>
      </c>
      <c r="I161" s="43">
        <f t="shared" si="31"/>
        <v>25.885148130499999</v>
      </c>
      <c r="J161" s="43">
        <f t="shared" si="32"/>
        <v>25.904627498</v>
      </c>
      <c r="K161" s="43">
        <f t="shared" si="33"/>
        <v>44.420309655296094</v>
      </c>
      <c r="L161" s="43">
        <f t="shared" si="34"/>
        <v>44.431029867643005</v>
      </c>
      <c r="M161" s="43">
        <f t="shared" si="35"/>
        <v>44.44171106989738</v>
      </c>
      <c r="N161" s="43">
        <f t="shared" si="36"/>
        <v>18.554640892296096</v>
      </c>
      <c r="O161" s="43">
        <f t="shared" si="37"/>
        <v>18.545881737143006</v>
      </c>
      <c r="P161" s="43">
        <f t="shared" si="38"/>
        <v>18.53708357189738</v>
      </c>
      <c r="Q161" s="50">
        <f t="shared" si="39"/>
        <v>-7.8020185071636661E-5</v>
      </c>
      <c r="R161" s="50">
        <f t="shared" si="40"/>
        <v>-1.7479300213643967E-2</v>
      </c>
      <c r="S161" s="43">
        <f t="shared" si="41"/>
        <v>-1</v>
      </c>
      <c r="T161" s="43">
        <f t="shared" si="42"/>
        <v>18.554640892296096</v>
      </c>
      <c r="U161" s="43">
        <f t="shared" si="43"/>
        <v>18.53708357189738</v>
      </c>
      <c r="V161" s="41">
        <f t="shared" si="44"/>
        <v>1691.760158</v>
      </c>
    </row>
    <row r="162" spans="2:22" x14ac:dyDescent="0.45">
      <c r="B162" s="11">
        <v>45</v>
      </c>
      <c r="C162" s="11">
        <v>1</v>
      </c>
      <c r="D162" s="11">
        <v>45</v>
      </c>
      <c r="E162" s="41">
        <f t="shared" si="27"/>
        <v>1691.760158</v>
      </c>
      <c r="F162" s="41">
        <f t="shared" si="28"/>
        <v>1691.9467710000001</v>
      </c>
      <c r="G162" s="41">
        <f t="shared" si="29"/>
        <v>1691.8534645</v>
      </c>
      <c r="H162" s="43">
        <f t="shared" si="30"/>
        <v>25.904627498</v>
      </c>
      <c r="I162" s="43">
        <f t="shared" si="31"/>
        <v>25.907107057499996</v>
      </c>
      <c r="J162" s="43">
        <f t="shared" si="32"/>
        <v>25.909586616999999</v>
      </c>
      <c r="K162" s="43">
        <f t="shared" si="33"/>
        <v>44.44171106989738</v>
      </c>
      <c r="L162" s="43">
        <f t="shared" si="34"/>
        <v>44.442146249500105</v>
      </c>
      <c r="M162" s="43">
        <f t="shared" si="35"/>
        <v>44.442581364100903</v>
      </c>
      <c r="N162" s="43">
        <f t="shared" si="36"/>
        <v>18.53708357189738</v>
      </c>
      <c r="O162" s="43">
        <f t="shared" si="37"/>
        <v>18.535039192000109</v>
      </c>
      <c r="P162" s="43">
        <f t="shared" si="38"/>
        <v>18.532994747100904</v>
      </c>
      <c r="Q162" s="50">
        <f t="shared" si="39"/>
        <v>-1.3000386900330341E-7</v>
      </c>
      <c r="R162" s="50">
        <f t="shared" si="40"/>
        <v>-4.0886947926068729E-3</v>
      </c>
      <c r="S162" s="43">
        <f t="shared" si="41"/>
        <v>-1</v>
      </c>
      <c r="T162" s="43">
        <f t="shared" si="42"/>
        <v>18.53708357189738</v>
      </c>
      <c r="U162" s="43">
        <f t="shared" si="43"/>
        <v>18.532994747100904</v>
      </c>
      <c r="V162" s="41">
        <f t="shared" si="44"/>
        <v>1691.9467710000001</v>
      </c>
    </row>
    <row r="163" spans="2:22" x14ac:dyDescent="0.45">
      <c r="B163" s="11">
        <v>46</v>
      </c>
      <c r="C163" s="11">
        <v>1</v>
      </c>
      <c r="D163" s="11">
        <v>46</v>
      </c>
      <c r="E163" s="41">
        <f t="shared" si="27"/>
        <v>1691.9467710000001</v>
      </c>
      <c r="F163" s="41">
        <f t="shared" si="28"/>
        <v>1692.239364</v>
      </c>
      <c r="G163" s="41">
        <f t="shared" si="29"/>
        <v>1692.0930675</v>
      </c>
      <c r="H163" s="43">
        <f t="shared" si="30"/>
        <v>25.909586616999999</v>
      </c>
      <c r="I163" s="43">
        <f t="shared" si="31"/>
        <v>25.927223697499986</v>
      </c>
      <c r="J163" s="43">
        <f t="shared" si="32"/>
        <v>25.944860777999999</v>
      </c>
      <c r="K163" s="43">
        <f t="shared" si="33"/>
        <v>44.442581364100903</v>
      </c>
      <c r="L163" s="43">
        <f t="shared" si="34"/>
        <v>44.443263455202178</v>
      </c>
      <c r="M163" s="43">
        <f t="shared" si="35"/>
        <v>44.443945386505831</v>
      </c>
      <c r="N163" s="43">
        <f t="shared" si="36"/>
        <v>18.532994747100904</v>
      </c>
      <c r="O163" s="43">
        <f t="shared" si="37"/>
        <v>18.516039757702192</v>
      </c>
      <c r="P163" s="43">
        <f t="shared" si="38"/>
        <v>18.499084608505832</v>
      </c>
      <c r="Q163" s="50">
        <f t="shared" si="39"/>
        <v>-3.1959529422920241E-7</v>
      </c>
      <c r="R163" s="50">
        <f t="shared" si="40"/>
        <v>-3.3909818999777741E-2</v>
      </c>
      <c r="S163" s="43">
        <f t="shared" si="41"/>
        <v>-1</v>
      </c>
      <c r="T163" s="43">
        <f t="shared" si="42"/>
        <v>18.532994747100904</v>
      </c>
      <c r="U163" s="43">
        <f t="shared" si="43"/>
        <v>18.499084608505832</v>
      </c>
      <c r="V163" s="41">
        <f t="shared" si="44"/>
        <v>1692.239364</v>
      </c>
    </row>
    <row r="164" spans="2:22" x14ac:dyDescent="0.45">
      <c r="B164" s="11">
        <v>47</v>
      </c>
      <c r="C164" s="11">
        <v>1</v>
      </c>
      <c r="D164" s="11">
        <v>47</v>
      </c>
      <c r="E164" s="41">
        <f t="shared" si="27"/>
        <v>1692.239364</v>
      </c>
      <c r="F164" s="41">
        <f t="shared" si="28"/>
        <v>1692.6380790000001</v>
      </c>
      <c r="G164" s="41">
        <f t="shared" si="29"/>
        <v>1692.4387215000002</v>
      </c>
      <c r="H164" s="43">
        <f t="shared" si="30"/>
        <v>25.944860777999999</v>
      </c>
      <c r="I164" s="43">
        <f t="shared" si="31"/>
        <v>25.955471906500005</v>
      </c>
      <c r="J164" s="43">
        <f t="shared" si="32"/>
        <v>25.966083035</v>
      </c>
      <c r="K164" s="43">
        <f t="shared" si="33"/>
        <v>44.443945386505831</v>
      </c>
      <c r="L164" s="43">
        <f t="shared" si="34"/>
        <v>44.444874393596599</v>
      </c>
      <c r="M164" s="43">
        <f t="shared" si="35"/>
        <v>44.445803103953196</v>
      </c>
      <c r="N164" s="43">
        <f t="shared" si="36"/>
        <v>18.499084608505832</v>
      </c>
      <c r="O164" s="43">
        <f t="shared" si="37"/>
        <v>18.489402487096594</v>
      </c>
      <c r="P164" s="43">
        <f t="shared" si="38"/>
        <v>18.479720068953196</v>
      </c>
      <c r="Q164" s="50">
        <f t="shared" si="39"/>
        <v>-5.9346832159690166E-7</v>
      </c>
      <c r="R164" s="50">
        <f t="shared" si="40"/>
        <v>-1.9363946084315131E-2</v>
      </c>
      <c r="S164" s="43">
        <f t="shared" si="41"/>
        <v>-1</v>
      </c>
      <c r="T164" s="43">
        <f t="shared" si="42"/>
        <v>18.499084608505832</v>
      </c>
      <c r="U164" s="43">
        <f t="shared" si="43"/>
        <v>18.479720068953196</v>
      </c>
      <c r="V164" s="41">
        <f t="shared" si="44"/>
        <v>1692.6380790000001</v>
      </c>
    </row>
    <row r="165" spans="2:22" x14ac:dyDescent="0.45">
      <c r="B165" s="11">
        <v>48</v>
      </c>
      <c r="C165" s="11">
        <v>1</v>
      </c>
      <c r="D165" s="11">
        <v>48</v>
      </c>
      <c r="E165" s="41">
        <f t="shared" si="27"/>
        <v>1692.6380790000001</v>
      </c>
      <c r="F165" s="41">
        <f t="shared" si="28"/>
        <v>1694.165878</v>
      </c>
      <c r="G165" s="41">
        <f t="shared" si="29"/>
        <v>1693.4019785</v>
      </c>
      <c r="H165" s="43">
        <f t="shared" si="30"/>
        <v>25.966083035</v>
      </c>
      <c r="I165" s="43">
        <f t="shared" si="31"/>
        <v>25.990482734499999</v>
      </c>
      <c r="J165" s="43">
        <f t="shared" si="32"/>
        <v>26.014882434</v>
      </c>
      <c r="K165" s="43">
        <f t="shared" si="33"/>
        <v>44.445803103953196</v>
      </c>
      <c r="L165" s="43">
        <f t="shared" si="34"/>
        <v>44.449358996015775</v>
      </c>
      <c r="M165" s="43">
        <f t="shared" si="35"/>
        <v>44.45291053120561</v>
      </c>
      <c r="N165" s="43">
        <f t="shared" si="36"/>
        <v>18.479720068953196</v>
      </c>
      <c r="O165" s="43">
        <f t="shared" si="37"/>
        <v>18.458876261515776</v>
      </c>
      <c r="P165" s="43">
        <f t="shared" si="38"/>
        <v>18.43802809720561</v>
      </c>
      <c r="Q165" s="50">
        <f t="shared" si="39"/>
        <v>-8.7137454940489079E-6</v>
      </c>
      <c r="R165" s="50">
        <f t="shared" si="40"/>
        <v>-4.1683258002091605E-2</v>
      </c>
      <c r="S165" s="43">
        <f t="shared" si="41"/>
        <v>-1</v>
      </c>
      <c r="T165" s="43">
        <f t="shared" si="42"/>
        <v>18.479720068953196</v>
      </c>
      <c r="U165" s="43">
        <f t="shared" si="43"/>
        <v>18.43802809720561</v>
      </c>
      <c r="V165" s="41">
        <f t="shared" si="44"/>
        <v>1694.165878</v>
      </c>
    </row>
    <row r="166" spans="2:22" x14ac:dyDescent="0.45">
      <c r="B166" s="11">
        <v>49</v>
      </c>
      <c r="C166" s="11">
        <v>1</v>
      </c>
      <c r="D166" s="11">
        <v>49</v>
      </c>
      <c r="E166" s="41">
        <f t="shared" si="27"/>
        <v>1694.165878</v>
      </c>
      <c r="F166" s="41">
        <f t="shared" si="28"/>
        <v>1695.111298</v>
      </c>
      <c r="G166" s="41">
        <f t="shared" si="29"/>
        <v>1694.638588</v>
      </c>
      <c r="H166" s="43">
        <f t="shared" si="30"/>
        <v>26.014882434</v>
      </c>
      <c r="I166" s="43">
        <f t="shared" si="31"/>
        <v>26.001006751999999</v>
      </c>
      <c r="J166" s="43">
        <f t="shared" si="32"/>
        <v>25.98713107</v>
      </c>
      <c r="K166" s="43">
        <f t="shared" si="33"/>
        <v>44.45291053120561</v>
      </c>
      <c r="L166" s="43">
        <f t="shared" si="34"/>
        <v>44.455106080748408</v>
      </c>
      <c r="M166" s="43">
        <f t="shared" si="35"/>
        <v>44.457299961922622</v>
      </c>
      <c r="N166" s="43">
        <f t="shared" si="36"/>
        <v>18.43802809720561</v>
      </c>
      <c r="O166" s="43">
        <f t="shared" si="37"/>
        <v>18.454099328748409</v>
      </c>
      <c r="P166" s="43">
        <f t="shared" si="38"/>
        <v>18.470168891922622</v>
      </c>
      <c r="Q166" s="50">
        <f t="shared" si="39"/>
        <v>-3.3367371727877071E-6</v>
      </c>
      <c r="R166" s="50">
        <f t="shared" si="40"/>
        <v>3.2144131454185043E-2</v>
      </c>
      <c r="S166" s="43">
        <f t="shared" si="41"/>
        <v>-1</v>
      </c>
      <c r="T166" s="43">
        <f t="shared" si="42"/>
        <v>18.43802809720561</v>
      </c>
      <c r="U166" s="43">
        <f t="shared" si="43"/>
        <v>18.43802809720561</v>
      </c>
      <c r="V166" s="41">
        <f t="shared" si="44"/>
        <v>1694.165878</v>
      </c>
    </row>
    <row r="167" spans="2:22" x14ac:dyDescent="0.45">
      <c r="B167" s="11">
        <v>50</v>
      </c>
      <c r="C167" s="11">
        <v>1</v>
      </c>
      <c r="D167" s="11">
        <v>50</v>
      </c>
      <c r="E167" s="41">
        <f t="shared" si="27"/>
        <v>1695.111298</v>
      </c>
      <c r="F167" s="41">
        <f t="shared" si="28"/>
        <v>1696.4933470000001</v>
      </c>
      <c r="G167" s="41">
        <f t="shared" si="29"/>
        <v>1695.8023225000002</v>
      </c>
      <c r="H167" s="43">
        <f t="shared" si="30"/>
        <v>25.98713107</v>
      </c>
      <c r="I167" s="43">
        <f t="shared" si="31"/>
        <v>25.998314190500004</v>
      </c>
      <c r="J167" s="43">
        <f t="shared" si="32"/>
        <v>26.009497311000001</v>
      </c>
      <c r="K167" s="43">
        <f t="shared" si="33"/>
        <v>44.457299961922622</v>
      </c>
      <c r="L167" s="43">
        <f t="shared" si="34"/>
        <v>44.460504054360548</v>
      </c>
      <c r="M167" s="43">
        <f t="shared" si="35"/>
        <v>44.463704581554012</v>
      </c>
      <c r="N167" s="43">
        <f t="shared" si="36"/>
        <v>18.470168891922622</v>
      </c>
      <c r="O167" s="43">
        <f t="shared" si="37"/>
        <v>18.462189863860544</v>
      </c>
      <c r="P167" s="43">
        <f t="shared" si="38"/>
        <v>18.454207270554011</v>
      </c>
      <c r="Q167" s="50">
        <f t="shared" si="39"/>
        <v>-7.1304889104339964E-6</v>
      </c>
      <c r="R167" s="50">
        <f t="shared" si="40"/>
        <v>-1.5954490879700245E-2</v>
      </c>
      <c r="S167" s="43">
        <f t="shared" si="41"/>
        <v>-1</v>
      </c>
      <c r="T167" s="43">
        <f t="shared" si="42"/>
        <v>18.470168891922622</v>
      </c>
      <c r="U167" s="43">
        <f t="shared" si="43"/>
        <v>18.454207270554011</v>
      </c>
      <c r="V167" s="41">
        <f t="shared" si="44"/>
        <v>1696.4933470000001</v>
      </c>
    </row>
    <row r="168" spans="2:22" x14ac:dyDescent="0.45">
      <c r="B168" s="11">
        <v>51</v>
      </c>
      <c r="C168" s="11">
        <v>1</v>
      </c>
      <c r="D168" s="11">
        <v>51</v>
      </c>
      <c r="E168" s="41">
        <f t="shared" si="27"/>
        <v>1696.4933470000001</v>
      </c>
      <c r="F168" s="41">
        <f t="shared" si="28"/>
        <v>1697.49773</v>
      </c>
      <c r="G168" s="41">
        <f t="shared" si="29"/>
        <v>1696.9955385000001</v>
      </c>
      <c r="H168" s="43">
        <f t="shared" si="30"/>
        <v>26.009497311000001</v>
      </c>
      <c r="I168" s="43">
        <f t="shared" si="31"/>
        <v>26.014622677999999</v>
      </c>
      <c r="J168" s="43">
        <f t="shared" si="32"/>
        <v>26.019748045</v>
      </c>
      <c r="K168" s="43">
        <f t="shared" si="33"/>
        <v>44.463704581554012</v>
      </c>
      <c r="L168" s="43">
        <f t="shared" si="34"/>
        <v>44.466028278830343</v>
      </c>
      <c r="M168" s="43">
        <f t="shared" si="35"/>
        <v>44.468350093146483</v>
      </c>
      <c r="N168" s="43">
        <f t="shared" si="36"/>
        <v>18.454207270554011</v>
      </c>
      <c r="O168" s="43">
        <f t="shared" si="37"/>
        <v>18.451405600830345</v>
      </c>
      <c r="P168" s="43">
        <f t="shared" si="38"/>
        <v>18.448602048146483</v>
      </c>
      <c r="Q168" s="50">
        <f t="shared" si="39"/>
        <v>-3.7659203897533189E-6</v>
      </c>
      <c r="R168" s="50">
        <f t="shared" si="40"/>
        <v>-5.6014564871382788E-3</v>
      </c>
      <c r="S168" s="43">
        <f t="shared" si="41"/>
        <v>-1</v>
      </c>
      <c r="T168" s="43">
        <f t="shared" si="42"/>
        <v>18.454207270554011</v>
      </c>
      <c r="U168" s="43">
        <f t="shared" si="43"/>
        <v>18.448602048146483</v>
      </c>
      <c r="V168" s="41">
        <f t="shared" si="44"/>
        <v>1697.49773</v>
      </c>
    </row>
    <row r="169" spans="2:22" x14ac:dyDescent="0.45">
      <c r="B169" s="11">
        <v>52</v>
      </c>
      <c r="C169" s="11">
        <v>1</v>
      </c>
      <c r="D169" s="11">
        <v>52</v>
      </c>
      <c r="E169" s="41">
        <f t="shared" si="27"/>
        <v>1697.49773</v>
      </c>
      <c r="F169" s="41">
        <f t="shared" si="28"/>
        <v>1699.462329</v>
      </c>
      <c r="G169" s="41">
        <f t="shared" si="29"/>
        <v>1698.4800295</v>
      </c>
      <c r="H169" s="43">
        <f t="shared" si="30"/>
        <v>26.019748045</v>
      </c>
      <c r="I169" s="43">
        <f t="shared" si="31"/>
        <v>26.067797004999999</v>
      </c>
      <c r="J169" s="43">
        <f t="shared" si="32"/>
        <v>26.115845964999998</v>
      </c>
      <c r="K169" s="43">
        <f t="shared" si="33"/>
        <v>44.468350093146483</v>
      </c>
      <c r="L169" s="43">
        <f t="shared" si="34"/>
        <v>44.472886178013759</v>
      </c>
      <c r="M169" s="43">
        <f t="shared" si="35"/>
        <v>44.477415058606255</v>
      </c>
      <c r="N169" s="43">
        <f t="shared" si="36"/>
        <v>18.448602048146483</v>
      </c>
      <c r="O169" s="43">
        <f t="shared" si="37"/>
        <v>18.40508917301376</v>
      </c>
      <c r="P169" s="43">
        <f t="shared" si="38"/>
        <v>18.361569093606256</v>
      </c>
      <c r="Q169" s="50">
        <f t="shared" si="39"/>
        <v>-1.4408549560585016E-5</v>
      </c>
      <c r="R169" s="50">
        <f t="shared" si="40"/>
        <v>-8.7018545990666496E-2</v>
      </c>
      <c r="S169" s="43">
        <f t="shared" si="41"/>
        <v>-1</v>
      </c>
      <c r="T169" s="43">
        <f t="shared" si="42"/>
        <v>18.448602048146483</v>
      </c>
      <c r="U169" s="43">
        <f t="shared" si="43"/>
        <v>18.361569093606256</v>
      </c>
      <c r="V169" s="41">
        <f t="shared" si="44"/>
        <v>1699.462329</v>
      </c>
    </row>
    <row r="170" spans="2:22" x14ac:dyDescent="0.45">
      <c r="B170" s="11">
        <v>53</v>
      </c>
      <c r="C170" s="11">
        <v>1</v>
      </c>
      <c r="D170" s="11">
        <v>53</v>
      </c>
      <c r="E170" s="41">
        <f t="shared" si="27"/>
        <v>1699.462329</v>
      </c>
      <c r="F170" s="41">
        <f t="shared" si="28"/>
        <v>1700.4449999999999</v>
      </c>
      <c r="G170" s="41">
        <f t="shared" si="29"/>
        <v>1699.9536644999998</v>
      </c>
      <c r="H170" s="43">
        <f t="shared" si="30"/>
        <v>26.115845964999998</v>
      </c>
      <c r="I170" s="43">
        <f t="shared" si="31"/>
        <v>26.087671302762576</v>
      </c>
      <c r="J170" s="43">
        <f t="shared" si="32"/>
        <v>26.059496640525143</v>
      </c>
      <c r="K170" s="43">
        <f t="shared" si="33"/>
        <v>44.477415058606255</v>
      </c>
      <c r="L170" s="43">
        <f t="shared" si="34"/>
        <v>44.479677652335262</v>
      </c>
      <c r="M170" s="43">
        <f t="shared" si="35"/>
        <v>44.481938443633013</v>
      </c>
      <c r="N170" s="43">
        <f t="shared" si="36"/>
        <v>18.361569093606256</v>
      </c>
      <c r="O170" s="43">
        <f t="shared" si="37"/>
        <v>18.392006349572686</v>
      </c>
      <c r="P170" s="43">
        <f t="shared" si="38"/>
        <v>18.422441803107869</v>
      </c>
      <c r="Q170" s="50">
        <f t="shared" si="39"/>
        <v>-3.6048624920681505E-6</v>
      </c>
      <c r="R170" s="50">
        <f t="shared" si="40"/>
        <v>6.08763143641049E-2</v>
      </c>
      <c r="S170" s="43">
        <f t="shared" si="41"/>
        <v>-1</v>
      </c>
      <c r="T170" s="43">
        <f t="shared" si="42"/>
        <v>18.361569093606256</v>
      </c>
      <c r="U170" s="43">
        <f t="shared" si="43"/>
        <v>18.361569093606256</v>
      </c>
      <c r="V170" s="41">
        <f t="shared" si="44"/>
        <v>1699.462329</v>
      </c>
    </row>
    <row r="171" spans="2:22" x14ac:dyDescent="0.45">
      <c r="B171" s="11">
        <v>54</v>
      </c>
      <c r="C171" s="11">
        <v>2</v>
      </c>
      <c r="D171" s="11">
        <v>53</v>
      </c>
      <c r="E171" s="41">
        <f t="shared" ref="E171:E217" si="45">MAX(E68,Sp2_Bm0)</f>
        <v>1700.6949999999999</v>
      </c>
      <c r="F171" s="41">
        <f t="shared" ref="F171:F217" si="46">MIN(F68,Sp2_Bm1)</f>
        <v>1700.79458</v>
      </c>
      <c r="G171" s="41">
        <f t="shared" si="29"/>
        <v>1700.74479</v>
      </c>
      <c r="H171" s="43">
        <f t="shared" ref="H171:H217" si="47">$G68+$H68*(E171-$E68)+$I68*(E171-$E68)^2</f>
        <v>26.045160885100678</v>
      </c>
      <c r="I171" s="43">
        <f t="shared" ref="I171:I217" si="48">$G68+$H68*(G171-$E68)+$I68*(G171-$E68)^2</f>
        <v>26.042305776050338</v>
      </c>
      <c r="J171" s="43">
        <f t="shared" ref="J171:J217" si="49">$G68+$H68*(F171-$E68)+$I68*(F171-$E68)^2</f>
        <v>26.039450667000001</v>
      </c>
      <c r="K171" s="43">
        <f t="shared" ref="K171:K217" si="50">(Sp2_ZA+(Sp2_ZB-Sp2_ZA)*((E171-Sp2_BrgA)/Sp2_Lb)-Sup_Drop+Sp2_C/3*((E171-Sp2_BrgA)/Sp2_Lb)*(1-((E171-Sp2_BrgA)/Sp2_Lb))+(MIN(Bm1_Raise,Bm2_Raise))/12)</f>
        <v>44.48084924760947</v>
      </c>
      <c r="L171" s="43">
        <f t="shared" ref="L171:L217" si="51">(Sp2_ZA+(Sp2_ZB-Sp2_ZA)*((G171-Sp2_BrgA)/Sp2_Lb)-Sup_Drop+Sp2_C/3*((G171-Sp2_BrgA)/Sp2_Lb)*(1-((G171-Sp2_BrgA)/Sp2_Lb))+(MIN(Bm1_Raise,Bm2_Raise))/12)</f>
        <v>44.480692892082075</v>
      </c>
      <c r="M171" s="43">
        <f t="shared" ref="M171:M217" si="52">(Sp2_ZA+(Sp2_ZB-Sp2_ZA)*((F171-Sp2_BrgA)/Sp2_Lb)-Sup_Drop+Sp2_C/3*((F171-Sp2_BrgA)/Sp2_Lb)*(1-((F171-Sp2_BrgA)/Sp2_Lb))+(MIN(Bm1_Raise,Bm2_Raise))/12)</f>
        <v>44.480536448242184</v>
      </c>
      <c r="N171" s="43">
        <f t="shared" si="36"/>
        <v>18.435688362508792</v>
      </c>
      <c r="O171" s="43">
        <f t="shared" si="37"/>
        <v>18.438387116031738</v>
      </c>
      <c r="P171" s="43">
        <f t="shared" si="38"/>
        <v>18.441085781242183</v>
      </c>
      <c r="Q171" s="50">
        <f t="shared" si="39"/>
        <v>-1.7662500084725252E-7</v>
      </c>
      <c r="R171" s="50">
        <f t="shared" si="40"/>
        <v>5.3975953583922376E-3</v>
      </c>
      <c r="S171" s="43">
        <f t="shared" si="41"/>
        <v>-1</v>
      </c>
      <c r="T171" s="43">
        <f t="shared" si="42"/>
        <v>18.435688362508792</v>
      </c>
      <c r="U171" s="43">
        <f t="shared" si="43"/>
        <v>18.435688362508792</v>
      </c>
      <c r="V171" s="41">
        <f t="shared" si="44"/>
        <v>1700.6949999999999</v>
      </c>
    </row>
    <row r="172" spans="2:22" x14ac:dyDescent="0.45">
      <c r="B172" s="11">
        <v>55</v>
      </c>
      <c r="C172" s="11">
        <v>2</v>
      </c>
      <c r="D172" s="11">
        <v>54</v>
      </c>
      <c r="E172" s="41">
        <f t="shared" si="45"/>
        <v>1700.79458</v>
      </c>
      <c r="F172" s="41">
        <f t="shared" si="46"/>
        <v>1701.6893540000001</v>
      </c>
      <c r="G172" s="41">
        <f t="shared" si="29"/>
        <v>1701.2419669999999</v>
      </c>
      <c r="H172" s="43">
        <f t="shared" si="47"/>
        <v>26.039450667000001</v>
      </c>
      <c r="I172" s="43">
        <f t="shared" si="48"/>
        <v>26.00995095350001</v>
      </c>
      <c r="J172" s="43">
        <f t="shared" si="49"/>
        <v>25.980451240000001</v>
      </c>
      <c r="K172" s="43">
        <f t="shared" si="50"/>
        <v>44.480536448242184</v>
      </c>
      <c r="L172" s="43">
        <f t="shared" si="51"/>
        <v>44.479126763513726</v>
      </c>
      <c r="M172" s="43">
        <f t="shared" si="52"/>
        <v>44.477709948538077</v>
      </c>
      <c r="N172" s="43">
        <f t="shared" si="36"/>
        <v>18.441085781242183</v>
      </c>
      <c r="O172" s="43">
        <f t="shared" si="37"/>
        <v>18.469175810013716</v>
      </c>
      <c r="P172" s="43">
        <f t="shared" si="38"/>
        <v>18.497258708538077</v>
      </c>
      <c r="Q172" s="50">
        <f t="shared" si="39"/>
        <v>-1.4260494346274299E-5</v>
      </c>
      <c r="R172" s="50">
        <f t="shared" si="40"/>
        <v>5.618718779023979E-2</v>
      </c>
      <c r="S172" s="43">
        <f t="shared" si="41"/>
        <v>-1</v>
      </c>
      <c r="T172" s="43">
        <f t="shared" si="42"/>
        <v>18.441085781242183</v>
      </c>
      <c r="U172" s="43">
        <f t="shared" si="43"/>
        <v>18.441085781242183</v>
      </c>
      <c r="V172" s="41">
        <f t="shared" si="44"/>
        <v>1700.79458</v>
      </c>
    </row>
    <row r="173" spans="2:22" x14ac:dyDescent="0.45">
      <c r="B173" s="11">
        <v>56</v>
      </c>
      <c r="C173" s="11">
        <v>2</v>
      </c>
      <c r="D173" s="11">
        <v>55</v>
      </c>
      <c r="E173" s="41">
        <f t="shared" si="45"/>
        <v>1701.6893540000001</v>
      </c>
      <c r="F173" s="41">
        <f t="shared" si="46"/>
        <v>1702.541078</v>
      </c>
      <c r="G173" s="41">
        <f t="shared" si="29"/>
        <v>1702.1152160000001</v>
      </c>
      <c r="H173" s="43">
        <f t="shared" si="47"/>
        <v>25.980451240000001</v>
      </c>
      <c r="I173" s="43">
        <f t="shared" si="48"/>
        <v>25.975497893</v>
      </c>
      <c r="J173" s="43">
        <f t="shared" si="49"/>
        <v>25.970544545999999</v>
      </c>
      <c r="K173" s="43">
        <f t="shared" si="50"/>
        <v>44.477709948538077</v>
      </c>
      <c r="L173" s="43">
        <f t="shared" si="51"/>
        <v>44.476354676450718</v>
      </c>
      <c r="M173" s="43">
        <f t="shared" si="52"/>
        <v>44.474992943721844</v>
      </c>
      <c r="N173" s="43">
        <f t="shared" si="36"/>
        <v>18.497258708538077</v>
      </c>
      <c r="O173" s="43">
        <f t="shared" si="37"/>
        <v>18.500856783450718</v>
      </c>
      <c r="P173" s="43">
        <f t="shared" si="38"/>
        <v>18.504448397721845</v>
      </c>
      <c r="Q173" s="50">
        <f t="shared" si="39"/>
        <v>-1.2921283030209452E-5</v>
      </c>
      <c r="R173" s="50">
        <f t="shared" si="40"/>
        <v>7.2026104667983759E-3</v>
      </c>
      <c r="S173" s="43">
        <f t="shared" si="41"/>
        <v>-1</v>
      </c>
      <c r="T173" s="43">
        <f t="shared" si="42"/>
        <v>18.497258708538077</v>
      </c>
      <c r="U173" s="43">
        <f t="shared" si="43"/>
        <v>18.497258708538077</v>
      </c>
      <c r="V173" s="41">
        <f t="shared" si="44"/>
        <v>1701.6893540000001</v>
      </c>
    </row>
    <row r="174" spans="2:22" x14ac:dyDescent="0.45">
      <c r="B174" s="11">
        <v>57</v>
      </c>
      <c r="C174" s="11">
        <v>2</v>
      </c>
      <c r="D174" s="11">
        <v>56</v>
      </c>
      <c r="E174" s="41">
        <f t="shared" si="45"/>
        <v>1702.541078</v>
      </c>
      <c r="F174" s="41">
        <f t="shared" si="46"/>
        <v>1704.865</v>
      </c>
      <c r="G174" s="41">
        <f t="shared" si="29"/>
        <v>1703.703039</v>
      </c>
      <c r="H174" s="43">
        <f t="shared" si="47"/>
        <v>25.970544545999999</v>
      </c>
      <c r="I174" s="43">
        <f t="shared" si="48"/>
        <v>25.967311414000001</v>
      </c>
      <c r="J174" s="43">
        <f t="shared" si="49"/>
        <v>25.964078281999999</v>
      </c>
      <c r="K174" s="43">
        <f t="shared" si="50"/>
        <v>44.474992943721844</v>
      </c>
      <c r="L174" s="43">
        <f t="shared" si="51"/>
        <v>44.471244604488177</v>
      </c>
      <c r="M174" s="43">
        <f t="shared" si="52"/>
        <v>44.46744816792441</v>
      </c>
      <c r="N174" s="43">
        <f t="shared" si="36"/>
        <v>18.504448397721845</v>
      </c>
      <c r="O174" s="43">
        <f t="shared" si="37"/>
        <v>18.503933190488176</v>
      </c>
      <c r="P174" s="43">
        <f t="shared" si="38"/>
        <v>18.50336988592441</v>
      </c>
      <c r="Q174" s="50">
        <f t="shared" si="39"/>
        <v>-9.6194660194726112E-5</v>
      </c>
      <c r="R174" s="50">
        <f t="shared" si="40"/>
        <v>-9.8231713723961889E-4</v>
      </c>
      <c r="S174" s="43">
        <f t="shared" si="41"/>
        <v>-1</v>
      </c>
      <c r="T174" s="43">
        <f t="shared" si="42"/>
        <v>18.504448397721845</v>
      </c>
      <c r="U174" s="43">
        <f t="shared" si="43"/>
        <v>18.50336988592441</v>
      </c>
      <c r="V174" s="41">
        <f t="shared" si="44"/>
        <v>1704.865</v>
      </c>
    </row>
    <row r="175" spans="2:22" x14ac:dyDescent="0.45">
      <c r="B175" s="11">
        <v>58</v>
      </c>
      <c r="C175" s="11">
        <v>2</v>
      </c>
      <c r="D175" s="11">
        <v>57</v>
      </c>
      <c r="E175" s="41">
        <f t="shared" si="45"/>
        <v>1704.865</v>
      </c>
      <c r="F175" s="41">
        <f t="shared" si="46"/>
        <v>1705.6839050000001</v>
      </c>
      <c r="G175" s="41">
        <f t="shared" si="29"/>
        <v>1705.2744525000001</v>
      </c>
      <c r="H175" s="43">
        <f t="shared" si="47"/>
        <v>25.964078281999999</v>
      </c>
      <c r="I175" s="43">
        <f t="shared" si="48"/>
        <v>25.955981354000002</v>
      </c>
      <c r="J175" s="43">
        <f t="shared" si="49"/>
        <v>25.947884426000002</v>
      </c>
      <c r="K175" s="43">
        <f t="shared" si="50"/>
        <v>44.46744816792441</v>
      </c>
      <c r="L175" s="43">
        <f t="shared" si="51"/>
        <v>44.466098916921659</v>
      </c>
      <c r="M175" s="43">
        <f t="shared" si="52"/>
        <v>44.464743693573467</v>
      </c>
      <c r="N175" s="43">
        <f t="shared" si="36"/>
        <v>18.50336988592441</v>
      </c>
      <c r="O175" s="43">
        <f t="shared" si="37"/>
        <v>18.510117562921657</v>
      </c>
      <c r="P175" s="43">
        <f t="shared" si="38"/>
        <v>18.516859267573466</v>
      </c>
      <c r="Q175" s="50">
        <f t="shared" si="39"/>
        <v>-1.1944690875509423E-5</v>
      </c>
      <c r="R175" s="50">
        <f t="shared" si="40"/>
        <v>1.3501326339930841E-2</v>
      </c>
      <c r="S175" s="43">
        <f t="shared" si="41"/>
        <v>-1</v>
      </c>
      <c r="T175" s="43">
        <f t="shared" si="42"/>
        <v>18.50336988592441</v>
      </c>
      <c r="U175" s="43">
        <f t="shared" si="43"/>
        <v>18.50336988592441</v>
      </c>
      <c r="V175" s="41">
        <f t="shared" si="44"/>
        <v>1704.865</v>
      </c>
    </row>
    <row r="176" spans="2:22" x14ac:dyDescent="0.45">
      <c r="B176" s="11">
        <v>59</v>
      </c>
      <c r="C176" s="11">
        <v>2</v>
      </c>
      <c r="D176" s="11">
        <v>58</v>
      </c>
      <c r="E176" s="41">
        <f t="shared" si="45"/>
        <v>1705.6839050000001</v>
      </c>
      <c r="F176" s="41">
        <f t="shared" si="46"/>
        <v>1706.7490359999999</v>
      </c>
      <c r="G176" s="41">
        <f t="shared" si="29"/>
        <v>1706.2164705</v>
      </c>
      <c r="H176" s="43">
        <f t="shared" si="47"/>
        <v>25.947884426000002</v>
      </c>
      <c r="I176" s="43">
        <f t="shared" si="48"/>
        <v>25.954983110000001</v>
      </c>
      <c r="J176" s="43">
        <f t="shared" si="49"/>
        <v>25.962081793999999</v>
      </c>
      <c r="K176" s="43">
        <f t="shared" si="50"/>
        <v>44.464743693573467</v>
      </c>
      <c r="L176" s="43">
        <f t="shared" si="51"/>
        <v>44.462972049629883</v>
      </c>
      <c r="M176" s="43">
        <f t="shared" si="52"/>
        <v>44.461190301905297</v>
      </c>
      <c r="N176" s="43">
        <f t="shared" si="36"/>
        <v>18.516859267573466</v>
      </c>
      <c r="O176" s="43">
        <f t="shared" si="37"/>
        <v>18.507988939629882</v>
      </c>
      <c r="P176" s="43">
        <f t="shared" si="38"/>
        <v>18.499108507905298</v>
      </c>
      <c r="Q176" s="50">
        <f t="shared" si="39"/>
        <v>-2.0207562002383384E-5</v>
      </c>
      <c r="R176" s="50">
        <f t="shared" si="40"/>
        <v>-1.7730552106165476E-2</v>
      </c>
      <c r="S176" s="43">
        <f t="shared" si="41"/>
        <v>-1</v>
      </c>
      <c r="T176" s="43">
        <f t="shared" si="42"/>
        <v>18.516859267573466</v>
      </c>
      <c r="U176" s="43">
        <f t="shared" si="43"/>
        <v>18.499108507905298</v>
      </c>
      <c r="V176" s="41">
        <f t="shared" si="44"/>
        <v>1706.7490359999999</v>
      </c>
    </row>
    <row r="177" spans="2:22" x14ac:dyDescent="0.45">
      <c r="B177" s="11">
        <v>60</v>
      </c>
      <c r="C177" s="11">
        <v>2</v>
      </c>
      <c r="D177" s="11">
        <v>59</v>
      </c>
      <c r="E177" s="41">
        <f t="shared" si="45"/>
        <v>1706.7490359999999</v>
      </c>
      <c r="F177" s="41">
        <f t="shared" si="46"/>
        <v>1708.3887830000001</v>
      </c>
      <c r="G177" s="41">
        <f t="shared" si="29"/>
        <v>1707.5689095</v>
      </c>
      <c r="H177" s="43">
        <f t="shared" si="47"/>
        <v>25.962081793999999</v>
      </c>
      <c r="I177" s="43">
        <f t="shared" si="48"/>
        <v>25.926244907499999</v>
      </c>
      <c r="J177" s="43">
        <f t="shared" si="49"/>
        <v>25.890408020999999</v>
      </c>
      <c r="K177" s="43">
        <f t="shared" si="50"/>
        <v>44.461190301905297</v>
      </c>
      <c r="L177" s="43">
        <f t="shared" si="51"/>
        <v>44.458427588135457</v>
      </c>
      <c r="M177" s="43">
        <f t="shared" si="52"/>
        <v>44.45564092844355</v>
      </c>
      <c r="N177" s="43">
        <f t="shared" si="36"/>
        <v>18.499108507905298</v>
      </c>
      <c r="O177" s="43">
        <f t="shared" si="37"/>
        <v>18.532182680635458</v>
      </c>
      <c r="P177" s="43">
        <f t="shared" si="38"/>
        <v>18.565232907443551</v>
      </c>
      <c r="Q177" s="50">
        <f t="shared" si="39"/>
        <v>-4.7891844133118866E-5</v>
      </c>
      <c r="R177" s="50">
        <f t="shared" si="40"/>
        <v>6.6172291382386561E-2</v>
      </c>
      <c r="S177" s="43">
        <f t="shared" si="41"/>
        <v>-1</v>
      </c>
      <c r="T177" s="43">
        <f t="shared" si="42"/>
        <v>18.499108507905298</v>
      </c>
      <c r="U177" s="43">
        <f t="shared" si="43"/>
        <v>18.499108507905298</v>
      </c>
      <c r="V177" s="41">
        <f t="shared" si="44"/>
        <v>1706.7490359999999</v>
      </c>
    </row>
    <row r="178" spans="2:22" x14ac:dyDescent="0.45">
      <c r="B178" s="11">
        <v>61</v>
      </c>
      <c r="C178" s="11">
        <v>2</v>
      </c>
      <c r="D178" s="11">
        <v>60</v>
      </c>
      <c r="E178" s="41">
        <f t="shared" si="45"/>
        <v>1708.3887830000001</v>
      </c>
      <c r="F178" s="41">
        <f t="shared" si="46"/>
        <v>1708.8392450000001</v>
      </c>
      <c r="G178" s="41">
        <f t="shared" si="29"/>
        <v>1708.6140140000002</v>
      </c>
      <c r="H178" s="43">
        <f t="shared" si="47"/>
        <v>25.890408020999999</v>
      </c>
      <c r="I178" s="43">
        <f t="shared" si="48"/>
        <v>25.881867085499994</v>
      </c>
      <c r="J178" s="43">
        <f t="shared" si="49"/>
        <v>25.87332615</v>
      </c>
      <c r="K178" s="43">
        <f t="shared" si="50"/>
        <v>44.45564092844355</v>
      </c>
      <c r="L178" s="43">
        <f t="shared" si="51"/>
        <v>44.454871200371791</v>
      </c>
      <c r="M178" s="43">
        <f t="shared" si="52"/>
        <v>44.454099665150061</v>
      </c>
      <c r="N178" s="43">
        <f t="shared" si="36"/>
        <v>18.565232907443551</v>
      </c>
      <c r="O178" s="43">
        <f t="shared" si="37"/>
        <v>18.573004114871797</v>
      </c>
      <c r="P178" s="43">
        <f t="shared" si="38"/>
        <v>18.58077351515006</v>
      </c>
      <c r="Q178" s="50">
        <f t="shared" si="39"/>
        <v>-3.6142999633170803E-6</v>
      </c>
      <c r="R178" s="50">
        <f t="shared" si="40"/>
        <v>1.5544222006472097E-2</v>
      </c>
      <c r="S178" s="43">
        <f t="shared" si="41"/>
        <v>-1</v>
      </c>
      <c r="T178" s="43">
        <f t="shared" si="42"/>
        <v>18.565232907443551</v>
      </c>
      <c r="U178" s="43">
        <f t="shared" si="43"/>
        <v>18.565232907443551</v>
      </c>
      <c r="V178" s="41">
        <f t="shared" si="44"/>
        <v>1708.3887830000001</v>
      </c>
    </row>
    <row r="179" spans="2:22" x14ac:dyDescent="0.45">
      <c r="B179" s="11">
        <v>62</v>
      </c>
      <c r="C179" s="11">
        <v>2</v>
      </c>
      <c r="D179" s="11">
        <v>61</v>
      </c>
      <c r="E179" s="41">
        <f t="shared" si="45"/>
        <v>1708.8392450000001</v>
      </c>
      <c r="F179" s="41">
        <f t="shared" si="46"/>
        <v>1708.9784629999999</v>
      </c>
      <c r="G179" s="41">
        <f t="shared" si="29"/>
        <v>1708.908854</v>
      </c>
      <c r="H179" s="43">
        <f t="shared" si="47"/>
        <v>25.87332615</v>
      </c>
      <c r="I179" s="43">
        <f t="shared" si="48"/>
        <v>25.872365201500003</v>
      </c>
      <c r="J179" s="43">
        <f t="shared" si="49"/>
        <v>25.871404253000001</v>
      </c>
      <c r="K179" s="43">
        <f t="shared" si="50"/>
        <v>44.454099665150061</v>
      </c>
      <c r="L179" s="43">
        <f t="shared" si="51"/>
        <v>44.453860851972102</v>
      </c>
      <c r="M179" s="43">
        <f t="shared" si="52"/>
        <v>44.453621866183084</v>
      </c>
      <c r="N179" s="43">
        <f t="shared" si="36"/>
        <v>18.58077351515006</v>
      </c>
      <c r="O179" s="43">
        <f t="shared" si="37"/>
        <v>18.5814956504721</v>
      </c>
      <c r="P179" s="43">
        <f t="shared" si="38"/>
        <v>18.582217613183083</v>
      </c>
      <c r="Q179" s="50">
        <f t="shared" si="39"/>
        <v>-3.4522211223020349E-7</v>
      </c>
      <c r="R179" s="50">
        <f t="shared" si="40"/>
        <v>1.4444432551350417E-3</v>
      </c>
      <c r="S179" s="43">
        <f t="shared" si="41"/>
        <v>-1</v>
      </c>
      <c r="T179" s="43">
        <f t="shared" si="42"/>
        <v>18.58077351515006</v>
      </c>
      <c r="U179" s="43">
        <f t="shared" si="43"/>
        <v>18.58077351515006</v>
      </c>
      <c r="V179" s="41">
        <f t="shared" si="44"/>
        <v>1708.8392450000001</v>
      </c>
    </row>
    <row r="180" spans="2:22" x14ac:dyDescent="0.45">
      <c r="B180" s="11">
        <v>63</v>
      </c>
      <c r="C180" s="11">
        <v>2</v>
      </c>
      <c r="D180" s="11">
        <v>62</v>
      </c>
      <c r="E180" s="41">
        <f t="shared" si="45"/>
        <v>1708.9784629999999</v>
      </c>
      <c r="F180" s="41">
        <f t="shared" si="46"/>
        <v>1709.3205350000001</v>
      </c>
      <c r="G180" s="41">
        <f t="shared" si="29"/>
        <v>1709.1494990000001</v>
      </c>
      <c r="H180" s="43">
        <f t="shared" si="47"/>
        <v>25.871404253000001</v>
      </c>
      <c r="I180" s="43">
        <f t="shared" si="48"/>
        <v>25.864902363499997</v>
      </c>
      <c r="J180" s="43">
        <f t="shared" si="49"/>
        <v>25.858400474</v>
      </c>
      <c r="K180" s="43">
        <f t="shared" si="50"/>
        <v>44.453621866183084</v>
      </c>
      <c r="L180" s="43">
        <f t="shared" si="51"/>
        <v>44.453033922025995</v>
      </c>
      <c r="M180" s="43">
        <f t="shared" si="52"/>
        <v>44.452444935760447</v>
      </c>
      <c r="N180" s="43">
        <f t="shared" si="36"/>
        <v>18.582217613183083</v>
      </c>
      <c r="O180" s="43">
        <f t="shared" si="37"/>
        <v>18.588131558525998</v>
      </c>
      <c r="P180" s="43">
        <f t="shared" si="38"/>
        <v>18.594044461760447</v>
      </c>
      <c r="Q180" s="50">
        <f t="shared" si="39"/>
        <v>-2.0842169305979041E-6</v>
      </c>
      <c r="R180" s="50">
        <f t="shared" si="40"/>
        <v>1.1828932794294644E-2</v>
      </c>
      <c r="S180" s="43">
        <f t="shared" si="41"/>
        <v>-1</v>
      </c>
      <c r="T180" s="43">
        <f t="shared" si="42"/>
        <v>18.582217613183083</v>
      </c>
      <c r="U180" s="43">
        <f t="shared" si="43"/>
        <v>18.582217613183083</v>
      </c>
      <c r="V180" s="41">
        <f t="shared" si="44"/>
        <v>1708.9784629999999</v>
      </c>
    </row>
    <row r="181" spans="2:22" x14ac:dyDescent="0.45">
      <c r="B181" s="11">
        <v>64</v>
      </c>
      <c r="C181" s="11">
        <v>2</v>
      </c>
      <c r="D181" s="11">
        <v>63</v>
      </c>
      <c r="E181" s="41">
        <f t="shared" si="45"/>
        <v>1709.3205350000001</v>
      </c>
      <c r="F181" s="41">
        <f t="shared" si="46"/>
        <v>1720.1605790000001</v>
      </c>
      <c r="G181" s="41">
        <f t="shared" si="29"/>
        <v>1714.7405570000001</v>
      </c>
      <c r="H181" s="43">
        <f t="shared" si="47"/>
        <v>25.858400474</v>
      </c>
      <c r="I181" s="43">
        <f t="shared" si="48"/>
        <v>25.799534513999998</v>
      </c>
      <c r="J181" s="43">
        <f t="shared" si="49"/>
        <v>25.740668553999999</v>
      </c>
      <c r="K181" s="43">
        <f t="shared" si="50"/>
        <v>44.452444935760447</v>
      </c>
      <c r="L181" s="43">
        <f t="shared" si="51"/>
        <v>44.433240573051442</v>
      </c>
      <c r="M181" s="43">
        <f t="shared" si="52"/>
        <v>44.412989708578579</v>
      </c>
      <c r="N181" s="43">
        <f t="shared" si="36"/>
        <v>18.594044461760447</v>
      </c>
      <c r="O181" s="43">
        <f t="shared" si="37"/>
        <v>18.633706059051445</v>
      </c>
      <c r="P181" s="43">
        <f t="shared" si="38"/>
        <v>18.672321154578579</v>
      </c>
      <c r="Q181" s="50">
        <f t="shared" si="39"/>
        <v>-2.0930035277260117E-3</v>
      </c>
      <c r="R181" s="50">
        <f t="shared" si="40"/>
        <v>8.0369696345858443E-2</v>
      </c>
      <c r="S181" s="43">
        <f t="shared" si="41"/>
        <v>-1</v>
      </c>
      <c r="T181" s="43">
        <f t="shared" si="42"/>
        <v>18.594044461760447</v>
      </c>
      <c r="U181" s="43">
        <f t="shared" si="43"/>
        <v>18.594044461760447</v>
      </c>
      <c r="V181" s="41">
        <f t="shared" si="44"/>
        <v>1709.3205350000001</v>
      </c>
    </row>
    <row r="182" spans="2:22" x14ac:dyDescent="0.45">
      <c r="B182" s="11">
        <v>65</v>
      </c>
      <c r="C182" s="11">
        <v>2</v>
      </c>
      <c r="D182" s="11">
        <v>64</v>
      </c>
      <c r="E182" s="41">
        <f t="shared" si="45"/>
        <v>1720.1605790000001</v>
      </c>
      <c r="F182" s="41">
        <f t="shared" si="46"/>
        <v>1721.3476169999999</v>
      </c>
      <c r="G182" s="41">
        <f t="shared" ref="G182:G213" si="53">(E182+F182)/2</f>
        <v>1720.7540979999999</v>
      </c>
      <c r="H182" s="43">
        <f t="shared" si="47"/>
        <v>25.740668553999999</v>
      </c>
      <c r="I182" s="43">
        <f t="shared" si="48"/>
        <v>25.734452081499999</v>
      </c>
      <c r="J182" s="43">
        <f t="shared" si="49"/>
        <v>25.728235608999999</v>
      </c>
      <c r="K182" s="43">
        <f t="shared" si="50"/>
        <v>44.412989708578579</v>
      </c>
      <c r="L182" s="43">
        <f t="shared" si="51"/>
        <v>44.410708566556892</v>
      </c>
      <c r="M182" s="43">
        <f t="shared" si="52"/>
        <v>44.408414875593024</v>
      </c>
      <c r="N182" s="43">
        <f t="shared" ref="N182:N217" si="54">K182-H182</f>
        <v>18.672321154578579</v>
      </c>
      <c r="O182" s="43">
        <f t="shared" ref="O182:O217" si="55">L182-I182</f>
        <v>18.676256485056893</v>
      </c>
      <c r="P182" s="43">
        <f t="shared" ref="P182:P217" si="56">M182-J182</f>
        <v>18.680179266593026</v>
      </c>
      <c r="Q182" s="50">
        <f t="shared" ref="Q182:Q213" si="57">2*(P182-2*O182+N182)</f>
        <v>-2.5097884361002798E-5</v>
      </c>
      <c r="R182" s="50">
        <f t="shared" ref="R182:R213" si="58">P182-N182-Q182</f>
        <v>7.8832098988073085E-3</v>
      </c>
      <c r="S182" s="43">
        <f t="shared" ref="S182:S213" si="59">IF(Q182&gt;0.000000000001,-R182/(2*Q182),-1)</f>
        <v>-1</v>
      </c>
      <c r="T182" s="43">
        <f t="shared" ref="T182:T213" si="60">IF(AND(S182&gt;0,S182&lt;1),N182+R182*S182+Q182*S182^2,N182)</f>
        <v>18.672321154578579</v>
      </c>
      <c r="U182" s="43">
        <f t="shared" ref="U182:U213" si="61">IF(F182&gt;E182,MIN(N182,P182,T182),"")</f>
        <v>18.672321154578579</v>
      </c>
      <c r="V182" s="41">
        <f t="shared" ref="V182:V213" si="62">IF(U182="","",IF(U182=N182,E182,IF(U182=P182,F182,E182+(F182-E182)*S182)))</f>
        <v>1720.1605790000001</v>
      </c>
    </row>
    <row r="183" spans="2:22" x14ac:dyDescent="0.45">
      <c r="B183" s="11">
        <v>66</v>
      </c>
      <c r="C183" s="11">
        <v>2</v>
      </c>
      <c r="D183" s="11">
        <v>65</v>
      </c>
      <c r="E183" s="41">
        <f t="shared" si="45"/>
        <v>1721.3476169999999</v>
      </c>
      <c r="F183" s="41">
        <f t="shared" si="46"/>
        <v>1723.3428309999999</v>
      </c>
      <c r="G183" s="41">
        <f t="shared" si="53"/>
        <v>1722.3452239999999</v>
      </c>
      <c r="H183" s="43">
        <f t="shared" si="47"/>
        <v>25.728235608999999</v>
      </c>
      <c r="I183" s="43">
        <f t="shared" si="48"/>
        <v>25.708961526499998</v>
      </c>
      <c r="J183" s="43">
        <f t="shared" si="49"/>
        <v>25.689687444</v>
      </c>
      <c r="K183" s="43">
        <f t="shared" si="50"/>
        <v>44.408414875593024</v>
      </c>
      <c r="L183" s="43">
        <f t="shared" si="51"/>
        <v>44.404531288503925</v>
      </c>
      <c r="M183" s="43">
        <f t="shared" si="52"/>
        <v>44.400612248100472</v>
      </c>
      <c r="N183" s="43">
        <f t="shared" si="54"/>
        <v>18.680179266593026</v>
      </c>
      <c r="O183" s="43">
        <f t="shared" si="55"/>
        <v>18.695569762003927</v>
      </c>
      <c r="P183" s="43">
        <f t="shared" si="56"/>
        <v>18.710924804100472</v>
      </c>
      <c r="Q183" s="50">
        <f t="shared" si="57"/>
        <v>-7.0906628714340059E-5</v>
      </c>
      <c r="R183" s="50">
        <f t="shared" si="58"/>
        <v>3.081644413616047E-2</v>
      </c>
      <c r="S183" s="43">
        <f t="shared" si="59"/>
        <v>-1</v>
      </c>
      <c r="T183" s="43">
        <f t="shared" si="60"/>
        <v>18.680179266593026</v>
      </c>
      <c r="U183" s="43">
        <f t="shared" si="61"/>
        <v>18.680179266593026</v>
      </c>
      <c r="V183" s="41">
        <f t="shared" si="62"/>
        <v>1721.3476169999999</v>
      </c>
    </row>
    <row r="184" spans="2:22" x14ac:dyDescent="0.45">
      <c r="B184" s="11">
        <v>67</v>
      </c>
      <c r="C184" s="11">
        <v>2</v>
      </c>
      <c r="D184" s="11">
        <v>66</v>
      </c>
      <c r="E184" s="41">
        <f t="shared" si="45"/>
        <v>1723.3428309999999</v>
      </c>
      <c r="F184" s="41">
        <f t="shared" si="46"/>
        <v>1733.4107060000001</v>
      </c>
      <c r="G184" s="41">
        <f t="shared" si="53"/>
        <v>1728.3767685</v>
      </c>
      <c r="H184" s="43">
        <f t="shared" si="47"/>
        <v>25.689687444</v>
      </c>
      <c r="I184" s="43">
        <f t="shared" si="48"/>
        <v>25.597474658499998</v>
      </c>
      <c r="J184" s="43">
        <f t="shared" si="49"/>
        <v>25.505261872999998</v>
      </c>
      <c r="K184" s="43">
        <f t="shared" si="50"/>
        <v>44.400612248100472</v>
      </c>
      <c r="L184" s="43">
        <f t="shared" si="51"/>
        <v>44.380295911419921</v>
      </c>
      <c r="M184" s="43">
        <f t="shared" si="52"/>
        <v>44.359076853825165</v>
      </c>
      <c r="N184" s="43">
        <f t="shared" si="54"/>
        <v>18.710924804100472</v>
      </c>
      <c r="O184" s="43">
        <f t="shared" si="55"/>
        <v>18.782821252919923</v>
      </c>
      <c r="P184" s="43">
        <f t="shared" si="56"/>
        <v>18.853814980825167</v>
      </c>
      <c r="Q184" s="50">
        <f t="shared" si="57"/>
        <v>-1.8054418284165763E-3</v>
      </c>
      <c r="R184" s="50">
        <f t="shared" si="58"/>
        <v>0.14469561855311142</v>
      </c>
      <c r="S184" s="43">
        <f t="shared" si="59"/>
        <v>-1</v>
      </c>
      <c r="T184" s="43">
        <f t="shared" si="60"/>
        <v>18.710924804100472</v>
      </c>
      <c r="U184" s="43">
        <f t="shared" si="61"/>
        <v>18.710924804100472</v>
      </c>
      <c r="V184" s="41">
        <f t="shared" si="62"/>
        <v>1723.3428309999999</v>
      </c>
    </row>
    <row r="185" spans="2:22" x14ac:dyDescent="0.45">
      <c r="B185" s="11">
        <v>68</v>
      </c>
      <c r="C185" s="11">
        <v>2</v>
      </c>
      <c r="D185" s="11">
        <v>67</v>
      </c>
      <c r="E185" s="41">
        <f t="shared" si="45"/>
        <v>1733.4107060000001</v>
      </c>
      <c r="F185" s="41">
        <f t="shared" si="46"/>
        <v>1737.373707</v>
      </c>
      <c r="G185" s="41">
        <f t="shared" si="53"/>
        <v>1735.3922065000002</v>
      </c>
      <c r="H185" s="43">
        <f t="shared" si="47"/>
        <v>25.505261872999998</v>
      </c>
      <c r="I185" s="43">
        <f t="shared" si="48"/>
        <v>25.474947315999998</v>
      </c>
      <c r="J185" s="43">
        <f t="shared" si="49"/>
        <v>25.444632759000001</v>
      </c>
      <c r="K185" s="43">
        <f t="shared" si="50"/>
        <v>44.359076853825165</v>
      </c>
      <c r="L185" s="43">
        <f t="shared" si="51"/>
        <v>44.350476827707922</v>
      </c>
      <c r="M185" s="43">
        <f t="shared" si="52"/>
        <v>44.341736931054889</v>
      </c>
      <c r="N185" s="43">
        <f t="shared" si="54"/>
        <v>18.853814980825167</v>
      </c>
      <c r="O185" s="43">
        <f t="shared" si="55"/>
        <v>18.875529511707924</v>
      </c>
      <c r="P185" s="43">
        <f t="shared" si="56"/>
        <v>18.897104172054888</v>
      </c>
      <c r="Q185" s="50">
        <f t="shared" si="57"/>
        <v>-2.7974107158712513E-4</v>
      </c>
      <c r="R185" s="50">
        <f t="shared" si="58"/>
        <v>4.3568932301308649E-2</v>
      </c>
      <c r="S185" s="43">
        <f t="shared" si="59"/>
        <v>-1</v>
      </c>
      <c r="T185" s="43">
        <f t="shared" si="60"/>
        <v>18.853814980825167</v>
      </c>
      <c r="U185" s="43">
        <f t="shared" si="61"/>
        <v>18.853814980825167</v>
      </c>
      <c r="V185" s="41">
        <f t="shared" si="62"/>
        <v>1733.4107060000001</v>
      </c>
    </row>
    <row r="186" spans="2:22" x14ac:dyDescent="0.45">
      <c r="B186" s="11">
        <v>69</v>
      </c>
      <c r="C186" s="11">
        <v>2</v>
      </c>
      <c r="D186" s="11">
        <v>68</v>
      </c>
      <c r="E186" s="41">
        <f t="shared" si="45"/>
        <v>1737.373707</v>
      </c>
      <c r="F186" s="41">
        <f t="shared" si="46"/>
        <v>1744.3613600000001</v>
      </c>
      <c r="G186" s="41">
        <f t="shared" si="53"/>
        <v>1740.8675335</v>
      </c>
      <c r="H186" s="43">
        <f t="shared" si="47"/>
        <v>25.444632759000001</v>
      </c>
      <c r="I186" s="43">
        <f t="shared" si="48"/>
        <v>25.379719374499999</v>
      </c>
      <c r="J186" s="43">
        <f t="shared" si="49"/>
        <v>25.31480599</v>
      </c>
      <c r="K186" s="43">
        <f t="shared" si="50"/>
        <v>44.341736931054889</v>
      </c>
      <c r="L186" s="43">
        <f t="shared" si="51"/>
        <v>44.32598581061648</v>
      </c>
      <c r="M186" s="43">
        <f t="shared" si="52"/>
        <v>44.309799839116067</v>
      </c>
      <c r="N186" s="43">
        <f t="shared" si="54"/>
        <v>18.897104172054888</v>
      </c>
      <c r="O186" s="43">
        <f t="shared" si="55"/>
        <v>18.946266436116481</v>
      </c>
      <c r="P186" s="43">
        <f t="shared" si="56"/>
        <v>18.994993849116067</v>
      </c>
      <c r="Q186" s="50">
        <f t="shared" si="57"/>
        <v>-8.6970212401382696E-4</v>
      </c>
      <c r="R186" s="50">
        <f t="shared" si="58"/>
        <v>9.8759379185192842E-2</v>
      </c>
      <c r="S186" s="43">
        <f t="shared" si="59"/>
        <v>-1</v>
      </c>
      <c r="T186" s="43">
        <f t="shared" si="60"/>
        <v>18.897104172054888</v>
      </c>
      <c r="U186" s="43">
        <f t="shared" si="61"/>
        <v>18.897104172054888</v>
      </c>
      <c r="V186" s="41">
        <f t="shared" si="62"/>
        <v>1737.373707</v>
      </c>
    </row>
    <row r="187" spans="2:22" x14ac:dyDescent="0.45">
      <c r="B187" s="11">
        <v>70</v>
      </c>
      <c r="C187" s="11">
        <v>2</v>
      </c>
      <c r="D187" s="11">
        <v>69</v>
      </c>
      <c r="E187" s="41">
        <f t="shared" si="45"/>
        <v>1744.3613600000001</v>
      </c>
      <c r="F187" s="41">
        <f t="shared" si="46"/>
        <v>1744.8457989999999</v>
      </c>
      <c r="G187" s="41">
        <f t="shared" si="53"/>
        <v>1744.6035795</v>
      </c>
      <c r="H187" s="43">
        <f t="shared" si="47"/>
        <v>25.31480599</v>
      </c>
      <c r="I187" s="43">
        <f t="shared" si="48"/>
        <v>25.2890832555</v>
      </c>
      <c r="J187" s="43">
        <f t="shared" si="49"/>
        <v>25.263360520999999</v>
      </c>
      <c r="K187" s="43">
        <f t="shared" si="50"/>
        <v>44.309799839116067</v>
      </c>
      <c r="L187" s="43">
        <f t="shared" si="51"/>
        <v>44.308661581747479</v>
      </c>
      <c r="M187" s="43">
        <f t="shared" si="52"/>
        <v>44.30752123433178</v>
      </c>
      <c r="N187" s="43">
        <f t="shared" si="54"/>
        <v>18.994993849116067</v>
      </c>
      <c r="O187" s="43">
        <f t="shared" si="55"/>
        <v>19.01957832624748</v>
      </c>
      <c r="P187" s="43">
        <f t="shared" si="56"/>
        <v>19.044160713331781</v>
      </c>
      <c r="Q187" s="50">
        <f t="shared" si="57"/>
        <v>-4.1800942227609994E-6</v>
      </c>
      <c r="R187" s="50">
        <f t="shared" si="58"/>
        <v>4.9171044309936462E-2</v>
      </c>
      <c r="S187" s="43">
        <f t="shared" si="59"/>
        <v>-1</v>
      </c>
      <c r="T187" s="43">
        <f t="shared" si="60"/>
        <v>18.994993849116067</v>
      </c>
      <c r="U187" s="43">
        <f t="shared" si="61"/>
        <v>18.994993849116067</v>
      </c>
      <c r="V187" s="41">
        <f t="shared" si="62"/>
        <v>1744.3613600000001</v>
      </c>
    </row>
    <row r="188" spans="2:22" x14ac:dyDescent="0.45">
      <c r="B188" s="11">
        <v>71</v>
      </c>
      <c r="C188" s="11">
        <v>2</v>
      </c>
      <c r="D188" s="11">
        <v>70</v>
      </c>
      <c r="E188" s="41">
        <f t="shared" si="45"/>
        <v>1744.8457989999999</v>
      </c>
      <c r="F188" s="41">
        <f t="shared" si="46"/>
        <v>1744.8613850000002</v>
      </c>
      <c r="G188" s="41">
        <f t="shared" si="53"/>
        <v>1744.8535919999999</v>
      </c>
      <c r="H188" s="43">
        <f t="shared" si="47"/>
        <v>25.263360520999999</v>
      </c>
      <c r="I188" s="43">
        <f t="shared" si="48"/>
        <v>25.263014513500003</v>
      </c>
      <c r="J188" s="43">
        <f t="shared" si="49"/>
        <v>25.262668506000001</v>
      </c>
      <c r="K188" s="43">
        <f t="shared" si="50"/>
        <v>44.30752123433178</v>
      </c>
      <c r="L188" s="43">
        <f t="shared" si="51"/>
        <v>44.307484510891697</v>
      </c>
      <c r="M188" s="43">
        <f t="shared" si="52"/>
        <v>44.307447785288176</v>
      </c>
      <c r="N188" s="43">
        <f t="shared" si="54"/>
        <v>19.044160713331781</v>
      </c>
      <c r="O188" s="43">
        <f t="shared" si="55"/>
        <v>19.044469997391694</v>
      </c>
      <c r="P188" s="43">
        <f t="shared" si="56"/>
        <v>19.044779279288175</v>
      </c>
      <c r="Q188" s="50">
        <f t="shared" si="57"/>
        <v>-4.3268642002658453E-9</v>
      </c>
      <c r="R188" s="50">
        <f t="shared" si="58"/>
        <v>6.1857028325817964E-4</v>
      </c>
      <c r="S188" s="43">
        <f t="shared" si="59"/>
        <v>-1</v>
      </c>
      <c r="T188" s="43">
        <f t="shared" si="60"/>
        <v>19.044160713331781</v>
      </c>
      <c r="U188" s="43">
        <f t="shared" si="61"/>
        <v>19.044160713331781</v>
      </c>
      <c r="V188" s="41">
        <f t="shared" si="62"/>
        <v>1744.8457989999999</v>
      </c>
    </row>
    <row r="189" spans="2:22" x14ac:dyDescent="0.45">
      <c r="B189" s="11">
        <v>72</v>
      </c>
      <c r="C189" s="11">
        <v>2</v>
      </c>
      <c r="D189" s="11">
        <v>71</v>
      </c>
      <c r="E189" s="41">
        <f t="shared" si="45"/>
        <v>1744.8613850000002</v>
      </c>
      <c r="F189" s="41">
        <f t="shared" si="46"/>
        <v>1744.9209410000001</v>
      </c>
      <c r="G189" s="41">
        <f t="shared" si="53"/>
        <v>1744.8911630000002</v>
      </c>
      <c r="H189" s="43">
        <f t="shared" si="47"/>
        <v>25.262668506000001</v>
      </c>
      <c r="I189" s="43">
        <f t="shared" si="48"/>
        <v>25.261807660499997</v>
      </c>
      <c r="J189" s="43">
        <f t="shared" si="49"/>
        <v>25.260946815</v>
      </c>
      <c r="K189" s="43">
        <f t="shared" si="50"/>
        <v>44.307447785288176</v>
      </c>
      <c r="L189" s="43">
        <f t="shared" si="51"/>
        <v>44.307307432366557</v>
      </c>
      <c r="M189" s="43">
        <f t="shared" si="52"/>
        <v>44.307167047856453</v>
      </c>
      <c r="N189" s="43">
        <f t="shared" si="54"/>
        <v>19.044779279288175</v>
      </c>
      <c r="O189" s="43">
        <f t="shared" si="55"/>
        <v>19.04549977186656</v>
      </c>
      <c r="P189" s="43">
        <f t="shared" si="56"/>
        <v>19.046220232856452</v>
      </c>
      <c r="Q189" s="50">
        <f t="shared" si="57"/>
        <v>-6.317698364455282E-8</v>
      </c>
      <c r="R189" s="50">
        <f t="shared" si="58"/>
        <v>1.4410167452609812E-3</v>
      </c>
      <c r="S189" s="43">
        <f t="shared" si="59"/>
        <v>-1</v>
      </c>
      <c r="T189" s="43">
        <f t="shared" si="60"/>
        <v>19.044779279288175</v>
      </c>
      <c r="U189" s="43">
        <f t="shared" si="61"/>
        <v>19.044779279288175</v>
      </c>
      <c r="V189" s="41">
        <f t="shared" si="62"/>
        <v>1744.8613850000002</v>
      </c>
    </row>
    <row r="190" spans="2:22" x14ac:dyDescent="0.45">
      <c r="B190" s="11">
        <v>73</v>
      </c>
      <c r="C190" s="11">
        <v>2</v>
      </c>
      <c r="D190" s="11">
        <v>72</v>
      </c>
      <c r="E190" s="41">
        <f t="shared" si="45"/>
        <v>1744.9209410000001</v>
      </c>
      <c r="F190" s="41">
        <f t="shared" si="46"/>
        <v>1746.610036</v>
      </c>
      <c r="G190" s="41">
        <f t="shared" si="53"/>
        <v>1745.7654885000002</v>
      </c>
      <c r="H190" s="43">
        <f t="shared" si="47"/>
        <v>25.260946815</v>
      </c>
      <c r="I190" s="43">
        <f t="shared" si="48"/>
        <v>25.242658394999996</v>
      </c>
      <c r="J190" s="43">
        <f t="shared" si="49"/>
        <v>25.224369974999998</v>
      </c>
      <c r="K190" s="43">
        <f t="shared" si="50"/>
        <v>44.307167047856453</v>
      </c>
      <c r="L190" s="43">
        <f t="shared" si="51"/>
        <v>44.303172386049255</v>
      </c>
      <c r="M190" s="43">
        <f t="shared" si="52"/>
        <v>44.299152315332499</v>
      </c>
      <c r="N190" s="43">
        <f t="shared" si="54"/>
        <v>19.046220232856452</v>
      </c>
      <c r="O190" s="43">
        <f t="shared" si="55"/>
        <v>19.060513991049259</v>
      </c>
      <c r="P190" s="43">
        <f t="shared" si="56"/>
        <v>19.074782340332501</v>
      </c>
      <c r="Q190" s="50">
        <f t="shared" si="57"/>
        <v>-5.081781912963379E-5</v>
      </c>
      <c r="R190" s="50">
        <f t="shared" si="58"/>
        <v>2.8612925295178115E-2</v>
      </c>
      <c r="S190" s="43">
        <f t="shared" si="59"/>
        <v>-1</v>
      </c>
      <c r="T190" s="43">
        <f t="shared" si="60"/>
        <v>19.046220232856452</v>
      </c>
      <c r="U190" s="43">
        <f t="shared" si="61"/>
        <v>19.046220232856452</v>
      </c>
      <c r="V190" s="41">
        <f t="shared" si="62"/>
        <v>1744.9209410000001</v>
      </c>
    </row>
    <row r="191" spans="2:22" x14ac:dyDescent="0.45">
      <c r="B191" s="11">
        <v>74</v>
      </c>
      <c r="C191" s="11">
        <v>2</v>
      </c>
      <c r="D191" s="11">
        <v>73</v>
      </c>
      <c r="E191" s="41">
        <f t="shared" si="45"/>
        <v>1746.610036</v>
      </c>
      <c r="F191" s="41">
        <f t="shared" si="46"/>
        <v>1748.867258</v>
      </c>
      <c r="G191" s="41">
        <f t="shared" si="53"/>
        <v>1747.7386470000001</v>
      </c>
      <c r="H191" s="43">
        <f t="shared" si="47"/>
        <v>25.224369974999998</v>
      </c>
      <c r="I191" s="43">
        <f t="shared" si="48"/>
        <v>25.164377189499994</v>
      </c>
      <c r="J191" s="43">
        <f t="shared" si="49"/>
        <v>25.104384404000001</v>
      </c>
      <c r="K191" s="43">
        <f t="shared" si="50"/>
        <v>44.299152315332499</v>
      </c>
      <c r="L191" s="43">
        <f t="shared" si="51"/>
        <v>44.293740428467331</v>
      </c>
      <c r="M191" s="43">
        <f t="shared" si="52"/>
        <v>44.288283165579763</v>
      </c>
      <c r="N191" s="43">
        <f t="shared" si="54"/>
        <v>19.074782340332501</v>
      </c>
      <c r="O191" s="43">
        <f t="shared" si="55"/>
        <v>19.129363238967336</v>
      </c>
      <c r="P191" s="43">
        <f t="shared" si="56"/>
        <v>19.183898761579762</v>
      </c>
      <c r="Q191" s="50">
        <f t="shared" si="57"/>
        <v>-9.0752044819453204E-5</v>
      </c>
      <c r="R191" s="50">
        <f t="shared" si="58"/>
        <v>0.10920717329208074</v>
      </c>
      <c r="S191" s="43">
        <f t="shared" si="59"/>
        <v>-1</v>
      </c>
      <c r="T191" s="43">
        <f t="shared" si="60"/>
        <v>19.074782340332501</v>
      </c>
      <c r="U191" s="43">
        <f t="shared" si="61"/>
        <v>19.074782340332501</v>
      </c>
      <c r="V191" s="41">
        <f t="shared" si="62"/>
        <v>1746.610036</v>
      </c>
    </row>
    <row r="192" spans="2:22" x14ac:dyDescent="0.45">
      <c r="B192" s="11">
        <v>75</v>
      </c>
      <c r="C192" s="11">
        <v>2</v>
      </c>
      <c r="D192" s="11">
        <v>74</v>
      </c>
      <c r="E192" s="41">
        <f t="shared" si="45"/>
        <v>1748.867258</v>
      </c>
      <c r="F192" s="41">
        <f t="shared" si="46"/>
        <v>1753.1134400000001</v>
      </c>
      <c r="G192" s="41">
        <f t="shared" si="53"/>
        <v>1750.9903490000002</v>
      </c>
      <c r="H192" s="43">
        <f t="shared" si="47"/>
        <v>25.104384404000001</v>
      </c>
      <c r="I192" s="43">
        <f t="shared" si="48"/>
        <v>24.970950597999991</v>
      </c>
      <c r="J192" s="43">
        <f t="shared" si="49"/>
        <v>24.837516791999999</v>
      </c>
      <c r="K192" s="43">
        <f t="shared" si="50"/>
        <v>44.288283165579763</v>
      </c>
      <c r="L192" s="43">
        <f t="shared" si="51"/>
        <v>44.27789424752433</v>
      </c>
      <c r="M192" s="43">
        <f t="shared" si="52"/>
        <v>44.267344755521215</v>
      </c>
      <c r="N192" s="43">
        <f t="shared" si="54"/>
        <v>19.183898761579762</v>
      </c>
      <c r="O192" s="43">
        <f t="shared" si="55"/>
        <v>19.306943649524339</v>
      </c>
      <c r="P192" s="43">
        <f t="shared" si="56"/>
        <v>19.429827963521216</v>
      </c>
      <c r="Q192" s="50">
        <f t="shared" si="57"/>
        <v>-3.2114789539861022E-4</v>
      </c>
      <c r="R192" s="50">
        <f t="shared" si="58"/>
        <v>0.24625034983685268</v>
      </c>
      <c r="S192" s="43">
        <f t="shared" si="59"/>
        <v>-1</v>
      </c>
      <c r="T192" s="43">
        <f t="shared" si="60"/>
        <v>19.183898761579762</v>
      </c>
      <c r="U192" s="43">
        <f t="shared" si="61"/>
        <v>19.183898761579762</v>
      </c>
      <c r="V192" s="41">
        <f t="shared" si="62"/>
        <v>1748.867258</v>
      </c>
    </row>
    <row r="193" spans="2:22" x14ac:dyDescent="0.45">
      <c r="B193" s="11">
        <v>76</v>
      </c>
      <c r="C193" s="11">
        <v>2</v>
      </c>
      <c r="D193" s="11">
        <v>75</v>
      </c>
      <c r="E193" s="41">
        <f t="shared" si="45"/>
        <v>1753.1134400000001</v>
      </c>
      <c r="F193" s="41">
        <f t="shared" si="46"/>
        <v>1753.9829560000001</v>
      </c>
      <c r="G193" s="41">
        <f t="shared" si="53"/>
        <v>1753.548198</v>
      </c>
      <c r="H193" s="43">
        <f t="shared" si="47"/>
        <v>24.837516791999999</v>
      </c>
      <c r="I193" s="43">
        <f t="shared" si="48"/>
        <v>24.811875501000006</v>
      </c>
      <c r="J193" s="43">
        <f t="shared" si="49"/>
        <v>24.78623421</v>
      </c>
      <c r="K193" s="43">
        <f t="shared" si="50"/>
        <v>44.267344755521215</v>
      </c>
      <c r="L193" s="43">
        <f t="shared" si="51"/>
        <v>44.26516466562579</v>
      </c>
      <c r="M193" s="43">
        <f t="shared" si="52"/>
        <v>44.262977842351837</v>
      </c>
      <c r="N193" s="43">
        <f t="shared" si="54"/>
        <v>19.429827963521216</v>
      </c>
      <c r="O193" s="43">
        <f t="shared" si="55"/>
        <v>19.453289164625783</v>
      </c>
      <c r="P193" s="43">
        <f t="shared" si="56"/>
        <v>19.476743632351837</v>
      </c>
      <c r="Q193" s="50">
        <f t="shared" si="57"/>
        <v>-1.3466757025071274E-5</v>
      </c>
      <c r="R193" s="50">
        <f t="shared" si="58"/>
        <v>4.6929135587646442E-2</v>
      </c>
      <c r="S193" s="43">
        <f t="shared" si="59"/>
        <v>-1</v>
      </c>
      <c r="T193" s="43">
        <f t="shared" si="60"/>
        <v>19.429827963521216</v>
      </c>
      <c r="U193" s="43">
        <f t="shared" si="61"/>
        <v>19.429827963521216</v>
      </c>
      <c r="V193" s="41">
        <f t="shared" si="62"/>
        <v>1753.1134400000001</v>
      </c>
    </row>
    <row r="194" spans="2:22" x14ac:dyDescent="0.45">
      <c r="B194" s="11">
        <v>77</v>
      </c>
      <c r="C194" s="11">
        <v>2</v>
      </c>
      <c r="D194" s="11">
        <v>76</v>
      </c>
      <c r="E194" s="41">
        <f t="shared" si="45"/>
        <v>1753.9829560000001</v>
      </c>
      <c r="F194" s="41">
        <f t="shared" si="46"/>
        <v>1754.823801</v>
      </c>
      <c r="G194" s="41">
        <f t="shared" si="53"/>
        <v>1754.4033785000001</v>
      </c>
      <c r="H194" s="43">
        <f t="shared" si="47"/>
        <v>24.78623421</v>
      </c>
      <c r="I194" s="43">
        <f t="shared" si="48"/>
        <v>24.765856533999994</v>
      </c>
      <c r="J194" s="43">
        <f t="shared" si="49"/>
        <v>24.745478857999998</v>
      </c>
      <c r="K194" s="43">
        <f t="shared" si="50"/>
        <v>44.262977842351837</v>
      </c>
      <c r="L194" s="43">
        <f t="shared" si="51"/>
        <v>44.260856722326515</v>
      </c>
      <c r="M194" s="43">
        <f t="shared" si="52"/>
        <v>44.25872930564811</v>
      </c>
      <c r="N194" s="43">
        <f t="shared" si="54"/>
        <v>19.476743632351837</v>
      </c>
      <c r="O194" s="43">
        <f t="shared" si="55"/>
        <v>19.495000188326522</v>
      </c>
      <c r="P194" s="43">
        <f t="shared" si="56"/>
        <v>19.513250447648112</v>
      </c>
      <c r="Q194" s="50">
        <f t="shared" si="57"/>
        <v>-1.2593306188080078E-5</v>
      </c>
      <c r="R194" s="50">
        <f t="shared" si="58"/>
        <v>3.6519408602462278E-2</v>
      </c>
      <c r="S194" s="43">
        <f t="shared" si="59"/>
        <v>-1</v>
      </c>
      <c r="T194" s="43">
        <f t="shared" si="60"/>
        <v>19.476743632351837</v>
      </c>
      <c r="U194" s="43">
        <f t="shared" si="61"/>
        <v>19.476743632351837</v>
      </c>
      <c r="V194" s="41">
        <f t="shared" si="62"/>
        <v>1753.9829560000001</v>
      </c>
    </row>
    <row r="195" spans="2:22" x14ac:dyDescent="0.45">
      <c r="B195" s="11">
        <v>78</v>
      </c>
      <c r="C195" s="11">
        <v>2</v>
      </c>
      <c r="D195" s="11">
        <v>77</v>
      </c>
      <c r="E195" s="41">
        <f t="shared" si="45"/>
        <v>1754.823801</v>
      </c>
      <c r="F195" s="41">
        <f t="shared" si="46"/>
        <v>1757.2654950000001</v>
      </c>
      <c r="G195" s="41">
        <f t="shared" si="53"/>
        <v>1756.0446480000001</v>
      </c>
      <c r="H195" s="43">
        <f t="shared" si="47"/>
        <v>24.745478857999998</v>
      </c>
      <c r="I195" s="43">
        <f t="shared" si="48"/>
        <v>24.8092093745</v>
      </c>
      <c r="J195" s="43">
        <f t="shared" si="49"/>
        <v>24.872939891000001</v>
      </c>
      <c r="K195" s="43">
        <f t="shared" si="50"/>
        <v>44.25872930564811</v>
      </c>
      <c r="L195" s="43">
        <f t="shared" si="51"/>
        <v>44.252515900719359</v>
      </c>
      <c r="M195" s="43">
        <f t="shared" si="52"/>
        <v>44.246249399968853</v>
      </c>
      <c r="N195" s="43">
        <f t="shared" si="54"/>
        <v>19.513250447648112</v>
      </c>
      <c r="O195" s="43">
        <f t="shared" si="55"/>
        <v>19.443306526219359</v>
      </c>
      <c r="P195" s="43">
        <f t="shared" si="56"/>
        <v>19.373309508968852</v>
      </c>
      <c r="Q195" s="50">
        <f t="shared" si="57"/>
        <v>-1.0619164351055588E-4</v>
      </c>
      <c r="R195" s="50">
        <f t="shared" si="58"/>
        <v>-0.13983474703574927</v>
      </c>
      <c r="S195" s="43">
        <f t="shared" si="59"/>
        <v>-1</v>
      </c>
      <c r="T195" s="43">
        <f t="shared" si="60"/>
        <v>19.513250447648112</v>
      </c>
      <c r="U195" s="43">
        <f t="shared" si="61"/>
        <v>19.373309508968852</v>
      </c>
      <c r="V195" s="41">
        <f t="shared" si="62"/>
        <v>1757.2654950000001</v>
      </c>
    </row>
    <row r="196" spans="2:22" x14ac:dyDescent="0.45">
      <c r="B196" s="11">
        <v>79</v>
      </c>
      <c r="C196" s="11">
        <v>2</v>
      </c>
      <c r="D196" s="11">
        <v>78</v>
      </c>
      <c r="E196" s="41">
        <f t="shared" si="45"/>
        <v>1757.2654950000001</v>
      </c>
      <c r="F196" s="41">
        <f t="shared" si="46"/>
        <v>1757.745017</v>
      </c>
      <c r="G196" s="41">
        <f t="shared" si="53"/>
        <v>1757.5052559999999</v>
      </c>
      <c r="H196" s="43">
        <f t="shared" si="47"/>
        <v>24.872939891000001</v>
      </c>
      <c r="I196" s="43">
        <f t="shared" si="48"/>
        <v>24.880318977999998</v>
      </c>
      <c r="J196" s="43">
        <f t="shared" si="49"/>
        <v>24.887698064999999</v>
      </c>
      <c r="K196" s="43">
        <f t="shared" si="50"/>
        <v>44.246249399968853</v>
      </c>
      <c r="L196" s="43">
        <f t="shared" si="51"/>
        <v>44.245012490113098</v>
      </c>
      <c r="M196" s="43">
        <f t="shared" si="52"/>
        <v>44.243773532422395</v>
      </c>
      <c r="N196" s="43">
        <f t="shared" si="54"/>
        <v>19.373309508968852</v>
      </c>
      <c r="O196" s="43">
        <f t="shared" si="55"/>
        <v>19.364693512113099</v>
      </c>
      <c r="P196" s="43">
        <f t="shared" si="56"/>
        <v>19.356075467422396</v>
      </c>
      <c r="Q196" s="50">
        <f t="shared" si="57"/>
        <v>-4.0956699010052944E-6</v>
      </c>
      <c r="R196" s="50">
        <f t="shared" si="58"/>
        <v>-1.7229945876554353E-2</v>
      </c>
      <c r="S196" s="43">
        <f t="shared" si="59"/>
        <v>-1</v>
      </c>
      <c r="T196" s="43">
        <f t="shared" si="60"/>
        <v>19.373309508968852</v>
      </c>
      <c r="U196" s="43">
        <f t="shared" si="61"/>
        <v>19.356075467422396</v>
      </c>
      <c r="V196" s="41">
        <f t="shared" si="62"/>
        <v>1757.745017</v>
      </c>
    </row>
    <row r="197" spans="2:22" x14ac:dyDescent="0.45">
      <c r="B197" s="11">
        <v>80</v>
      </c>
      <c r="C197" s="11">
        <v>2</v>
      </c>
      <c r="D197" s="11">
        <v>79</v>
      </c>
      <c r="E197" s="41">
        <f t="shared" si="45"/>
        <v>1757.745017</v>
      </c>
      <c r="F197" s="41">
        <f t="shared" si="46"/>
        <v>1758.332482</v>
      </c>
      <c r="G197" s="41">
        <f t="shared" si="53"/>
        <v>1758.0387495</v>
      </c>
      <c r="H197" s="43">
        <f t="shared" si="47"/>
        <v>24.887698064999999</v>
      </c>
      <c r="I197" s="43">
        <f t="shared" si="48"/>
        <v>24.8310502185</v>
      </c>
      <c r="J197" s="43">
        <f t="shared" si="49"/>
        <v>24.774402372000001</v>
      </c>
      <c r="K197" s="43">
        <f t="shared" si="50"/>
        <v>44.243773532422395</v>
      </c>
      <c r="L197" s="43">
        <f t="shared" si="51"/>
        <v>44.24225288745604</v>
      </c>
      <c r="M197" s="43">
        <f t="shared" si="52"/>
        <v>44.240729168928461</v>
      </c>
      <c r="N197" s="43">
        <f t="shared" si="54"/>
        <v>19.356075467422396</v>
      </c>
      <c r="O197" s="43">
        <f t="shared" si="55"/>
        <v>19.41120266895604</v>
      </c>
      <c r="P197" s="43">
        <f t="shared" si="56"/>
        <v>19.46632679692846</v>
      </c>
      <c r="Q197" s="50">
        <f t="shared" si="57"/>
        <v>-6.147122448396658E-6</v>
      </c>
      <c r="R197" s="50">
        <f t="shared" si="58"/>
        <v>0.1102574766285116</v>
      </c>
      <c r="S197" s="43">
        <f t="shared" si="59"/>
        <v>-1</v>
      </c>
      <c r="T197" s="43">
        <f t="shared" si="60"/>
        <v>19.356075467422396</v>
      </c>
      <c r="U197" s="43">
        <f t="shared" si="61"/>
        <v>19.356075467422396</v>
      </c>
      <c r="V197" s="41">
        <f t="shared" si="62"/>
        <v>1757.745017</v>
      </c>
    </row>
    <row r="198" spans="2:22" x14ac:dyDescent="0.45">
      <c r="B198" s="11">
        <v>81</v>
      </c>
      <c r="C198" s="11">
        <v>2</v>
      </c>
      <c r="D198" s="11">
        <v>80</v>
      </c>
      <c r="E198" s="41">
        <f t="shared" si="45"/>
        <v>1758.332482</v>
      </c>
      <c r="F198" s="41">
        <f t="shared" si="46"/>
        <v>1759.139995</v>
      </c>
      <c r="G198" s="41">
        <f t="shared" si="53"/>
        <v>1758.7362385000001</v>
      </c>
      <c r="H198" s="43">
        <f t="shared" si="47"/>
        <v>24.774402372000001</v>
      </c>
      <c r="I198" s="43">
        <f t="shared" si="48"/>
        <v>24.687670496999978</v>
      </c>
      <c r="J198" s="43">
        <f t="shared" si="49"/>
        <v>24.600938622000001</v>
      </c>
      <c r="K198" s="43">
        <f t="shared" si="50"/>
        <v>44.240729168928461</v>
      </c>
      <c r="L198" s="43">
        <f t="shared" si="51"/>
        <v>44.238629691865356</v>
      </c>
      <c r="M198" s="43">
        <f t="shared" si="52"/>
        <v>44.236524407466703</v>
      </c>
      <c r="N198" s="43">
        <f t="shared" si="54"/>
        <v>19.46632679692846</v>
      </c>
      <c r="O198" s="43">
        <f t="shared" si="55"/>
        <v>19.550959194865378</v>
      </c>
      <c r="P198" s="43">
        <f t="shared" si="56"/>
        <v>19.635585785466702</v>
      </c>
      <c r="Q198" s="50">
        <f t="shared" si="57"/>
        <v>-1.1614671187487602E-5</v>
      </c>
      <c r="R198" s="50">
        <f t="shared" si="58"/>
        <v>0.16927060320942999</v>
      </c>
      <c r="S198" s="43">
        <f t="shared" si="59"/>
        <v>-1</v>
      </c>
      <c r="T198" s="43">
        <f t="shared" si="60"/>
        <v>19.46632679692846</v>
      </c>
      <c r="U198" s="43">
        <f t="shared" si="61"/>
        <v>19.46632679692846</v>
      </c>
      <c r="V198" s="41">
        <f t="shared" si="62"/>
        <v>1758.332482</v>
      </c>
    </row>
    <row r="199" spans="2:22" x14ac:dyDescent="0.45">
      <c r="B199" s="11">
        <v>82</v>
      </c>
      <c r="C199" s="11">
        <v>2</v>
      </c>
      <c r="D199" s="11">
        <v>81</v>
      </c>
      <c r="E199" s="41">
        <f t="shared" si="45"/>
        <v>1759.139995</v>
      </c>
      <c r="F199" s="41">
        <f t="shared" si="46"/>
        <v>1761.4976019999999</v>
      </c>
      <c r="G199" s="41">
        <f t="shared" si="53"/>
        <v>1760.3187985</v>
      </c>
      <c r="H199" s="43">
        <f t="shared" si="47"/>
        <v>24.600938622000001</v>
      </c>
      <c r="I199" s="43">
        <f t="shared" si="48"/>
        <v>24.386557467999999</v>
      </c>
      <c r="J199" s="43">
        <f t="shared" si="49"/>
        <v>24.172176314000001</v>
      </c>
      <c r="K199" s="43">
        <f t="shared" si="50"/>
        <v>44.236524407466703</v>
      </c>
      <c r="L199" s="43">
        <f t="shared" si="51"/>
        <v>44.230344611472354</v>
      </c>
      <c r="M199" s="43">
        <f t="shared" si="52"/>
        <v>44.224115313711273</v>
      </c>
      <c r="N199" s="43">
        <f t="shared" si="54"/>
        <v>19.635585785466702</v>
      </c>
      <c r="O199" s="43">
        <f t="shared" si="55"/>
        <v>19.843787143472355</v>
      </c>
      <c r="P199" s="43">
        <f t="shared" si="56"/>
        <v>20.051938999711272</v>
      </c>
      <c r="Q199" s="50">
        <f t="shared" si="57"/>
        <v>-9.9003533470920502E-5</v>
      </c>
      <c r="R199" s="50">
        <f t="shared" si="58"/>
        <v>0.41645221777804053</v>
      </c>
      <c r="S199" s="43">
        <f t="shared" si="59"/>
        <v>-1</v>
      </c>
      <c r="T199" s="43">
        <f t="shared" si="60"/>
        <v>19.635585785466702</v>
      </c>
      <c r="U199" s="43">
        <f t="shared" si="61"/>
        <v>19.635585785466702</v>
      </c>
      <c r="V199" s="41">
        <f t="shared" si="62"/>
        <v>1759.139995</v>
      </c>
    </row>
    <row r="200" spans="2:22" x14ac:dyDescent="0.45">
      <c r="B200" s="11">
        <v>83</v>
      </c>
      <c r="C200" s="11">
        <v>2</v>
      </c>
      <c r="D200" s="11">
        <v>82</v>
      </c>
      <c r="E200" s="41">
        <f t="shared" si="45"/>
        <v>1761.4976019999999</v>
      </c>
      <c r="F200" s="41">
        <f t="shared" si="46"/>
        <v>1761.645865</v>
      </c>
      <c r="G200" s="41">
        <f t="shared" si="53"/>
        <v>1761.5717334999999</v>
      </c>
      <c r="H200" s="43">
        <f t="shared" si="47"/>
        <v>24.172176314000001</v>
      </c>
      <c r="I200" s="43">
        <f t="shared" si="48"/>
        <v>24.158050370000002</v>
      </c>
      <c r="J200" s="43">
        <f t="shared" si="49"/>
        <v>24.143924426000002</v>
      </c>
      <c r="K200" s="43">
        <f t="shared" si="50"/>
        <v>44.224115313711273</v>
      </c>
      <c r="L200" s="43">
        <f t="shared" si="51"/>
        <v>44.223721917022552</v>
      </c>
      <c r="M200" s="43">
        <f t="shared" si="52"/>
        <v>44.223328324565053</v>
      </c>
      <c r="N200" s="43">
        <f t="shared" si="54"/>
        <v>20.051938999711272</v>
      </c>
      <c r="O200" s="43">
        <f t="shared" si="55"/>
        <v>20.06567154702255</v>
      </c>
      <c r="P200" s="43">
        <f t="shared" si="56"/>
        <v>20.079403898565051</v>
      </c>
      <c r="Q200" s="50">
        <f t="shared" si="57"/>
        <v>-3.915375543783739E-7</v>
      </c>
      <c r="R200" s="50">
        <f t="shared" si="58"/>
        <v>2.7465290391333497E-2</v>
      </c>
      <c r="S200" s="43">
        <f t="shared" si="59"/>
        <v>-1</v>
      </c>
      <c r="T200" s="43">
        <f t="shared" si="60"/>
        <v>20.051938999711272</v>
      </c>
      <c r="U200" s="43">
        <f t="shared" si="61"/>
        <v>20.051938999711272</v>
      </c>
      <c r="V200" s="41">
        <f t="shared" si="62"/>
        <v>1761.4976019999999</v>
      </c>
    </row>
    <row r="201" spans="2:22" x14ac:dyDescent="0.45">
      <c r="B201" s="11">
        <v>84</v>
      </c>
      <c r="C201" s="11">
        <v>2</v>
      </c>
      <c r="D201" s="11">
        <v>83</v>
      </c>
      <c r="E201" s="41">
        <f t="shared" si="45"/>
        <v>1761.645865</v>
      </c>
      <c r="F201" s="41">
        <f t="shared" si="46"/>
        <v>1761.8730430000001</v>
      </c>
      <c r="G201" s="41">
        <f t="shared" si="53"/>
        <v>1761.759454</v>
      </c>
      <c r="H201" s="43">
        <f t="shared" si="47"/>
        <v>24.143924426000002</v>
      </c>
      <c r="I201" s="43">
        <f t="shared" si="48"/>
        <v>24.1261962375</v>
      </c>
      <c r="J201" s="43">
        <f t="shared" si="49"/>
        <v>24.108468048999999</v>
      </c>
      <c r="K201" s="43">
        <f t="shared" si="50"/>
        <v>44.223328324565053</v>
      </c>
      <c r="L201" s="43">
        <f t="shared" si="51"/>
        <v>44.222724857363438</v>
      </c>
      <c r="M201" s="43">
        <f t="shared" si="52"/>
        <v>44.222120930529655</v>
      </c>
      <c r="N201" s="43">
        <f t="shared" si="54"/>
        <v>20.079403898565051</v>
      </c>
      <c r="O201" s="43">
        <f t="shared" si="55"/>
        <v>20.096528619863438</v>
      </c>
      <c r="P201" s="43">
        <f t="shared" si="56"/>
        <v>20.113652881529656</v>
      </c>
      <c r="Q201" s="50">
        <f t="shared" si="57"/>
        <v>-9.1926433753997117E-7</v>
      </c>
      <c r="R201" s="50">
        <f t="shared" si="58"/>
        <v>3.4249902228943085E-2</v>
      </c>
      <c r="S201" s="43">
        <f t="shared" si="59"/>
        <v>-1</v>
      </c>
      <c r="T201" s="43">
        <f t="shared" si="60"/>
        <v>20.079403898565051</v>
      </c>
      <c r="U201" s="43">
        <f t="shared" si="61"/>
        <v>20.079403898565051</v>
      </c>
      <c r="V201" s="41">
        <f t="shared" si="62"/>
        <v>1761.645865</v>
      </c>
    </row>
    <row r="202" spans="2:22" x14ac:dyDescent="0.45">
      <c r="B202" s="11">
        <v>85</v>
      </c>
      <c r="C202" s="11">
        <v>2</v>
      </c>
      <c r="D202" s="11">
        <v>84</v>
      </c>
      <c r="E202" s="41">
        <f t="shared" si="45"/>
        <v>1761.8730430000001</v>
      </c>
      <c r="F202" s="41">
        <f t="shared" si="46"/>
        <v>1765.7079920000001</v>
      </c>
      <c r="G202" s="41">
        <f t="shared" si="53"/>
        <v>1763.7905175000001</v>
      </c>
      <c r="H202" s="43">
        <f t="shared" si="47"/>
        <v>24.108468048999999</v>
      </c>
      <c r="I202" s="43">
        <f t="shared" si="48"/>
        <v>23.802240008000002</v>
      </c>
      <c r="J202" s="43">
        <f t="shared" si="49"/>
        <v>23.496011967000001</v>
      </c>
      <c r="K202" s="43">
        <f t="shared" si="50"/>
        <v>44.222120930529655</v>
      </c>
      <c r="L202" s="43">
        <f t="shared" si="51"/>
        <v>44.211856787188495</v>
      </c>
      <c r="M202" s="43">
        <f t="shared" si="52"/>
        <v>44.201461666237719</v>
      </c>
      <c r="N202" s="43">
        <f t="shared" si="54"/>
        <v>20.113652881529656</v>
      </c>
      <c r="O202" s="43">
        <f t="shared" si="55"/>
        <v>20.409616779188493</v>
      </c>
      <c r="P202" s="43">
        <f t="shared" si="56"/>
        <v>20.705449699237718</v>
      </c>
      <c r="Q202" s="50">
        <f t="shared" si="57"/>
        <v>-2.6195521922289799E-4</v>
      </c>
      <c r="R202" s="50">
        <f t="shared" si="58"/>
        <v>0.59205877292728459</v>
      </c>
      <c r="S202" s="43">
        <f t="shared" si="59"/>
        <v>-1</v>
      </c>
      <c r="T202" s="43">
        <f t="shared" si="60"/>
        <v>20.113652881529656</v>
      </c>
      <c r="U202" s="43">
        <f t="shared" si="61"/>
        <v>20.113652881529656</v>
      </c>
      <c r="V202" s="41">
        <f t="shared" si="62"/>
        <v>1761.8730430000001</v>
      </c>
    </row>
    <row r="203" spans="2:22" x14ac:dyDescent="0.45">
      <c r="B203" s="11">
        <v>86</v>
      </c>
      <c r="C203" s="11">
        <v>2</v>
      </c>
      <c r="D203" s="11">
        <v>85</v>
      </c>
      <c r="E203" s="41">
        <f t="shared" si="45"/>
        <v>1765.7079920000001</v>
      </c>
      <c r="F203" s="41">
        <f t="shared" si="46"/>
        <v>1768.0718529999999</v>
      </c>
      <c r="G203" s="41">
        <f t="shared" si="53"/>
        <v>1766.8899225</v>
      </c>
      <c r="H203" s="43">
        <f t="shared" si="47"/>
        <v>23.496011967000001</v>
      </c>
      <c r="I203" s="43">
        <f t="shared" si="48"/>
        <v>23.271490631999999</v>
      </c>
      <c r="J203" s="43">
        <f t="shared" si="49"/>
        <v>23.046969297</v>
      </c>
      <c r="K203" s="43">
        <f t="shared" si="50"/>
        <v>44.201461666237719</v>
      </c>
      <c r="L203" s="43">
        <f t="shared" si="51"/>
        <v>44.194988868279054</v>
      </c>
      <c r="M203" s="43">
        <f t="shared" si="52"/>
        <v>44.188466305579674</v>
      </c>
      <c r="N203" s="43">
        <f t="shared" si="54"/>
        <v>20.705449699237718</v>
      </c>
      <c r="O203" s="43">
        <f t="shared" si="55"/>
        <v>20.923498236279055</v>
      </c>
      <c r="P203" s="43">
        <f t="shared" si="56"/>
        <v>21.141497008579673</v>
      </c>
      <c r="Q203" s="50">
        <f t="shared" si="57"/>
        <v>-9.9529481438764833E-5</v>
      </c>
      <c r="R203" s="50">
        <f t="shared" si="58"/>
        <v>0.43614683882339378</v>
      </c>
      <c r="S203" s="43">
        <f t="shared" si="59"/>
        <v>-1</v>
      </c>
      <c r="T203" s="43">
        <f t="shared" si="60"/>
        <v>20.705449699237718</v>
      </c>
      <c r="U203" s="43">
        <f t="shared" si="61"/>
        <v>20.705449699237718</v>
      </c>
      <c r="V203" s="41">
        <f t="shared" si="62"/>
        <v>1765.7079920000001</v>
      </c>
    </row>
    <row r="204" spans="2:22" x14ac:dyDescent="0.45">
      <c r="B204" s="11">
        <v>87</v>
      </c>
      <c r="C204" s="11">
        <v>2</v>
      </c>
      <c r="D204" s="11">
        <v>86</v>
      </c>
      <c r="E204" s="41">
        <f t="shared" si="45"/>
        <v>1768.0718529999999</v>
      </c>
      <c r="F204" s="41">
        <f t="shared" si="46"/>
        <v>1771.0730140000001</v>
      </c>
      <c r="G204" s="41">
        <f t="shared" si="53"/>
        <v>1769.5724335</v>
      </c>
      <c r="H204" s="43">
        <f t="shared" si="47"/>
        <v>23.046969297</v>
      </c>
      <c r="I204" s="43">
        <f t="shared" si="48"/>
        <v>22.741257419500002</v>
      </c>
      <c r="J204" s="43">
        <f t="shared" si="49"/>
        <v>22.435545542</v>
      </c>
      <c r="K204" s="43">
        <f t="shared" si="50"/>
        <v>44.188466305579674</v>
      </c>
      <c r="L204" s="43">
        <f t="shared" si="51"/>
        <v>44.180113553222803</v>
      </c>
      <c r="M204" s="43">
        <f t="shared" si="52"/>
        <v>44.17168058570428</v>
      </c>
      <c r="N204" s="43">
        <f t="shared" si="54"/>
        <v>21.141497008579673</v>
      </c>
      <c r="O204" s="43">
        <f t="shared" si="55"/>
        <v>21.438856133722801</v>
      </c>
      <c r="P204" s="43">
        <f t="shared" si="56"/>
        <v>21.73613504370428</v>
      </c>
      <c r="Q204" s="50">
        <f t="shared" si="57"/>
        <v>-1.6043032329804419E-4</v>
      </c>
      <c r="R204" s="50">
        <f t="shared" si="58"/>
        <v>0.59479846544790504</v>
      </c>
      <c r="S204" s="43">
        <f t="shared" si="59"/>
        <v>-1</v>
      </c>
      <c r="T204" s="43">
        <f t="shared" si="60"/>
        <v>21.141497008579673</v>
      </c>
      <c r="U204" s="43">
        <f t="shared" si="61"/>
        <v>21.141497008579673</v>
      </c>
      <c r="V204" s="41">
        <f t="shared" si="62"/>
        <v>1768.0718529999999</v>
      </c>
    </row>
    <row r="205" spans="2:22" x14ac:dyDescent="0.45">
      <c r="B205" s="11">
        <v>88</v>
      </c>
      <c r="C205" s="11">
        <v>2</v>
      </c>
      <c r="D205" s="11">
        <v>87</v>
      </c>
      <c r="E205" s="41">
        <f t="shared" si="45"/>
        <v>1771.0730140000001</v>
      </c>
      <c r="F205" s="41">
        <f t="shared" si="46"/>
        <v>1775.6254719999999</v>
      </c>
      <c r="G205" s="41">
        <f t="shared" si="53"/>
        <v>1773.3492430000001</v>
      </c>
      <c r="H205" s="43">
        <f t="shared" si="47"/>
        <v>22.435545542</v>
      </c>
      <c r="I205" s="43">
        <f t="shared" si="48"/>
        <v>22.024517525499981</v>
      </c>
      <c r="J205" s="43">
        <f t="shared" si="49"/>
        <v>21.613489509000001</v>
      </c>
      <c r="K205" s="43">
        <f t="shared" si="50"/>
        <v>44.17168058570428</v>
      </c>
      <c r="L205" s="43">
        <f t="shared" si="51"/>
        <v>44.158735500057446</v>
      </c>
      <c r="M205" s="43">
        <f t="shared" si="52"/>
        <v>44.145605840731037</v>
      </c>
      <c r="N205" s="43">
        <f t="shared" si="54"/>
        <v>21.73613504370428</v>
      </c>
      <c r="O205" s="43">
        <f t="shared" si="55"/>
        <v>22.134217974557465</v>
      </c>
      <c r="P205" s="43">
        <f t="shared" si="56"/>
        <v>22.532116331731036</v>
      </c>
      <c r="Q205" s="50">
        <f t="shared" si="57"/>
        <v>-3.6914735922977115E-4</v>
      </c>
      <c r="R205" s="50">
        <f t="shared" si="58"/>
        <v>0.79635043538598538</v>
      </c>
      <c r="S205" s="43">
        <f t="shared" si="59"/>
        <v>-1</v>
      </c>
      <c r="T205" s="43">
        <f t="shared" si="60"/>
        <v>21.73613504370428</v>
      </c>
      <c r="U205" s="43">
        <f t="shared" si="61"/>
        <v>21.73613504370428</v>
      </c>
      <c r="V205" s="41">
        <f t="shared" si="62"/>
        <v>1771.0730140000001</v>
      </c>
    </row>
    <row r="206" spans="2:22" x14ac:dyDescent="0.45">
      <c r="B206" s="11">
        <v>89</v>
      </c>
      <c r="C206" s="11">
        <v>2</v>
      </c>
      <c r="D206" s="11">
        <v>88</v>
      </c>
      <c r="E206" s="41">
        <f t="shared" si="45"/>
        <v>1775.6254719999999</v>
      </c>
      <c r="F206" s="41">
        <f t="shared" si="46"/>
        <v>1776.2859720000001</v>
      </c>
      <c r="G206" s="41">
        <f t="shared" si="53"/>
        <v>1775.9557220000002</v>
      </c>
      <c r="H206" s="43">
        <f t="shared" si="47"/>
        <v>21.613489509000001</v>
      </c>
      <c r="I206" s="43">
        <f t="shared" si="48"/>
        <v>21.561279327999983</v>
      </c>
      <c r="J206" s="43">
        <f t="shared" si="49"/>
        <v>21.509069147000002</v>
      </c>
      <c r="K206" s="43">
        <f t="shared" si="50"/>
        <v>44.145605840731037</v>
      </c>
      <c r="L206" s="43">
        <f t="shared" si="51"/>
        <v>44.14368557276719</v>
      </c>
      <c r="M206" s="43">
        <f t="shared" si="52"/>
        <v>44.141761419512648</v>
      </c>
      <c r="N206" s="43">
        <f t="shared" si="54"/>
        <v>22.532116331731036</v>
      </c>
      <c r="O206" s="43">
        <f t="shared" si="55"/>
        <v>22.582406244767206</v>
      </c>
      <c r="P206" s="43">
        <f t="shared" si="56"/>
        <v>22.632692272512646</v>
      </c>
      <c r="Q206" s="50">
        <f t="shared" si="57"/>
        <v>-7.770581461841175E-6</v>
      </c>
      <c r="R206" s="50">
        <f t="shared" si="58"/>
        <v>0.10058371136307187</v>
      </c>
      <c r="S206" s="43">
        <f t="shared" si="59"/>
        <v>-1</v>
      </c>
      <c r="T206" s="43">
        <f t="shared" si="60"/>
        <v>22.532116331731036</v>
      </c>
      <c r="U206" s="43">
        <f t="shared" si="61"/>
        <v>22.532116331731036</v>
      </c>
      <c r="V206" s="41">
        <f t="shared" si="62"/>
        <v>1775.6254719999999</v>
      </c>
    </row>
    <row r="207" spans="2:22" x14ac:dyDescent="0.45">
      <c r="B207" s="11">
        <v>90</v>
      </c>
      <c r="C207" s="11">
        <v>2</v>
      </c>
      <c r="D207" s="11">
        <v>89</v>
      </c>
      <c r="E207" s="41">
        <f t="shared" si="45"/>
        <v>1776.2859720000001</v>
      </c>
      <c r="F207" s="41">
        <f t="shared" si="46"/>
        <v>1777.0893020000001</v>
      </c>
      <c r="G207" s="41">
        <f t="shared" si="53"/>
        <v>1776.687637</v>
      </c>
      <c r="H207" s="43">
        <f t="shared" si="47"/>
        <v>21.509069147000002</v>
      </c>
      <c r="I207" s="43">
        <f t="shared" si="48"/>
        <v>21.492001830500005</v>
      </c>
      <c r="J207" s="43">
        <f t="shared" si="49"/>
        <v>21.474934514000001</v>
      </c>
      <c r="K207" s="43">
        <f t="shared" si="50"/>
        <v>44.141761419512648</v>
      </c>
      <c r="L207" s="43">
        <f t="shared" si="51"/>
        <v>44.139415940824179</v>
      </c>
      <c r="M207" s="43">
        <f t="shared" si="52"/>
        <v>44.137064714809519</v>
      </c>
      <c r="N207" s="43">
        <f t="shared" si="54"/>
        <v>22.632692272512646</v>
      </c>
      <c r="O207" s="43">
        <f t="shared" si="55"/>
        <v>22.647414110324174</v>
      </c>
      <c r="P207" s="43">
        <f t="shared" si="56"/>
        <v>22.662130200809518</v>
      </c>
      <c r="Q207" s="50">
        <f t="shared" si="57"/>
        <v>-1.1494652369492542E-5</v>
      </c>
      <c r="R207" s="50">
        <f t="shared" si="58"/>
        <v>2.9449422949241466E-2</v>
      </c>
      <c r="S207" s="43">
        <f t="shared" si="59"/>
        <v>-1</v>
      </c>
      <c r="T207" s="43">
        <f t="shared" si="60"/>
        <v>22.632692272512646</v>
      </c>
      <c r="U207" s="43">
        <f t="shared" si="61"/>
        <v>22.632692272512646</v>
      </c>
      <c r="V207" s="41">
        <f t="shared" si="62"/>
        <v>1776.2859720000001</v>
      </c>
    </row>
    <row r="208" spans="2:22" x14ac:dyDescent="0.45">
      <c r="B208" s="11">
        <v>91</v>
      </c>
      <c r="C208" s="11">
        <v>2</v>
      </c>
      <c r="D208" s="11">
        <v>90</v>
      </c>
      <c r="E208" s="41">
        <f t="shared" si="45"/>
        <v>1777.0893020000001</v>
      </c>
      <c r="F208" s="41">
        <f t="shared" si="46"/>
        <v>1779.737306</v>
      </c>
      <c r="G208" s="41">
        <f t="shared" si="53"/>
        <v>1778.4133040000002</v>
      </c>
      <c r="H208" s="43">
        <f t="shared" si="47"/>
        <v>21.474934514000001</v>
      </c>
      <c r="I208" s="43">
        <f t="shared" si="48"/>
        <v>21.451515023999999</v>
      </c>
      <c r="J208" s="43">
        <f t="shared" si="49"/>
        <v>21.428095534000001</v>
      </c>
      <c r="K208" s="43">
        <f t="shared" si="50"/>
        <v>44.137064714809519</v>
      </c>
      <c r="L208" s="43">
        <f t="shared" si="51"/>
        <v>44.129273709440028</v>
      </c>
      <c r="M208" s="43">
        <f t="shared" si="52"/>
        <v>44.121420256557379</v>
      </c>
      <c r="N208" s="43">
        <f t="shared" si="54"/>
        <v>22.662130200809518</v>
      </c>
      <c r="O208" s="43">
        <f t="shared" si="55"/>
        <v>22.677758685440029</v>
      </c>
      <c r="P208" s="43">
        <f t="shared" si="56"/>
        <v>22.693324722557378</v>
      </c>
      <c r="Q208" s="50">
        <f t="shared" si="57"/>
        <v>-1.248950263246229E-4</v>
      </c>
      <c r="R208" s="50">
        <f t="shared" si="58"/>
        <v>3.1319416774184816E-2</v>
      </c>
      <c r="S208" s="43">
        <f t="shared" si="59"/>
        <v>-1</v>
      </c>
      <c r="T208" s="43">
        <f t="shared" si="60"/>
        <v>22.662130200809518</v>
      </c>
      <c r="U208" s="43">
        <f t="shared" si="61"/>
        <v>22.662130200809518</v>
      </c>
      <c r="V208" s="41">
        <f t="shared" si="62"/>
        <v>1777.0893020000001</v>
      </c>
    </row>
    <row r="209" spans="2:22" x14ac:dyDescent="0.45">
      <c r="B209" s="11">
        <v>92</v>
      </c>
      <c r="C209" s="11">
        <v>2</v>
      </c>
      <c r="D209" s="11">
        <v>91</v>
      </c>
      <c r="E209" s="41">
        <f t="shared" si="45"/>
        <v>1779.737306</v>
      </c>
      <c r="F209" s="41">
        <f t="shared" si="46"/>
        <v>1780.8002180000001</v>
      </c>
      <c r="G209" s="41">
        <f t="shared" si="53"/>
        <v>1780.2687620000002</v>
      </c>
      <c r="H209" s="43">
        <f t="shared" si="47"/>
        <v>21.428095534000001</v>
      </c>
      <c r="I209" s="43">
        <f t="shared" si="48"/>
        <v>21.369906383499988</v>
      </c>
      <c r="J209" s="43">
        <f t="shared" si="49"/>
        <v>21.311717233</v>
      </c>
      <c r="K209" s="43">
        <f t="shared" si="50"/>
        <v>44.121420256557379</v>
      </c>
      <c r="L209" s="43">
        <f t="shared" si="51"/>
        <v>44.118250306979668</v>
      </c>
      <c r="M209" s="43">
        <f t="shared" si="52"/>
        <v>44.115070295675764</v>
      </c>
      <c r="N209" s="43">
        <f t="shared" si="54"/>
        <v>22.693324722557378</v>
      </c>
      <c r="O209" s="43">
        <f t="shared" si="55"/>
        <v>22.74834392347968</v>
      </c>
      <c r="P209" s="43">
        <f t="shared" si="56"/>
        <v>22.803353062675765</v>
      </c>
      <c r="Q209" s="50">
        <f t="shared" si="57"/>
        <v>-2.0123452436848766E-5</v>
      </c>
      <c r="R209" s="50">
        <f t="shared" si="58"/>
        <v>0.11004846357082343</v>
      </c>
      <c r="S209" s="43">
        <f t="shared" si="59"/>
        <v>-1</v>
      </c>
      <c r="T209" s="43">
        <f t="shared" si="60"/>
        <v>22.693324722557378</v>
      </c>
      <c r="U209" s="43">
        <f t="shared" si="61"/>
        <v>22.693324722557378</v>
      </c>
      <c r="V209" s="41">
        <f t="shared" si="62"/>
        <v>1779.737306</v>
      </c>
    </row>
    <row r="210" spans="2:22" x14ac:dyDescent="0.45">
      <c r="B210" s="11">
        <v>93</v>
      </c>
      <c r="C210" s="11">
        <v>2</v>
      </c>
      <c r="D210" s="11">
        <v>92</v>
      </c>
      <c r="E210" s="41">
        <f t="shared" si="45"/>
        <v>1780.8002180000001</v>
      </c>
      <c r="F210" s="41">
        <f t="shared" si="46"/>
        <v>1782.0551070000001</v>
      </c>
      <c r="G210" s="41">
        <f t="shared" si="53"/>
        <v>1781.4276625000002</v>
      </c>
      <c r="H210" s="43">
        <f t="shared" si="47"/>
        <v>21.311717233</v>
      </c>
      <c r="I210" s="43">
        <f t="shared" si="48"/>
        <v>21.230728334999984</v>
      </c>
      <c r="J210" s="43">
        <f t="shared" si="49"/>
        <v>21.149739437000001</v>
      </c>
      <c r="K210" s="43">
        <f t="shared" si="50"/>
        <v>44.115070295675764</v>
      </c>
      <c r="L210" s="43">
        <f t="shared" si="51"/>
        <v>44.111302977399475</v>
      </c>
      <c r="M210" s="43">
        <f t="shared" si="52"/>
        <v>44.107521634587265</v>
      </c>
      <c r="N210" s="43">
        <f t="shared" si="54"/>
        <v>22.803353062675765</v>
      </c>
      <c r="O210" s="43">
        <f t="shared" si="55"/>
        <v>22.880574642399491</v>
      </c>
      <c r="P210" s="43">
        <f t="shared" si="56"/>
        <v>22.957782197587264</v>
      </c>
      <c r="Q210" s="50">
        <f t="shared" si="57"/>
        <v>-2.8049071907787493E-5</v>
      </c>
      <c r="R210" s="50">
        <f t="shared" si="58"/>
        <v>0.15445718398340702</v>
      </c>
      <c r="S210" s="43">
        <f t="shared" si="59"/>
        <v>-1</v>
      </c>
      <c r="T210" s="43">
        <f t="shared" si="60"/>
        <v>22.803353062675765</v>
      </c>
      <c r="U210" s="43">
        <f t="shared" si="61"/>
        <v>22.803353062675765</v>
      </c>
      <c r="V210" s="41">
        <f t="shared" si="62"/>
        <v>1780.8002180000001</v>
      </c>
    </row>
    <row r="211" spans="2:22" x14ac:dyDescent="0.45">
      <c r="B211" s="11">
        <v>94</v>
      </c>
      <c r="C211" s="11">
        <v>2</v>
      </c>
      <c r="D211" s="11">
        <v>93</v>
      </c>
      <c r="E211" s="41">
        <f t="shared" si="45"/>
        <v>1782.0551070000001</v>
      </c>
      <c r="F211" s="41">
        <f t="shared" si="46"/>
        <v>1784.5521080000001</v>
      </c>
      <c r="G211" s="41">
        <f t="shared" si="53"/>
        <v>1783.3036075</v>
      </c>
      <c r="H211" s="43">
        <f t="shared" si="47"/>
        <v>21.149739437000001</v>
      </c>
      <c r="I211" s="43">
        <f t="shared" si="48"/>
        <v>21.261805459999991</v>
      </c>
      <c r="J211" s="43">
        <f t="shared" si="49"/>
        <v>21.373871482999999</v>
      </c>
      <c r="K211" s="43">
        <f t="shared" si="50"/>
        <v>44.107521634587265</v>
      </c>
      <c r="L211" s="43">
        <f t="shared" si="51"/>
        <v>44.099955732404247</v>
      </c>
      <c r="M211" s="43">
        <f t="shared" si="52"/>
        <v>44.092334301802381</v>
      </c>
      <c r="N211" s="43">
        <f t="shared" si="54"/>
        <v>22.957782197587264</v>
      </c>
      <c r="O211" s="43">
        <f t="shared" si="55"/>
        <v>22.838150272404256</v>
      </c>
      <c r="P211" s="43">
        <f t="shared" si="56"/>
        <v>22.718462818802383</v>
      </c>
      <c r="Q211" s="50">
        <f t="shared" si="57"/>
        <v>-1.1105683773138253E-4</v>
      </c>
      <c r="R211" s="50">
        <f t="shared" si="58"/>
        <v>-0.23920832194714947</v>
      </c>
      <c r="S211" s="43">
        <f t="shared" si="59"/>
        <v>-1</v>
      </c>
      <c r="T211" s="43">
        <f t="shared" si="60"/>
        <v>22.957782197587264</v>
      </c>
      <c r="U211" s="43">
        <f t="shared" si="61"/>
        <v>22.718462818802383</v>
      </c>
      <c r="V211" s="41">
        <f t="shared" si="62"/>
        <v>1784.5521080000001</v>
      </c>
    </row>
    <row r="212" spans="2:22" x14ac:dyDescent="0.45">
      <c r="B212" s="11">
        <v>95</v>
      </c>
      <c r="C212" s="11">
        <v>2</v>
      </c>
      <c r="D212" s="11">
        <v>94</v>
      </c>
      <c r="E212" s="41">
        <f t="shared" si="45"/>
        <v>1784.5521080000001</v>
      </c>
      <c r="F212" s="41">
        <f t="shared" si="46"/>
        <v>1785.117739</v>
      </c>
      <c r="G212" s="41">
        <f t="shared" si="53"/>
        <v>1784.8349235000001</v>
      </c>
      <c r="H212" s="43">
        <f t="shared" si="47"/>
        <v>21.373871482999999</v>
      </c>
      <c r="I212" s="43">
        <f t="shared" si="48"/>
        <v>21.392458368</v>
      </c>
      <c r="J212" s="43">
        <f t="shared" si="49"/>
        <v>21.411045253000001</v>
      </c>
      <c r="K212" s="43">
        <f t="shared" si="50"/>
        <v>44.092334301802381</v>
      </c>
      <c r="L212" s="43">
        <f t="shared" si="51"/>
        <v>44.090600149868621</v>
      </c>
      <c r="M212" s="43">
        <f t="shared" si="52"/>
        <v>44.088863148594811</v>
      </c>
      <c r="N212" s="43">
        <f t="shared" si="54"/>
        <v>22.718462818802383</v>
      </c>
      <c r="O212" s="43">
        <f t="shared" si="55"/>
        <v>22.698141781868621</v>
      </c>
      <c r="P212" s="43">
        <f t="shared" si="56"/>
        <v>22.67781789559481</v>
      </c>
      <c r="Q212" s="50">
        <f t="shared" si="57"/>
        <v>-5.6986800984759611E-6</v>
      </c>
      <c r="R212" s="50">
        <f t="shared" si="58"/>
        <v>-4.0639224527474482E-2</v>
      </c>
      <c r="S212" s="43">
        <f t="shared" si="59"/>
        <v>-1</v>
      </c>
      <c r="T212" s="43">
        <f t="shared" si="60"/>
        <v>22.718462818802383</v>
      </c>
      <c r="U212" s="43">
        <f t="shared" si="61"/>
        <v>22.67781789559481</v>
      </c>
      <c r="V212" s="41">
        <f t="shared" si="62"/>
        <v>1785.117739</v>
      </c>
    </row>
    <row r="213" spans="2:22" x14ac:dyDescent="0.45">
      <c r="B213" s="11">
        <v>96</v>
      </c>
      <c r="C213" s="11">
        <v>2</v>
      </c>
      <c r="D213" s="11">
        <v>95</v>
      </c>
      <c r="E213" s="41">
        <f t="shared" si="45"/>
        <v>1785.117739</v>
      </c>
      <c r="F213" s="41">
        <f t="shared" si="46"/>
        <v>1786.0682389999999</v>
      </c>
      <c r="G213" s="41">
        <f t="shared" si="53"/>
        <v>1785.592989</v>
      </c>
      <c r="H213" s="43">
        <f t="shared" si="47"/>
        <v>21.411045253000001</v>
      </c>
      <c r="I213" s="43">
        <f t="shared" si="48"/>
        <v>21.5165954245</v>
      </c>
      <c r="J213" s="43">
        <f t="shared" si="49"/>
        <v>21.622145595999999</v>
      </c>
      <c r="K213" s="43">
        <f t="shared" si="50"/>
        <v>44.088863148594811</v>
      </c>
      <c r="L213" s="43">
        <f t="shared" si="51"/>
        <v>44.085937832613062</v>
      </c>
      <c r="M213" s="43">
        <f t="shared" si="52"/>
        <v>44.08300447059262</v>
      </c>
      <c r="N213" s="43">
        <f t="shared" si="54"/>
        <v>22.67781789559481</v>
      </c>
      <c r="O213" s="43">
        <f t="shared" si="55"/>
        <v>22.569342408113062</v>
      </c>
      <c r="P213" s="43">
        <f t="shared" si="56"/>
        <v>22.460858874592621</v>
      </c>
      <c r="Q213" s="50">
        <f t="shared" si="57"/>
        <v>-1.6092077387952486E-5</v>
      </c>
      <c r="R213" s="50">
        <f t="shared" si="58"/>
        <v>-0.21694292892480149</v>
      </c>
      <c r="S213" s="43">
        <f t="shared" si="59"/>
        <v>-1</v>
      </c>
      <c r="T213" s="43">
        <f t="shared" si="60"/>
        <v>22.67781789559481</v>
      </c>
      <c r="U213" s="43">
        <f t="shared" si="61"/>
        <v>22.460858874592621</v>
      </c>
      <c r="V213" s="41">
        <f t="shared" si="62"/>
        <v>1786.0682389999999</v>
      </c>
    </row>
    <row r="214" spans="2:22" x14ac:dyDescent="0.45">
      <c r="B214" s="11">
        <v>97</v>
      </c>
      <c r="C214" s="11">
        <v>2</v>
      </c>
      <c r="D214" s="11">
        <v>96</v>
      </c>
      <c r="E214" s="41">
        <f t="shared" si="45"/>
        <v>1786.0682389999999</v>
      </c>
      <c r="F214" s="41">
        <f t="shared" si="46"/>
        <v>1791.268118</v>
      </c>
      <c r="G214" s="41">
        <f t="shared" ref="G214:G245" si="63">(E214+F214)/2</f>
        <v>1788.6681785000001</v>
      </c>
      <c r="H214" s="43">
        <f t="shared" si="47"/>
        <v>21.622145595999999</v>
      </c>
      <c r="I214" s="43">
        <f t="shared" si="48"/>
        <v>22.113409056000023</v>
      </c>
      <c r="J214" s="43">
        <f t="shared" si="49"/>
        <v>22.604672516000001</v>
      </c>
      <c r="K214" s="43">
        <f t="shared" si="50"/>
        <v>44.08300447059262</v>
      </c>
      <c r="L214" s="43">
        <f t="shared" si="51"/>
        <v>44.066814582053382</v>
      </c>
      <c r="M214" s="43">
        <f t="shared" si="52"/>
        <v>44.050383889151767</v>
      </c>
      <c r="N214" s="43">
        <f t="shared" si="54"/>
        <v>22.460858874592621</v>
      </c>
      <c r="O214" s="43">
        <f t="shared" si="55"/>
        <v>21.953405526053359</v>
      </c>
      <c r="P214" s="43">
        <f t="shared" si="56"/>
        <v>21.445711373151767</v>
      </c>
      <c r="Q214" s="50">
        <f t="shared" ref="Q214:Q245" si="64">2*(P214-2*O214+N214)</f>
        <v>-4.8160872466240789E-4</v>
      </c>
      <c r="R214" s="50">
        <f t="shared" ref="R214:R245" si="65">P214-N214-Q214</f>
        <v>-1.0146658927161916</v>
      </c>
      <c r="S214" s="43">
        <f t="shared" ref="S214:S245" si="66">IF(Q214&gt;0.000000000001,-R214/(2*Q214),-1)</f>
        <v>-1</v>
      </c>
      <c r="T214" s="43">
        <f t="shared" ref="T214:T245" si="67">IF(AND(S214&gt;0,S214&lt;1),N214+R214*S214+Q214*S214^2,N214)</f>
        <v>22.460858874592621</v>
      </c>
      <c r="U214" s="43">
        <f t="shared" ref="U214:U245" si="68">IF(F214&gt;E214,MIN(N214,P214,T214),"")</f>
        <v>21.445711373151767</v>
      </c>
      <c r="V214" s="41">
        <f t="shared" ref="V214:V245" si="69">IF(U214="","",IF(U214=N214,E214,IF(U214=P214,F214,E214+(F214-E214)*S214)))</f>
        <v>1791.268118</v>
      </c>
    </row>
    <row r="215" spans="2:22" x14ac:dyDescent="0.45">
      <c r="B215" s="11">
        <v>98</v>
      </c>
      <c r="C215" s="11">
        <v>2</v>
      </c>
      <c r="D215" s="11">
        <v>97</v>
      </c>
      <c r="E215" s="41">
        <f t="shared" si="45"/>
        <v>1791.268118</v>
      </c>
      <c r="F215" s="41">
        <f t="shared" si="46"/>
        <v>1797.2750020000001</v>
      </c>
      <c r="G215" s="41">
        <f t="shared" si="63"/>
        <v>1794.2715600000001</v>
      </c>
      <c r="H215" s="43">
        <f t="shared" si="47"/>
        <v>22.604672516000001</v>
      </c>
      <c r="I215" s="43">
        <f t="shared" si="48"/>
        <v>22.911013481500014</v>
      </c>
      <c r="J215" s="43">
        <f t="shared" si="49"/>
        <v>23.217354447000002</v>
      </c>
      <c r="K215" s="43">
        <f t="shared" si="50"/>
        <v>44.050383889151767</v>
      </c>
      <c r="L215" s="43">
        <f t="shared" si="51"/>
        <v>44.031103441459912</v>
      </c>
      <c r="M215" s="43">
        <f t="shared" si="52"/>
        <v>44.011501645202813</v>
      </c>
      <c r="N215" s="43">
        <f t="shared" si="54"/>
        <v>21.445711373151767</v>
      </c>
      <c r="O215" s="43">
        <f t="shared" si="55"/>
        <v>21.120089959959898</v>
      </c>
      <c r="P215" s="43">
        <f t="shared" si="56"/>
        <v>20.794147198202811</v>
      </c>
      <c r="Q215" s="50">
        <f t="shared" si="64"/>
        <v>-6.4269713043785259E-4</v>
      </c>
      <c r="R215" s="50">
        <f t="shared" si="65"/>
        <v>-0.6509214778185175</v>
      </c>
      <c r="S215" s="43">
        <f t="shared" si="66"/>
        <v>-1</v>
      </c>
      <c r="T215" s="43">
        <f t="shared" si="67"/>
        <v>21.445711373151767</v>
      </c>
      <c r="U215" s="43">
        <f t="shared" si="68"/>
        <v>20.794147198202811</v>
      </c>
      <c r="V215" s="41">
        <f t="shared" si="69"/>
        <v>1797.2750020000001</v>
      </c>
    </row>
    <row r="216" spans="2:22" x14ac:dyDescent="0.45">
      <c r="B216" s="11">
        <v>99</v>
      </c>
      <c r="C216" s="11">
        <v>2</v>
      </c>
      <c r="D216" s="11">
        <v>98</v>
      </c>
      <c r="E216" s="41">
        <f t="shared" si="45"/>
        <v>1797.2750020000001</v>
      </c>
      <c r="F216" s="41">
        <f t="shared" si="46"/>
        <v>1800.1551850000001</v>
      </c>
      <c r="G216" s="41">
        <f t="shared" si="63"/>
        <v>1798.7150935</v>
      </c>
      <c r="H216" s="43">
        <f t="shared" si="47"/>
        <v>23.217354447000002</v>
      </c>
      <c r="I216" s="43">
        <f t="shared" si="48"/>
        <v>23.330304401999992</v>
      </c>
      <c r="J216" s="43">
        <f t="shared" si="49"/>
        <v>23.443254357000001</v>
      </c>
      <c r="K216" s="43">
        <f t="shared" si="50"/>
        <v>44.011501645202813</v>
      </c>
      <c r="L216" s="43">
        <f t="shared" si="51"/>
        <v>44.001988989146625</v>
      </c>
      <c r="M216" s="43">
        <f t="shared" si="52"/>
        <v>43.992402454595386</v>
      </c>
      <c r="N216" s="43">
        <f t="shared" si="54"/>
        <v>20.794147198202811</v>
      </c>
      <c r="O216" s="43">
        <f t="shared" si="55"/>
        <v>20.671684587146633</v>
      </c>
      <c r="P216" s="43">
        <f t="shared" si="56"/>
        <v>20.549148097595385</v>
      </c>
      <c r="Q216" s="50">
        <f t="shared" si="64"/>
        <v>-1.4775699013824806E-4</v>
      </c>
      <c r="R216" s="50">
        <f t="shared" si="65"/>
        <v>-0.24485134361728811</v>
      </c>
      <c r="S216" s="43">
        <f t="shared" si="66"/>
        <v>-1</v>
      </c>
      <c r="T216" s="43">
        <f t="shared" si="67"/>
        <v>20.794147198202811</v>
      </c>
      <c r="U216" s="43">
        <f t="shared" si="68"/>
        <v>20.549148097595385</v>
      </c>
      <c r="V216" s="41">
        <f t="shared" si="69"/>
        <v>1800.1551850000001</v>
      </c>
    </row>
    <row r="217" spans="2:22" x14ac:dyDescent="0.45">
      <c r="B217" s="11">
        <v>100</v>
      </c>
      <c r="C217" s="11">
        <v>2</v>
      </c>
      <c r="D217" s="11">
        <v>99</v>
      </c>
      <c r="E217" s="41">
        <f t="shared" si="45"/>
        <v>1800.1551850000001</v>
      </c>
      <c r="F217" s="41">
        <f t="shared" si="46"/>
        <v>1800.4518860000001</v>
      </c>
      <c r="G217" s="41">
        <f t="shared" si="63"/>
        <v>1800.3035355000002</v>
      </c>
      <c r="H217" s="43">
        <f t="shared" si="47"/>
        <v>23.443254357000001</v>
      </c>
      <c r="I217" s="43">
        <f t="shared" si="48"/>
        <v>23.454248372000009</v>
      </c>
      <c r="J217" s="43">
        <f t="shared" si="49"/>
        <v>23.465242387</v>
      </c>
      <c r="K217" s="43">
        <f t="shared" si="50"/>
        <v>43.992402454595386</v>
      </c>
      <c r="L217" s="43">
        <f t="shared" si="51"/>
        <v>43.991410703956319</v>
      </c>
      <c r="M217" s="43">
        <f t="shared" si="52"/>
        <v>43.990418169317564</v>
      </c>
      <c r="N217" s="43">
        <f t="shared" si="54"/>
        <v>20.549148097595385</v>
      </c>
      <c r="O217" s="43">
        <f t="shared" si="55"/>
        <v>20.53716233195631</v>
      </c>
      <c r="P217" s="43">
        <f t="shared" si="56"/>
        <v>20.525175782317564</v>
      </c>
      <c r="Q217" s="50">
        <f t="shared" si="64"/>
        <v>-1.567999341034465E-6</v>
      </c>
      <c r="R217" s="50">
        <f t="shared" si="65"/>
        <v>-2.3970747278479365E-2</v>
      </c>
      <c r="S217" s="43">
        <f t="shared" si="66"/>
        <v>-1</v>
      </c>
      <c r="T217" s="43">
        <f t="shared" si="67"/>
        <v>20.549148097595385</v>
      </c>
      <c r="U217" s="43">
        <f t="shared" si="68"/>
        <v>20.525175782317564</v>
      </c>
      <c r="V217" s="41">
        <f t="shared" si="69"/>
        <v>1800.4518860000001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A96A3"/>
  </sheetPr>
  <dimension ref="B1:M29"/>
  <sheetViews>
    <sheetView showGridLines="0" workbookViewId="0"/>
  </sheetViews>
  <sheetFormatPr defaultRowHeight="14.25" x14ac:dyDescent="0.45"/>
  <cols>
    <col min="1" max="1" width="2" customWidth="1"/>
    <col min="2" max="13" width="11.46484375" customWidth="1"/>
  </cols>
  <sheetData>
    <row r="1" spans="2:13" ht="20.65" x14ac:dyDescent="0.6">
      <c r="B1" s="35" t="s">
        <v>1232</v>
      </c>
    </row>
    <row r="2" spans="2:13" x14ac:dyDescent="0.45">
      <c r="B2" s="8" t="s">
        <v>1233</v>
      </c>
    </row>
    <row r="4" spans="2:13" ht="42.6" customHeight="1" x14ac:dyDescent="0.45">
      <c r="B4" s="76" t="s">
        <v>1234</v>
      </c>
      <c r="C4" s="75"/>
      <c r="D4" s="75"/>
      <c r="E4" s="75"/>
      <c r="F4" s="75"/>
      <c r="G4" s="75"/>
      <c r="H4" s="75"/>
      <c r="I4" s="75"/>
      <c r="J4" s="75"/>
      <c r="K4" s="75"/>
      <c r="L4" s="75"/>
      <c r="M4" s="75"/>
    </row>
    <row r="5" spans="2:13" ht="15" customHeight="1" x14ac:dyDescent="0.45"/>
    <row r="6" spans="2:13" ht="15" customHeight="1" x14ac:dyDescent="0.45"/>
    <row r="7" spans="2:13" ht="15" customHeight="1" x14ac:dyDescent="0.45"/>
    <row r="8" spans="2:13" ht="29.45" customHeight="1" x14ac:dyDescent="0.45">
      <c r="B8" s="76" t="s">
        <v>1235</v>
      </c>
      <c r="C8" s="75"/>
      <c r="D8" s="75"/>
      <c r="E8" s="75"/>
      <c r="F8" s="75"/>
      <c r="G8" s="75"/>
      <c r="H8" s="75"/>
      <c r="I8" s="75"/>
      <c r="J8" s="75"/>
      <c r="K8" s="75"/>
      <c r="L8" s="75"/>
      <c r="M8" s="75"/>
    </row>
    <row r="9" spans="2:13" ht="15" customHeight="1" x14ac:dyDescent="0.45"/>
    <row r="10" spans="2:13" ht="15" customHeight="1" x14ac:dyDescent="0.45"/>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15" customHeight="1" x14ac:dyDescent="0.45"/>
    <row r="26" spans="2:13" ht="15" customHeight="1" x14ac:dyDescent="0.45"/>
    <row r="27" spans="2:13" ht="15" customHeight="1" x14ac:dyDescent="0.45"/>
    <row r="28" spans="2:13" ht="16.25" customHeight="1" x14ac:dyDescent="0.45">
      <c r="B28" s="74" t="s">
        <v>1236</v>
      </c>
      <c r="C28" s="75"/>
      <c r="D28" s="75"/>
      <c r="E28" s="75"/>
      <c r="F28" s="75"/>
      <c r="G28" s="75"/>
      <c r="H28" s="75"/>
      <c r="I28" s="75"/>
      <c r="J28" s="75"/>
      <c r="K28" s="75"/>
      <c r="L28" s="75"/>
      <c r="M28" s="75"/>
    </row>
    <row r="29" spans="2:13" ht="29.45" customHeight="1" x14ac:dyDescent="0.45">
      <c r="B29" s="76" t="s">
        <v>1237</v>
      </c>
      <c r="C29" s="75"/>
      <c r="D29" s="75"/>
      <c r="E29" s="75"/>
      <c r="F29" s="75"/>
      <c r="G29" s="75"/>
      <c r="H29" s="75"/>
      <c r="I29" s="75"/>
      <c r="J29" s="75"/>
      <c r="K29" s="75"/>
      <c r="L29" s="75"/>
      <c r="M29" s="75"/>
    </row>
  </sheetData>
  <mergeCells count="4">
    <mergeCell ref="B8:M8"/>
    <mergeCell ref="B4:M4"/>
    <mergeCell ref="B29:M29"/>
    <mergeCell ref="B28:M28"/>
  </mergeCells>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0392B"/>
  </sheetPr>
  <dimension ref="A1:O25"/>
  <sheetViews>
    <sheetView showGridLines="0" workbookViewId="0"/>
  </sheetViews>
  <sheetFormatPr defaultRowHeight="14.25" x14ac:dyDescent="0.45"/>
  <cols>
    <col min="1" max="1" width="30" customWidth="1"/>
    <col min="2" max="2" width="10" customWidth="1"/>
    <col min="3" max="15" width="10.46484375" customWidth="1"/>
  </cols>
  <sheetData>
    <row r="1" spans="1:15" ht="17.649999999999999" x14ac:dyDescent="0.5">
      <c r="A1" s="15" t="s">
        <v>1238</v>
      </c>
      <c r="N1" s="37" t="str">
        <f>"JOB #: "&amp;TB_JobNo</f>
        <v xml:space="preserve">JOB #: </v>
      </c>
    </row>
    <row r="2" spans="1:15" x14ac:dyDescent="0.45">
      <c r="A2" s="8" t="s">
        <v>1239</v>
      </c>
      <c r="N2" s="37" t="str">
        <f>"PROJECT NAME: "&amp;TB_Project</f>
        <v>PROJECT NAME: D2 I-95 Pedestrian Bridge</v>
      </c>
    </row>
    <row r="3" spans="1:15" x14ac:dyDescent="0.45">
      <c r="N3" s="37" t="str">
        <f>"SUBJECT: "&amp;"FINISH GRADE ELEVATIONS"</f>
        <v>SUBJECT: FINISH GRADE ELEVATIONS</v>
      </c>
    </row>
    <row r="4" spans="1:15" x14ac:dyDescent="0.45">
      <c r="N4" s="37" t="str">
        <f>"CALCULATED BY: "&amp;TB_CalcBy&amp;"   "&amp;TB_CalcDate</f>
        <v xml:space="preserve">CALCULATED BY:    </v>
      </c>
    </row>
    <row r="5" spans="1:15" x14ac:dyDescent="0.45">
      <c r="N5" s="37" t="str">
        <f>"CHECKED BY: "&amp;TB_CheckBy&amp;"   "&amp;TB_CheckDate</f>
        <v xml:space="preserve">CHECKED BY:    </v>
      </c>
    </row>
    <row r="7" spans="1:15" x14ac:dyDescent="0.45">
      <c r="A7" s="6" t="s">
        <v>1240</v>
      </c>
    </row>
    <row r="8" spans="1:15" ht="30" customHeight="1" x14ac:dyDescent="0.45">
      <c r="A8" s="19" t="s">
        <v>1241</v>
      </c>
      <c r="B8" s="19" t="s">
        <v>1242</v>
      </c>
      <c r="C8" s="19" t="s">
        <v>939</v>
      </c>
      <c r="D8" s="19" t="s">
        <v>1243</v>
      </c>
      <c r="E8" s="19" t="s">
        <v>941</v>
      </c>
      <c r="F8" s="19" t="s">
        <v>942</v>
      </c>
      <c r="G8" s="19" t="s">
        <v>943</v>
      </c>
      <c r="H8" s="19" t="s">
        <v>944</v>
      </c>
      <c r="I8" s="19" t="s">
        <v>945</v>
      </c>
      <c r="J8" s="19" t="s">
        <v>946</v>
      </c>
      <c r="K8" s="19" t="s">
        <v>947</v>
      </c>
      <c r="L8" s="19" t="s">
        <v>948</v>
      </c>
      <c r="M8" s="19" t="s">
        <v>949</v>
      </c>
      <c r="N8" s="19" t="s">
        <v>1243</v>
      </c>
      <c r="O8" s="19" t="s">
        <v>1244</v>
      </c>
    </row>
    <row r="9" spans="1:15" x14ac:dyDescent="0.45">
      <c r="A9" s="62" t="s">
        <v>1245</v>
      </c>
      <c r="B9" s="63">
        <f>FGE!C17</f>
        <v>10.547499999999991</v>
      </c>
      <c r="C9" s="64" t="str">
        <f>FGE!E9</f>
        <v>15+93.22</v>
      </c>
      <c r="D9" s="64" t="str">
        <f>FGE!F9</f>
        <v>15+94.22</v>
      </c>
      <c r="E9" s="64" t="str">
        <f>FGE!G9</f>
        <v>16+04.77</v>
      </c>
      <c r="F9" s="64" t="str">
        <f>FGE!H9</f>
        <v>16+15.32</v>
      </c>
      <c r="G9" s="64" t="str">
        <f>FGE!I9</f>
        <v>16+25.86</v>
      </c>
      <c r="H9" s="64" t="str">
        <f>FGE!J9</f>
        <v>16+36.41</v>
      </c>
      <c r="I9" s="64" t="str">
        <f>FGE!K9</f>
        <v>16+46.96</v>
      </c>
      <c r="J9" s="64" t="str">
        <f>FGE!L9</f>
        <v>16+57.51</v>
      </c>
      <c r="K9" s="64" t="str">
        <f>FGE!M9</f>
        <v>16+68.05</v>
      </c>
      <c r="L9" s="64" t="str">
        <f>FGE!N9</f>
        <v>16+78.60</v>
      </c>
      <c r="M9" s="64" t="str">
        <f>FGE!O9</f>
        <v>16+89.15</v>
      </c>
      <c r="N9" s="64" t="str">
        <f>FGE!P9</f>
        <v>16+99.70</v>
      </c>
      <c r="O9" s="64" t="str">
        <f>FGE!Q9</f>
        <v>17+00.57</v>
      </c>
    </row>
    <row r="10" spans="1:15" x14ac:dyDescent="0.45">
      <c r="A10" s="65" t="s">
        <v>1246</v>
      </c>
      <c r="B10" s="66"/>
      <c r="C10" s="63">
        <f>FGE!E12</f>
        <v>47.525166666666671</v>
      </c>
      <c r="D10" s="63">
        <f>FGE!F12</f>
        <v>47.530165502251208</v>
      </c>
      <c r="E10" s="63">
        <f>FGE!G12</f>
        <v>47.582890720579108</v>
      </c>
      <c r="F10" s="63">
        <f>FGE!H12</f>
        <v>47.635615938907009</v>
      </c>
      <c r="G10" s="63">
        <f>FGE!I12</f>
        <v>47.688341157234909</v>
      </c>
      <c r="H10" s="63">
        <f>FGE!J12</f>
        <v>47.741066375562802</v>
      </c>
      <c r="I10" s="63">
        <f>FGE!K12</f>
        <v>47.793791593890703</v>
      </c>
      <c r="J10" s="63">
        <f>FGE!L12</f>
        <v>47.846516812218603</v>
      </c>
      <c r="K10" s="63">
        <f>FGE!M12</f>
        <v>47.899242030546503</v>
      </c>
      <c r="L10" s="63">
        <f>FGE!N12</f>
        <v>47.951967248874404</v>
      </c>
      <c r="M10" s="63">
        <f>FGE!O12</f>
        <v>48.004692467202304</v>
      </c>
      <c r="N10" s="63">
        <f>FGE!P12</f>
        <v>48.057417685530204</v>
      </c>
      <c r="O10" s="63">
        <f>FGE!Q12</f>
        <v>48.061791666666672</v>
      </c>
    </row>
    <row r="11" spans="1:15" x14ac:dyDescent="0.45">
      <c r="A11" s="65" t="s">
        <v>1247</v>
      </c>
      <c r="B11" s="66"/>
      <c r="C11" s="63">
        <f>FGE!E13</f>
        <v>47.575166666666668</v>
      </c>
      <c r="D11" s="63">
        <f>FGE!F13</f>
        <v>47.580165502251205</v>
      </c>
      <c r="E11" s="63">
        <f>FGE!G13</f>
        <v>47.632890720579105</v>
      </c>
      <c r="F11" s="63">
        <f>FGE!H13</f>
        <v>47.685615938907006</v>
      </c>
      <c r="G11" s="63">
        <f>FGE!I13</f>
        <v>47.738341157234906</v>
      </c>
      <c r="H11" s="63">
        <f>FGE!J13</f>
        <v>47.791066375562799</v>
      </c>
      <c r="I11" s="63">
        <f>FGE!K13</f>
        <v>47.8437915938907</v>
      </c>
      <c r="J11" s="63">
        <f>FGE!L13</f>
        <v>47.8965168122186</v>
      </c>
      <c r="K11" s="63">
        <f>FGE!M13</f>
        <v>47.9492420305465</v>
      </c>
      <c r="L11" s="63">
        <f>FGE!N13</f>
        <v>48.001967248874401</v>
      </c>
      <c r="M11" s="63">
        <f>FGE!O13</f>
        <v>48.054692467202301</v>
      </c>
      <c r="N11" s="63">
        <f>FGE!P13</f>
        <v>48.107417685530201</v>
      </c>
      <c r="O11" s="63">
        <f>FGE!Q13</f>
        <v>48.111791666666669</v>
      </c>
    </row>
    <row r="12" spans="1:15" x14ac:dyDescent="0.45">
      <c r="A12" s="65" t="s">
        <v>955</v>
      </c>
      <c r="B12" s="66"/>
      <c r="C12" s="63">
        <f>FGE!E14</f>
        <v>47.661000000000001</v>
      </c>
      <c r="D12" s="63">
        <f>FGE!F14</f>
        <v>47.665998835584539</v>
      </c>
      <c r="E12" s="63">
        <f>FGE!G14</f>
        <v>47.718724053912439</v>
      </c>
      <c r="F12" s="63">
        <f>FGE!H14</f>
        <v>47.771449272240339</v>
      </c>
      <c r="G12" s="63">
        <f>FGE!I14</f>
        <v>47.82417449056824</v>
      </c>
      <c r="H12" s="63">
        <f>FGE!J14</f>
        <v>47.876899708896133</v>
      </c>
      <c r="I12" s="63">
        <f>FGE!K14</f>
        <v>47.929624927224033</v>
      </c>
      <c r="J12" s="63">
        <f>FGE!L14</f>
        <v>47.982350145551933</v>
      </c>
      <c r="K12" s="63">
        <f>FGE!M14</f>
        <v>48.035075363879834</v>
      </c>
      <c r="L12" s="63">
        <f>FGE!N14</f>
        <v>48.087800582207734</v>
      </c>
      <c r="M12" s="63">
        <f>FGE!O14</f>
        <v>48.140525800535634</v>
      </c>
      <c r="N12" s="63">
        <f>FGE!P14</f>
        <v>48.193251018863535</v>
      </c>
      <c r="O12" s="63">
        <f>FGE!Q14</f>
        <v>48.197625000000002</v>
      </c>
    </row>
    <row r="13" spans="1:15" x14ac:dyDescent="0.45">
      <c r="A13" s="65" t="s">
        <v>1248</v>
      </c>
      <c r="B13" s="66"/>
      <c r="C13" s="63">
        <f>FGE!E15</f>
        <v>47.575166666666668</v>
      </c>
      <c r="D13" s="63">
        <f>FGE!F15</f>
        <v>47.580165502251205</v>
      </c>
      <c r="E13" s="63">
        <f>FGE!G15</f>
        <v>47.632890720579105</v>
      </c>
      <c r="F13" s="63">
        <f>FGE!H15</f>
        <v>47.685615938907006</v>
      </c>
      <c r="G13" s="63">
        <f>FGE!I15</f>
        <v>47.738341157234906</v>
      </c>
      <c r="H13" s="63">
        <f>FGE!J15</f>
        <v>47.791066375562799</v>
      </c>
      <c r="I13" s="63">
        <f>FGE!K15</f>
        <v>47.8437915938907</v>
      </c>
      <c r="J13" s="63">
        <f>FGE!L15</f>
        <v>47.8965168122186</v>
      </c>
      <c r="K13" s="63">
        <f>FGE!M15</f>
        <v>47.9492420305465</v>
      </c>
      <c r="L13" s="63">
        <f>FGE!N15</f>
        <v>48.001967248874401</v>
      </c>
      <c r="M13" s="63">
        <f>FGE!O15</f>
        <v>48.054692467202301</v>
      </c>
      <c r="N13" s="63">
        <f>FGE!P15</f>
        <v>48.107417685530201</v>
      </c>
      <c r="O13" s="63">
        <f>FGE!Q15</f>
        <v>48.111791666666669</v>
      </c>
    </row>
    <row r="14" spans="1:15" x14ac:dyDescent="0.45">
      <c r="A14" s="65" t="s">
        <v>1249</v>
      </c>
      <c r="B14" s="66"/>
      <c r="C14" s="63">
        <f>FGE!E16</f>
        <v>47.525166666666671</v>
      </c>
      <c r="D14" s="63">
        <f>FGE!F16</f>
        <v>47.530165502251208</v>
      </c>
      <c r="E14" s="63">
        <f>FGE!G16</f>
        <v>47.582890720579108</v>
      </c>
      <c r="F14" s="63">
        <f>FGE!H16</f>
        <v>47.635615938907009</v>
      </c>
      <c r="G14" s="63">
        <f>FGE!I16</f>
        <v>47.688341157234909</v>
      </c>
      <c r="H14" s="63">
        <f>FGE!J16</f>
        <v>47.741066375562802</v>
      </c>
      <c r="I14" s="63">
        <f>FGE!K16</f>
        <v>47.793791593890703</v>
      </c>
      <c r="J14" s="63">
        <f>FGE!L16</f>
        <v>47.846516812218603</v>
      </c>
      <c r="K14" s="63">
        <f>FGE!M16</f>
        <v>47.899242030546503</v>
      </c>
      <c r="L14" s="63">
        <f>FGE!N16</f>
        <v>47.951967248874404</v>
      </c>
      <c r="M14" s="63">
        <f>FGE!O16</f>
        <v>48.004692467202304</v>
      </c>
      <c r="N14" s="63">
        <f>FGE!P16</f>
        <v>48.057417685530204</v>
      </c>
      <c r="O14" s="63">
        <f>FGE!Q16</f>
        <v>48.061791666666672</v>
      </c>
    </row>
    <row r="15" spans="1:15" x14ac:dyDescent="0.45">
      <c r="A15" s="8" t="s">
        <v>1250</v>
      </c>
    </row>
    <row r="17" spans="1:15" x14ac:dyDescent="0.45">
      <c r="A17" s="6" t="s">
        <v>1251</v>
      </c>
    </row>
    <row r="18" spans="1:15" ht="30" customHeight="1" x14ac:dyDescent="0.45">
      <c r="A18" s="19" t="s">
        <v>1241</v>
      </c>
      <c r="B18" s="19" t="s">
        <v>1242</v>
      </c>
      <c r="C18" s="19" t="s">
        <v>1244</v>
      </c>
      <c r="D18" s="19" t="s">
        <v>1243</v>
      </c>
      <c r="E18" s="19" t="s">
        <v>941</v>
      </c>
      <c r="F18" s="19" t="s">
        <v>942</v>
      </c>
      <c r="G18" s="19" t="s">
        <v>943</v>
      </c>
      <c r="H18" s="19" t="s">
        <v>944</v>
      </c>
      <c r="I18" s="19" t="s">
        <v>945</v>
      </c>
      <c r="J18" s="19" t="s">
        <v>946</v>
      </c>
      <c r="K18" s="19" t="s">
        <v>947</v>
      </c>
      <c r="L18" s="19" t="s">
        <v>948</v>
      </c>
      <c r="M18" s="19" t="s">
        <v>949</v>
      </c>
      <c r="N18" s="19" t="s">
        <v>1243</v>
      </c>
      <c r="O18" s="19" t="s">
        <v>959</v>
      </c>
    </row>
    <row r="19" spans="1:15" x14ac:dyDescent="0.45">
      <c r="A19" s="62" t="s">
        <v>1245</v>
      </c>
      <c r="B19" s="63">
        <f>FGE!C30</f>
        <v>10.302500000000009</v>
      </c>
      <c r="C19" s="64" t="str">
        <f>FGE!E22</f>
        <v>17+00.57</v>
      </c>
      <c r="D19" s="64" t="str">
        <f>FGE!F22</f>
        <v>17+01.45</v>
      </c>
      <c r="E19" s="64" t="str">
        <f>FGE!G22</f>
        <v>17+11.75</v>
      </c>
      <c r="F19" s="64" t="str">
        <f>FGE!H22</f>
        <v>17+22.05</v>
      </c>
      <c r="G19" s="64" t="str">
        <f>FGE!I22</f>
        <v>17+32.35</v>
      </c>
      <c r="H19" s="64" t="str">
        <f>FGE!J22</f>
        <v>17+42.66</v>
      </c>
      <c r="I19" s="64" t="str">
        <f>FGE!K22</f>
        <v>17+52.96</v>
      </c>
      <c r="J19" s="64" t="str">
        <f>FGE!L22</f>
        <v>17+63.26</v>
      </c>
      <c r="K19" s="64" t="str">
        <f>FGE!M22</f>
        <v>17+73.56</v>
      </c>
      <c r="L19" s="64" t="str">
        <f>FGE!N22</f>
        <v>17+83.87</v>
      </c>
      <c r="M19" s="64" t="str">
        <f>FGE!O22</f>
        <v>17+94.17</v>
      </c>
      <c r="N19" s="64" t="str">
        <f>FGE!P22</f>
        <v>18+04.47</v>
      </c>
      <c r="O19" s="64" t="str">
        <f>FGE!Q22</f>
        <v>18+05.47</v>
      </c>
    </row>
    <row r="20" spans="1:15" x14ac:dyDescent="0.45">
      <c r="A20" s="65" t="s">
        <v>1246</v>
      </c>
      <c r="B20" s="66"/>
      <c r="C20" s="63">
        <f>FGE!E25</f>
        <v>48.061791666666672</v>
      </c>
      <c r="D20" s="63">
        <f>FGE!F25</f>
        <v>48.057415624006993</v>
      </c>
      <c r="E20" s="63">
        <f>FGE!G25</f>
        <v>48.005890847434067</v>
      </c>
      <c r="F20" s="63">
        <f>FGE!H25</f>
        <v>47.954366070861141</v>
      </c>
      <c r="G20" s="63">
        <f>FGE!I25</f>
        <v>47.902841294288216</v>
      </c>
      <c r="H20" s="63">
        <f>FGE!J25</f>
        <v>47.85131651771529</v>
      </c>
      <c r="I20" s="63">
        <f>FGE!K25</f>
        <v>47.799791741142364</v>
      </c>
      <c r="J20" s="63">
        <f>FGE!L25</f>
        <v>47.748266964569439</v>
      </c>
      <c r="K20" s="63">
        <f>FGE!M25</f>
        <v>47.696742187996506</v>
      </c>
      <c r="L20" s="63">
        <f>FGE!N25</f>
        <v>47.64521741142358</v>
      </c>
      <c r="M20" s="63">
        <f>FGE!O25</f>
        <v>47.593692634850655</v>
      </c>
      <c r="N20" s="63">
        <f>FGE!P25</f>
        <v>47.542167858277729</v>
      </c>
      <c r="O20" s="63">
        <f>FGE!Q25</f>
        <v>47.537166666666671</v>
      </c>
    </row>
    <row r="21" spans="1:15" x14ac:dyDescent="0.45">
      <c r="A21" s="65" t="s">
        <v>1252</v>
      </c>
      <c r="B21" s="66"/>
      <c r="C21" s="63">
        <f>FGE!E26</f>
        <v>48.111791666666669</v>
      </c>
      <c r="D21" s="63">
        <f>FGE!F26</f>
        <v>48.10741562400699</v>
      </c>
      <c r="E21" s="63">
        <f>FGE!G26</f>
        <v>48.055890847434064</v>
      </c>
      <c r="F21" s="63">
        <f>FGE!H26</f>
        <v>48.004366070861138</v>
      </c>
      <c r="G21" s="63">
        <f>FGE!I26</f>
        <v>47.952841294288213</v>
      </c>
      <c r="H21" s="63">
        <f>FGE!J26</f>
        <v>47.901316517715287</v>
      </c>
      <c r="I21" s="63">
        <f>FGE!K26</f>
        <v>47.849791741142361</v>
      </c>
      <c r="J21" s="63">
        <f>FGE!L26</f>
        <v>47.798266964569436</v>
      </c>
      <c r="K21" s="63">
        <f>FGE!M26</f>
        <v>47.746742187996503</v>
      </c>
      <c r="L21" s="63">
        <f>FGE!N26</f>
        <v>47.695217411423577</v>
      </c>
      <c r="M21" s="63">
        <f>FGE!O26</f>
        <v>47.643692634850652</v>
      </c>
      <c r="N21" s="63">
        <f>FGE!P26</f>
        <v>47.592167858277726</v>
      </c>
      <c r="O21" s="63">
        <f>FGE!Q26</f>
        <v>47.587166666666668</v>
      </c>
    </row>
    <row r="22" spans="1:15" x14ac:dyDescent="0.45">
      <c r="A22" s="65" t="s">
        <v>955</v>
      </c>
      <c r="B22" s="66"/>
      <c r="C22" s="63">
        <f>FGE!E27</f>
        <v>48.197625000000002</v>
      </c>
      <c r="D22" s="63">
        <f>FGE!F27</f>
        <v>48.193248957340323</v>
      </c>
      <c r="E22" s="63">
        <f>FGE!G27</f>
        <v>48.141724180767397</v>
      </c>
      <c r="F22" s="63">
        <f>FGE!H27</f>
        <v>48.090199404194472</v>
      </c>
      <c r="G22" s="63">
        <f>FGE!I27</f>
        <v>48.038674627621546</v>
      </c>
      <c r="H22" s="63">
        <f>FGE!J27</f>
        <v>47.987149851048621</v>
      </c>
      <c r="I22" s="63">
        <f>FGE!K27</f>
        <v>47.935625074475695</v>
      </c>
      <c r="J22" s="63">
        <f>FGE!L27</f>
        <v>47.884100297902769</v>
      </c>
      <c r="K22" s="63">
        <f>FGE!M27</f>
        <v>47.832575521329836</v>
      </c>
      <c r="L22" s="63">
        <f>FGE!N27</f>
        <v>47.781050744756911</v>
      </c>
      <c r="M22" s="63">
        <f>FGE!O27</f>
        <v>47.729525968183985</v>
      </c>
      <c r="N22" s="63">
        <f>FGE!P27</f>
        <v>47.67800119161106</v>
      </c>
      <c r="O22" s="63">
        <f>FGE!Q27</f>
        <v>47.673000000000002</v>
      </c>
    </row>
    <row r="23" spans="1:15" x14ac:dyDescent="0.45">
      <c r="A23" s="65" t="s">
        <v>1253</v>
      </c>
      <c r="B23" s="66"/>
      <c r="C23" s="63">
        <f>FGE!E28</f>
        <v>48.111791666666669</v>
      </c>
      <c r="D23" s="63">
        <f>FGE!F28</f>
        <v>48.10741562400699</v>
      </c>
      <c r="E23" s="63">
        <f>FGE!G28</f>
        <v>48.055890847434064</v>
      </c>
      <c r="F23" s="63">
        <f>FGE!H28</f>
        <v>48.004366070861138</v>
      </c>
      <c r="G23" s="63">
        <f>FGE!I28</f>
        <v>47.952841294288213</v>
      </c>
      <c r="H23" s="63">
        <f>FGE!J28</f>
        <v>47.901316517715287</v>
      </c>
      <c r="I23" s="63">
        <f>FGE!K28</f>
        <v>47.849791741142361</v>
      </c>
      <c r="J23" s="63">
        <f>FGE!L28</f>
        <v>47.798266964569436</v>
      </c>
      <c r="K23" s="63">
        <f>FGE!M28</f>
        <v>47.746742187996503</v>
      </c>
      <c r="L23" s="63">
        <f>FGE!N28</f>
        <v>47.695217411423577</v>
      </c>
      <c r="M23" s="63">
        <f>FGE!O28</f>
        <v>47.643692634850652</v>
      </c>
      <c r="N23" s="63">
        <f>FGE!P28</f>
        <v>47.592167858277726</v>
      </c>
      <c r="O23" s="63">
        <f>FGE!Q28</f>
        <v>47.587166666666668</v>
      </c>
    </row>
    <row r="24" spans="1:15" x14ac:dyDescent="0.45">
      <c r="A24" s="65" t="s">
        <v>1249</v>
      </c>
      <c r="B24" s="66"/>
      <c r="C24" s="63">
        <f>FGE!E29</f>
        <v>48.061791666666672</v>
      </c>
      <c r="D24" s="63">
        <f>FGE!F29</f>
        <v>48.057415624006993</v>
      </c>
      <c r="E24" s="63">
        <f>FGE!G29</f>
        <v>48.005890847434067</v>
      </c>
      <c r="F24" s="63">
        <f>FGE!H29</f>
        <v>47.954366070861141</v>
      </c>
      <c r="G24" s="63">
        <f>FGE!I29</f>
        <v>47.902841294288216</v>
      </c>
      <c r="H24" s="63">
        <f>FGE!J29</f>
        <v>47.85131651771529</v>
      </c>
      <c r="I24" s="63">
        <f>FGE!K29</f>
        <v>47.799791741142364</v>
      </c>
      <c r="J24" s="63">
        <f>FGE!L29</f>
        <v>47.748266964569439</v>
      </c>
      <c r="K24" s="63">
        <f>FGE!M29</f>
        <v>47.696742187996506</v>
      </c>
      <c r="L24" s="63">
        <f>FGE!N29</f>
        <v>47.64521741142358</v>
      </c>
      <c r="M24" s="63">
        <f>FGE!O29</f>
        <v>47.593692634850655</v>
      </c>
      <c r="N24" s="63">
        <f>FGE!P29</f>
        <v>47.542167858277729</v>
      </c>
      <c r="O24" s="63">
        <f>FGE!Q29</f>
        <v>47.537166666666671</v>
      </c>
    </row>
    <row r="25" spans="1:15" x14ac:dyDescent="0.45">
      <c r="A25" s="8" t="s">
        <v>1250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8A96A3"/>
  </sheetPr>
  <dimension ref="B1:M25"/>
  <sheetViews>
    <sheetView showGridLines="0" workbookViewId="0"/>
  </sheetViews>
  <sheetFormatPr defaultRowHeight="14.25" x14ac:dyDescent="0.45"/>
  <cols>
    <col min="1" max="1" width="2" customWidth="1"/>
    <col min="2" max="13" width="11.46484375" customWidth="1"/>
  </cols>
  <sheetData>
    <row r="1" spans="2:13" ht="20.65" x14ac:dyDescent="0.6">
      <c r="B1" s="35" t="s">
        <v>1254</v>
      </c>
    </row>
    <row r="2" spans="2:13" x14ac:dyDescent="0.45">
      <c r="B2" s="8" t="s">
        <v>1255</v>
      </c>
    </row>
    <row r="4" spans="2:13" ht="29.45" customHeight="1" x14ac:dyDescent="0.45">
      <c r="B4" s="76" t="s">
        <v>1256</v>
      </c>
      <c r="C4" s="75"/>
      <c r="D4" s="75"/>
      <c r="E4" s="75"/>
      <c r="F4" s="75"/>
      <c r="G4" s="75"/>
      <c r="H4" s="75"/>
      <c r="I4" s="75"/>
      <c r="J4" s="75"/>
      <c r="K4" s="75"/>
      <c r="L4" s="75"/>
      <c r="M4" s="75"/>
    </row>
    <row r="5" spans="2:13" ht="15" customHeight="1" x14ac:dyDescent="0.45"/>
    <row r="6" spans="2:13" ht="15" customHeight="1" x14ac:dyDescent="0.45"/>
    <row r="7" spans="2:13" ht="15" customHeight="1" x14ac:dyDescent="0.45"/>
    <row r="8" spans="2:13" ht="15" customHeight="1" x14ac:dyDescent="0.45"/>
    <row r="9" spans="2:13" ht="15" customHeight="1" x14ac:dyDescent="0.45"/>
    <row r="10" spans="2:13" ht="15" customHeight="1" x14ac:dyDescent="0.45"/>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6.25" customHeight="1" x14ac:dyDescent="0.45">
      <c r="B22" s="74" t="s">
        <v>1257</v>
      </c>
      <c r="C22" s="75"/>
      <c r="D22" s="75"/>
      <c r="E22" s="75"/>
      <c r="F22" s="75"/>
      <c r="G22" s="75"/>
      <c r="H22" s="75"/>
      <c r="I22" s="75"/>
      <c r="J22" s="75"/>
      <c r="K22" s="75"/>
      <c r="L22" s="75"/>
      <c r="M22" s="75"/>
    </row>
    <row r="23" spans="2:13" ht="16.25" customHeight="1" x14ac:dyDescent="0.45">
      <c r="B23" s="76" t="s">
        <v>1258</v>
      </c>
      <c r="C23" s="75"/>
      <c r="D23" s="75"/>
      <c r="E23" s="75"/>
      <c r="F23" s="75"/>
      <c r="G23" s="75"/>
      <c r="H23" s="75"/>
      <c r="I23" s="75"/>
      <c r="J23" s="75"/>
      <c r="K23" s="75"/>
      <c r="L23" s="75"/>
      <c r="M23" s="75"/>
    </row>
    <row r="24" spans="2:13" ht="16.25" customHeight="1" x14ac:dyDescent="0.45">
      <c r="B24" s="76" t="s">
        <v>1259</v>
      </c>
      <c r="C24" s="75"/>
      <c r="D24" s="75"/>
      <c r="E24" s="75"/>
      <c r="F24" s="75"/>
      <c r="G24" s="75"/>
      <c r="H24" s="75"/>
      <c r="I24" s="75"/>
      <c r="J24" s="75"/>
      <c r="K24" s="75"/>
      <c r="L24" s="75"/>
      <c r="M24" s="75"/>
    </row>
    <row r="25" spans="2:13" ht="16.25" customHeight="1" x14ac:dyDescent="0.45">
      <c r="B25" s="76" t="s">
        <v>1260</v>
      </c>
      <c r="C25" s="75"/>
      <c r="D25" s="75"/>
      <c r="E25" s="75"/>
      <c r="F25" s="75"/>
      <c r="G25" s="75"/>
      <c r="H25" s="75"/>
      <c r="I25" s="75"/>
      <c r="J25" s="75"/>
      <c r="K25" s="75"/>
      <c r="L25" s="75"/>
      <c r="M25" s="75"/>
    </row>
  </sheetData>
  <mergeCells count="5">
    <mergeCell ref="B24:M24"/>
    <mergeCell ref="B25:M25"/>
    <mergeCell ref="B23:M23"/>
    <mergeCell ref="B22:M22"/>
    <mergeCell ref="B4:M4"/>
  </mergeCell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C0392B"/>
  </sheetPr>
  <dimension ref="A1:K14"/>
  <sheetViews>
    <sheetView showGridLines="0" workbookViewId="0"/>
  </sheetViews>
  <sheetFormatPr defaultRowHeight="14.25" x14ac:dyDescent="0.45"/>
  <cols>
    <col min="1" max="2" width="10" customWidth="1"/>
    <col min="3" max="5" width="13" customWidth="1"/>
    <col min="6" max="7" width="17" customWidth="1"/>
    <col min="8" max="8" width="18" customWidth="1"/>
    <col min="9" max="9" width="12" customWidth="1"/>
  </cols>
  <sheetData>
    <row r="1" spans="1:11" ht="17.649999999999999" x14ac:dyDescent="0.5">
      <c r="A1" s="15" t="s">
        <v>1261</v>
      </c>
      <c r="K1" s="37" t="str">
        <f>"JOB #: "&amp;TB_JobNo</f>
        <v xml:space="preserve">JOB #: </v>
      </c>
    </row>
    <row r="2" spans="1:11" x14ac:dyDescent="0.45">
      <c r="A2" s="8" t="s">
        <v>1262</v>
      </c>
      <c r="K2" s="37" t="str">
        <f>"PROJECT NAME: "&amp;TB_Project</f>
        <v>PROJECT NAME: D2 I-95 Pedestrian Bridge</v>
      </c>
    </row>
    <row r="3" spans="1:11" x14ac:dyDescent="0.45">
      <c r="K3" s="37" t="str">
        <f>"SUBJECT: "&amp;"BUILD-UP &amp; DEFLECTION DATA TABLE FOR PRESTRESSED I-BEAMS"</f>
        <v>SUBJECT: BUILD-UP &amp; DEFLECTION DATA TABLE FOR PRESTRESSED I-BEAMS</v>
      </c>
    </row>
    <row r="4" spans="1:11" x14ac:dyDescent="0.45">
      <c r="K4" s="37" t="str">
        <f>"CALCULATED BY: "&amp;TB_CalcBy&amp;"   "&amp;TB_CalcDate</f>
        <v xml:space="preserve">CALCULATED BY:    </v>
      </c>
    </row>
    <row r="5" spans="1:11" x14ac:dyDescent="0.45">
      <c r="A5" s="8" t="s">
        <v>1263</v>
      </c>
      <c r="K5" s="37" t="str">
        <f>"CHECKED BY: "&amp;TB_CheckBy&amp;"   "&amp;TB_CheckDate</f>
        <v xml:space="preserve">CHECKED BY:    </v>
      </c>
    </row>
    <row r="7" spans="1:11" ht="45" customHeight="1" x14ac:dyDescent="0.45">
      <c r="A7" s="81" t="s">
        <v>1241</v>
      </c>
      <c r="B7" s="82"/>
      <c r="C7" s="81" t="s">
        <v>1264</v>
      </c>
      <c r="D7" s="84"/>
      <c r="E7" s="82"/>
      <c r="F7" s="81" t="s">
        <v>1265</v>
      </c>
      <c r="G7" s="81" t="s">
        <v>1266</v>
      </c>
      <c r="H7" s="81" t="s">
        <v>1267</v>
      </c>
      <c r="I7" s="81" t="s">
        <v>1268</v>
      </c>
    </row>
    <row r="8" spans="1:11" ht="30" customHeight="1" x14ac:dyDescent="0.45">
      <c r="A8" s="19" t="s">
        <v>1269</v>
      </c>
      <c r="B8" s="19" t="s">
        <v>1270</v>
      </c>
      <c r="C8" s="19" t="s">
        <v>1271</v>
      </c>
      <c r="D8" s="19" t="s">
        <v>1272</v>
      </c>
      <c r="E8" s="19" t="s">
        <v>1273</v>
      </c>
      <c r="F8" s="83"/>
      <c r="G8" s="83"/>
      <c r="H8" s="83"/>
      <c r="I8" s="83"/>
    </row>
    <row r="9" spans="1:11" x14ac:dyDescent="0.45">
      <c r="A9" s="42" t="s">
        <v>941</v>
      </c>
      <c r="B9" s="42" t="s">
        <v>830</v>
      </c>
      <c r="C9" s="67">
        <f>'Camber &amp; Haunch'!C38</f>
        <v>1.5471714630549798</v>
      </c>
      <c r="D9" s="67">
        <f>'Camber &amp; Haunch'!D38</f>
        <v>1.422578719048289</v>
      </c>
      <c r="E9" s="67">
        <f>'Camber &amp; Haunch'!E38</f>
        <v>1.5471714630549798</v>
      </c>
      <c r="F9" s="67">
        <f>MC1_Drel</f>
        <v>1.3711621824106019</v>
      </c>
      <c r="G9" s="67">
        <f>MC1_D120</f>
        <v>3.3554492587274489</v>
      </c>
      <c r="H9" s="67">
        <f>ABS(MC1_Dnc)</f>
        <v>2.4716060425989741</v>
      </c>
      <c r="I9" s="64" t="str">
        <f>'Camber &amp; Haunch'!H38</f>
        <v>Case 1</v>
      </c>
    </row>
    <row r="10" spans="1:11" x14ac:dyDescent="0.45">
      <c r="A10" s="42" t="s">
        <v>941</v>
      </c>
      <c r="B10" s="42" t="s">
        <v>831</v>
      </c>
      <c r="C10" s="67">
        <f>'Camber &amp; Haunch'!C39</f>
        <v>1.5471714630549798</v>
      </c>
      <c r="D10" s="67">
        <f>'Camber &amp; Haunch'!D39</f>
        <v>1.422578719048289</v>
      </c>
      <c r="E10" s="67">
        <f>'Camber &amp; Haunch'!E39</f>
        <v>1.5471714630549798</v>
      </c>
      <c r="F10" s="67">
        <f>MC1_Drel</f>
        <v>1.3711621824106019</v>
      </c>
      <c r="G10" s="67">
        <f>MC1_D120</f>
        <v>3.3554492587274489</v>
      </c>
      <c r="H10" s="67">
        <f>ABS(MC1_Dnc)</f>
        <v>2.4716060425989741</v>
      </c>
      <c r="I10" s="64" t="str">
        <f>'Camber &amp; Haunch'!H39</f>
        <v>Case 1</v>
      </c>
    </row>
    <row r="11" spans="1:11" x14ac:dyDescent="0.45">
      <c r="A11" s="42" t="s">
        <v>942</v>
      </c>
      <c r="B11" s="42" t="s">
        <v>832</v>
      </c>
      <c r="C11" s="67">
        <f>'Camber &amp; Haunch'!C40</f>
        <v>1.5471714630549798</v>
      </c>
      <c r="D11" s="67">
        <f>'Camber &amp; Haunch'!D40</f>
        <v>0.97999999999996135</v>
      </c>
      <c r="E11" s="67">
        <f>'Camber &amp; Haunch'!E40</f>
        <v>1.5471714630549798</v>
      </c>
      <c r="F11" s="67">
        <f>MC2_Drel</f>
        <v>1.4647225816175331</v>
      </c>
      <c r="G11" s="67">
        <f>MC2_D120</f>
        <v>3.5081217611761781</v>
      </c>
      <c r="H11" s="67">
        <f>ABS(MC2_Dnc)</f>
        <v>2.2498277075689281</v>
      </c>
      <c r="I11" s="64" t="str">
        <f>'Camber &amp; Haunch'!H40</f>
        <v>Case 1</v>
      </c>
    </row>
    <row r="12" spans="1:11" x14ac:dyDescent="0.45">
      <c r="A12" s="42" t="s">
        <v>942</v>
      </c>
      <c r="B12" s="42" t="s">
        <v>833</v>
      </c>
      <c r="C12" s="67">
        <f>'Camber &amp; Haunch'!C41</f>
        <v>1.5471714630549798</v>
      </c>
      <c r="D12" s="67">
        <f>'Camber &amp; Haunch'!D41</f>
        <v>0.97999999999996135</v>
      </c>
      <c r="E12" s="67">
        <f>'Camber &amp; Haunch'!E41</f>
        <v>1.5471714630549798</v>
      </c>
      <c r="F12" s="67">
        <f>MC2_Drel</f>
        <v>1.4647225816175331</v>
      </c>
      <c r="G12" s="67">
        <f>MC2_D120</f>
        <v>3.5081217611761781</v>
      </c>
      <c r="H12" s="67">
        <f>ABS(MC2_Dnc)</f>
        <v>2.2498277075689281</v>
      </c>
      <c r="I12" s="64" t="str">
        <f>'Camber &amp; Haunch'!H41</f>
        <v>Case 1</v>
      </c>
    </row>
    <row r="14" spans="1:11" x14ac:dyDescent="0.45">
      <c r="A14" s="8" t="s">
        <v>1274</v>
      </c>
    </row>
  </sheetData>
  <mergeCells count="6">
    <mergeCell ref="A7:B7"/>
    <mergeCell ref="G7:G8"/>
    <mergeCell ref="H7:H8"/>
    <mergeCell ref="F7:F8"/>
    <mergeCell ref="I7:I8"/>
    <mergeCell ref="C7:E7"/>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8A96A3"/>
  </sheetPr>
  <dimension ref="B1:M33"/>
  <sheetViews>
    <sheetView showGridLines="0" workbookViewId="0"/>
  </sheetViews>
  <sheetFormatPr defaultRowHeight="14.25" x14ac:dyDescent="0.45"/>
  <cols>
    <col min="1" max="1" width="2" customWidth="1"/>
    <col min="2" max="13" width="11.46484375" customWidth="1"/>
  </cols>
  <sheetData>
    <row r="1" spans="2:13" ht="20.65" x14ac:dyDescent="0.6">
      <c r="B1" s="35" t="s">
        <v>1275</v>
      </c>
    </row>
    <row r="2" spans="2:13" x14ac:dyDescent="0.45">
      <c r="B2" s="8" t="s">
        <v>1276</v>
      </c>
    </row>
    <row r="4" spans="2:13" x14ac:dyDescent="0.45">
      <c r="B4" s="77" t="s">
        <v>106</v>
      </c>
      <c r="C4" s="77" t="s">
        <v>671</v>
      </c>
      <c r="D4" s="78"/>
      <c r="E4" s="78"/>
      <c r="F4" s="78"/>
      <c r="G4" s="78"/>
      <c r="H4" s="77" t="s">
        <v>672</v>
      </c>
      <c r="I4" s="78"/>
      <c r="J4" s="78"/>
      <c r="K4" s="77" t="s">
        <v>673</v>
      </c>
      <c r="L4" s="78"/>
      <c r="M4" s="78"/>
    </row>
    <row r="5" spans="2:13" ht="28.45" customHeight="1" x14ac:dyDescent="0.45">
      <c r="B5" s="76" t="s">
        <v>1277</v>
      </c>
      <c r="C5" s="76" t="s">
        <v>1278</v>
      </c>
      <c r="D5" s="75"/>
      <c r="E5" s="75"/>
      <c r="F5" s="75"/>
      <c r="G5" s="75"/>
      <c r="H5" s="76" t="s">
        <v>935</v>
      </c>
      <c r="I5" s="75"/>
      <c r="J5" s="75"/>
      <c r="K5" s="76" t="s">
        <v>215</v>
      </c>
      <c r="L5" s="75"/>
      <c r="M5" s="75"/>
    </row>
    <row r="6" spans="2:13" ht="28.45" customHeight="1" x14ac:dyDescent="0.45">
      <c r="B6" s="76" t="s">
        <v>1279</v>
      </c>
      <c r="C6" s="76" t="s">
        <v>1280</v>
      </c>
      <c r="D6" s="75"/>
      <c r="E6" s="75"/>
      <c r="F6" s="75"/>
      <c r="G6" s="75"/>
      <c r="H6" s="76" t="s">
        <v>524</v>
      </c>
      <c r="I6" s="75"/>
      <c r="J6" s="75"/>
      <c r="K6" s="76" t="s">
        <v>215</v>
      </c>
      <c r="L6" s="75"/>
      <c r="M6" s="75"/>
    </row>
    <row r="7" spans="2:13" ht="28.45" customHeight="1" x14ac:dyDescent="0.45">
      <c r="B7" s="76" t="s">
        <v>1281</v>
      </c>
      <c r="C7" s="76" t="s">
        <v>1282</v>
      </c>
      <c r="D7" s="75"/>
      <c r="E7" s="75"/>
      <c r="F7" s="75"/>
      <c r="G7" s="75"/>
      <c r="H7" s="76" t="s">
        <v>527</v>
      </c>
      <c r="I7" s="75"/>
      <c r="J7" s="75"/>
      <c r="K7" s="76" t="s">
        <v>215</v>
      </c>
      <c r="L7" s="75"/>
      <c r="M7" s="75"/>
    </row>
    <row r="8" spans="2:13" ht="28.45" customHeight="1" x14ac:dyDescent="0.45">
      <c r="B8" s="76" t="s">
        <v>1283</v>
      </c>
      <c r="C8" s="76" t="s">
        <v>1284</v>
      </c>
      <c r="D8" s="75"/>
      <c r="E8" s="75"/>
      <c r="F8" s="75"/>
      <c r="G8" s="75"/>
      <c r="H8" s="76" t="s">
        <v>530</v>
      </c>
      <c r="I8" s="75"/>
      <c r="J8" s="75"/>
      <c r="K8" s="76" t="s">
        <v>215</v>
      </c>
      <c r="L8" s="75"/>
      <c r="M8" s="75"/>
    </row>
    <row r="9" spans="2:13" ht="15.2" customHeight="1" x14ac:dyDescent="0.45">
      <c r="B9" s="76" t="s">
        <v>1285</v>
      </c>
      <c r="C9" s="76" t="s">
        <v>1286</v>
      </c>
      <c r="D9" s="75"/>
      <c r="E9" s="75"/>
      <c r="F9" s="75"/>
      <c r="G9" s="75"/>
      <c r="H9" s="76" t="s">
        <v>1287</v>
      </c>
      <c r="I9" s="75"/>
      <c r="J9" s="75"/>
      <c r="K9" s="76" t="s">
        <v>685</v>
      </c>
      <c r="L9" s="75"/>
      <c r="M9" s="75"/>
    </row>
    <row r="11" spans="2:13" ht="15" customHeight="1" x14ac:dyDescent="0.45"/>
    <row r="12" spans="2:13" ht="15" customHeight="1" x14ac:dyDescent="0.45"/>
    <row r="13" spans="2:13" ht="15" customHeight="1" x14ac:dyDescent="0.45"/>
    <row r="14" spans="2:13" ht="29.45" customHeight="1" x14ac:dyDescent="0.45">
      <c r="B14" s="76" t="s">
        <v>1288</v>
      </c>
      <c r="C14" s="75"/>
      <c r="D14" s="75"/>
      <c r="E14" s="75"/>
      <c r="F14" s="75"/>
      <c r="G14" s="75"/>
      <c r="H14" s="75"/>
      <c r="I14" s="75"/>
      <c r="J14" s="75"/>
      <c r="K14" s="75"/>
      <c r="L14" s="75"/>
      <c r="M14" s="75"/>
    </row>
    <row r="15" spans="2:13" ht="15" customHeight="1" x14ac:dyDescent="0.45"/>
    <row r="16" spans="2:13" ht="15" customHeight="1" x14ac:dyDescent="0.45"/>
    <row r="17" ht="15" customHeight="1" x14ac:dyDescent="0.45"/>
    <row r="18" ht="15" customHeight="1" x14ac:dyDescent="0.45"/>
    <row r="19" ht="15" customHeight="1" x14ac:dyDescent="0.45"/>
    <row r="20" ht="15" customHeight="1" x14ac:dyDescent="0.45"/>
    <row r="21" ht="15" customHeight="1" x14ac:dyDescent="0.45"/>
    <row r="22" ht="15" customHeight="1" x14ac:dyDescent="0.45"/>
    <row r="23" ht="15" customHeight="1" x14ac:dyDescent="0.45"/>
    <row r="24" ht="15" customHeight="1" x14ac:dyDescent="0.45"/>
    <row r="25" ht="15" customHeight="1" x14ac:dyDescent="0.45"/>
    <row r="26" ht="15" customHeight="1" x14ac:dyDescent="0.45"/>
    <row r="27" ht="15" customHeight="1" x14ac:dyDescent="0.45"/>
    <row r="28" ht="15" customHeight="1" x14ac:dyDescent="0.45"/>
    <row r="29" ht="15" customHeight="1" x14ac:dyDescent="0.45"/>
    <row r="30" ht="15" customHeight="1" x14ac:dyDescent="0.45"/>
    <row r="31" ht="15" customHeight="1" x14ac:dyDescent="0.45"/>
    <row r="32" ht="15" customHeight="1" x14ac:dyDescent="0.45"/>
    <row r="33" spans="2:13" ht="16.25" customHeight="1" x14ac:dyDescent="0.45">
      <c r="B33" s="74" t="s">
        <v>1289</v>
      </c>
      <c r="C33" s="75"/>
      <c r="D33" s="75"/>
      <c r="E33" s="75"/>
      <c r="F33" s="75"/>
      <c r="G33" s="75"/>
      <c r="H33" s="75"/>
      <c r="I33" s="75"/>
      <c r="J33" s="75"/>
      <c r="K33" s="75"/>
      <c r="L33" s="75"/>
      <c r="M33" s="75"/>
    </row>
  </sheetData>
  <mergeCells count="26">
    <mergeCell ref="B33:M33"/>
    <mergeCell ref="K4:M4"/>
    <mergeCell ref="K6:M6"/>
    <mergeCell ref="H5:J5"/>
    <mergeCell ref="H8:J8"/>
    <mergeCell ref="C8:G8"/>
    <mergeCell ref="B8"/>
    <mergeCell ref="C7:G7"/>
    <mergeCell ref="K9:M9"/>
    <mergeCell ref="K5:M5"/>
    <mergeCell ref="H4:J4"/>
    <mergeCell ref="H9:J9"/>
    <mergeCell ref="H6:J6"/>
    <mergeCell ref="C4:G4"/>
    <mergeCell ref="B4"/>
    <mergeCell ref="B7"/>
    <mergeCell ref="C9:G9"/>
    <mergeCell ref="K7:M7"/>
    <mergeCell ref="B9"/>
    <mergeCell ref="C6:G6"/>
    <mergeCell ref="B6"/>
    <mergeCell ref="B14:M14"/>
    <mergeCell ref="C5:G5"/>
    <mergeCell ref="B5"/>
    <mergeCell ref="H7:J7"/>
    <mergeCell ref="K8:M8"/>
  </mergeCell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0392B"/>
  </sheetPr>
  <dimension ref="A1:AU17"/>
  <sheetViews>
    <sheetView showGridLines="0" workbookViewId="0"/>
  </sheetViews>
  <sheetFormatPr defaultRowHeight="14.25" x14ac:dyDescent="0.45"/>
  <cols>
    <col min="1" max="1" width="7" customWidth="1"/>
    <col min="2" max="2" width="8" customWidth="1"/>
    <col min="3" max="3" width="9" customWidth="1"/>
    <col min="4" max="4" width="7" customWidth="1"/>
    <col min="5" max="7" width="8" customWidth="1"/>
    <col min="8" max="8" width="7" customWidth="1"/>
    <col min="9" max="10" width="6" customWidth="1"/>
    <col min="11" max="12" width="9" customWidth="1"/>
    <col min="13" max="14" width="7" customWidth="1"/>
    <col min="15" max="21" width="6" customWidth="1"/>
    <col min="22" max="23" width="7" customWidth="1"/>
    <col min="24" max="47" width="6" customWidth="1"/>
  </cols>
  <sheetData>
    <row r="1" spans="1:47" ht="17.649999999999999" x14ac:dyDescent="0.5">
      <c r="A1" s="15" t="s">
        <v>1290</v>
      </c>
      <c r="AD1" s="37" t="str">
        <f>"JOB #: "&amp;TB_JobNo</f>
        <v xml:space="preserve">JOB #: </v>
      </c>
    </row>
    <row r="2" spans="1:47" x14ac:dyDescent="0.45">
      <c r="A2" s="8" t="s">
        <v>1291</v>
      </c>
      <c r="AD2" s="37" t="str">
        <f>"PROJECT NAME: "&amp;TB_Project</f>
        <v>PROJECT NAME: D2 I-95 Pedestrian Bridge</v>
      </c>
    </row>
    <row r="3" spans="1:47" x14ac:dyDescent="0.45">
      <c r="AD3" s="37" t="str">
        <f>"SUBJECT: "&amp;"FLORIDA-I BEAM - TABLE OF BEAM VARIABLES"</f>
        <v>SUBJECT: FLORIDA-I BEAM - TABLE OF BEAM VARIABLES</v>
      </c>
    </row>
    <row r="4" spans="1:47" x14ac:dyDescent="0.45">
      <c r="AD4" s="37" t="str">
        <f>"CALCULATED BY: "&amp;TB_CalcBy&amp;"   "&amp;TB_CalcDate</f>
        <v xml:space="preserve">CALCULATED BY:    </v>
      </c>
    </row>
    <row r="5" spans="1:47" x14ac:dyDescent="0.45">
      <c r="A5" s="8" t="s">
        <v>1292</v>
      </c>
      <c r="AD5" s="37" t="str">
        <f>"CHECKED BY: "&amp;TB_CheckBy&amp;"   "&amp;TB_CheckDate</f>
        <v xml:space="preserve">CHECKED BY:    </v>
      </c>
    </row>
    <row r="7" spans="1:47" ht="30" customHeight="1" x14ac:dyDescent="0.45">
      <c r="A7" s="81" t="s">
        <v>1241</v>
      </c>
      <c r="B7" s="82"/>
      <c r="C7" s="19" t="s">
        <v>1293</v>
      </c>
      <c r="D7" s="81" t="s">
        <v>1294</v>
      </c>
      <c r="E7" s="84"/>
      <c r="F7" s="82"/>
      <c r="G7" s="19" t="s">
        <v>1295</v>
      </c>
      <c r="H7" s="19" t="s">
        <v>1296</v>
      </c>
      <c r="I7" s="81" t="s">
        <v>1297</v>
      </c>
      <c r="J7" s="82"/>
      <c r="K7" s="81" t="s">
        <v>1298</v>
      </c>
      <c r="L7" s="82"/>
      <c r="M7" s="81" t="s">
        <v>1299</v>
      </c>
      <c r="N7" s="84"/>
      <c r="O7" s="84"/>
      <c r="P7" s="84"/>
      <c r="Q7" s="84"/>
      <c r="R7" s="84"/>
      <c r="S7" s="84"/>
      <c r="T7" s="82"/>
      <c r="U7" s="81" t="s">
        <v>1300</v>
      </c>
      <c r="V7" s="84"/>
      <c r="W7" s="82"/>
      <c r="X7" s="81" t="s">
        <v>1301</v>
      </c>
      <c r="Y7" s="84"/>
      <c r="Z7" s="84"/>
      <c r="AA7" s="84"/>
      <c r="AB7" s="84"/>
      <c r="AC7" s="84"/>
      <c r="AD7" s="84"/>
      <c r="AE7" s="84"/>
      <c r="AF7" s="84"/>
      <c r="AG7" s="84"/>
      <c r="AH7" s="84"/>
      <c r="AI7" s="84"/>
      <c r="AJ7" s="84"/>
      <c r="AK7" s="84"/>
      <c r="AL7" s="84"/>
      <c r="AM7" s="84"/>
      <c r="AN7" s="84"/>
      <c r="AO7" s="84"/>
      <c r="AP7" s="84"/>
      <c r="AQ7" s="84"/>
      <c r="AR7" s="84"/>
      <c r="AS7" s="84"/>
      <c r="AT7" s="84"/>
      <c r="AU7" s="82"/>
    </row>
    <row r="8" spans="1:47" ht="30" customHeight="1" x14ac:dyDescent="0.45">
      <c r="A8" s="19" t="s">
        <v>1269</v>
      </c>
      <c r="B8" s="19" t="s">
        <v>1270</v>
      </c>
      <c r="D8" s="19" t="s">
        <v>1302</v>
      </c>
      <c r="E8" s="81" t="s">
        <v>1303</v>
      </c>
      <c r="F8" s="82"/>
      <c r="I8" s="19" t="s">
        <v>1304</v>
      </c>
      <c r="J8" s="19" t="s">
        <v>1305</v>
      </c>
      <c r="K8" s="19" t="s">
        <v>1304</v>
      </c>
      <c r="L8" s="19" t="s">
        <v>1305</v>
      </c>
      <c r="M8" s="81" t="s">
        <v>1306</v>
      </c>
      <c r="N8" s="82"/>
      <c r="O8" s="19" t="s">
        <v>1307</v>
      </c>
      <c r="P8" s="19" t="s">
        <v>1308</v>
      </c>
      <c r="Q8" s="81" t="s">
        <v>1309</v>
      </c>
      <c r="R8" s="82"/>
      <c r="S8" s="81" t="s">
        <v>1310</v>
      </c>
      <c r="T8" s="82"/>
      <c r="U8" s="81" t="s">
        <v>1311</v>
      </c>
      <c r="V8" s="82"/>
      <c r="W8" s="19" t="s">
        <v>1312</v>
      </c>
      <c r="X8" s="81" t="s">
        <v>1313</v>
      </c>
      <c r="Y8" s="82"/>
      <c r="Z8" s="81" t="s">
        <v>1314</v>
      </c>
      <c r="AA8" s="82"/>
      <c r="AB8" s="81" t="s">
        <v>1315</v>
      </c>
      <c r="AC8" s="84"/>
      <c r="AD8" s="84"/>
      <c r="AE8" s="82"/>
      <c r="AF8" s="81" t="s">
        <v>1316</v>
      </c>
      <c r="AG8" s="84"/>
      <c r="AH8" s="84"/>
      <c r="AI8" s="82"/>
      <c r="AJ8" s="19" t="s">
        <v>1317</v>
      </c>
      <c r="AK8" s="81" t="s">
        <v>1318</v>
      </c>
      <c r="AL8" s="82"/>
      <c r="AM8" s="81" t="s">
        <v>1319</v>
      </c>
      <c r="AN8" s="82"/>
      <c r="AO8" s="19" t="s">
        <v>1320</v>
      </c>
      <c r="AP8" s="19" t="s">
        <v>1321</v>
      </c>
      <c r="AQ8" s="81" t="s">
        <v>1322</v>
      </c>
      <c r="AR8" s="84"/>
      <c r="AS8" s="84"/>
      <c r="AT8" s="82"/>
      <c r="AU8" s="19" t="s">
        <v>1323</v>
      </c>
    </row>
    <row r="9" spans="1:47" ht="30" customHeight="1" x14ac:dyDescent="0.45">
      <c r="E9" s="19" t="s">
        <v>1324</v>
      </c>
      <c r="F9" s="19" t="s">
        <v>1325</v>
      </c>
      <c r="M9" s="19" t="s">
        <v>1304</v>
      </c>
      <c r="N9" s="19" t="s">
        <v>1305</v>
      </c>
      <c r="U9" s="19" t="s">
        <v>139</v>
      </c>
      <c r="V9" s="19" t="s">
        <v>215</v>
      </c>
      <c r="X9" s="81" t="s">
        <v>240</v>
      </c>
      <c r="Y9" s="82"/>
      <c r="Z9" s="81" t="s">
        <v>240</v>
      </c>
      <c r="AA9" s="82"/>
      <c r="AB9" s="81" t="s">
        <v>1226</v>
      </c>
      <c r="AC9" s="82"/>
      <c r="AD9" s="81" t="s">
        <v>1227</v>
      </c>
      <c r="AE9" s="82"/>
      <c r="AF9" s="81" t="s">
        <v>1226</v>
      </c>
      <c r="AG9" s="82"/>
      <c r="AH9" s="81" t="s">
        <v>1227</v>
      </c>
      <c r="AI9" s="82"/>
      <c r="AJ9" s="19" t="s">
        <v>1326</v>
      </c>
      <c r="AK9" s="81" t="s">
        <v>653</v>
      </c>
      <c r="AL9" s="82"/>
      <c r="AM9" s="81" t="s">
        <v>653</v>
      </c>
      <c r="AN9" s="82"/>
      <c r="AO9" s="19" t="s">
        <v>1326</v>
      </c>
      <c r="AP9" s="19" t="s">
        <v>1326</v>
      </c>
      <c r="AQ9" s="19" t="s">
        <v>1138</v>
      </c>
      <c r="AR9" s="19" t="s">
        <v>1140</v>
      </c>
      <c r="AS9" s="19" t="s">
        <v>1142</v>
      </c>
      <c r="AT9" s="19" t="s">
        <v>1327</v>
      </c>
      <c r="AU9" s="19" t="s">
        <v>1328</v>
      </c>
    </row>
    <row r="10" spans="1:47" x14ac:dyDescent="0.45">
      <c r="A10" s="42" t="s">
        <v>941</v>
      </c>
      <c r="B10" s="42" t="s">
        <v>830</v>
      </c>
      <c r="C10" s="64" t="str">
        <f>Bm_Type</f>
        <v>FIB-36</v>
      </c>
      <c r="D10" s="64" t="str">
        <f>Des_ConcClass</f>
        <v>VI</v>
      </c>
      <c r="E10" s="68">
        <f>MC1_fc*1000</f>
        <v>8500</v>
      </c>
      <c r="F10" s="68">
        <f>MC1_fci*1000</f>
        <v>6000</v>
      </c>
      <c r="G10" s="64">
        <f>Des_Pattern</f>
        <v>1</v>
      </c>
      <c r="H10" s="64">
        <f>'Beam Geometry'!O13</f>
        <v>1</v>
      </c>
      <c r="I10" s="64">
        <f t="shared" ref="I10:J13" si="0">Des_PlanCase</f>
        <v>1</v>
      </c>
      <c r="J10" s="64">
        <f t="shared" si="0"/>
        <v>1</v>
      </c>
      <c r="K10" s="64" t="str">
        <f>"1-1-1"</f>
        <v>1-1-1</v>
      </c>
      <c r="L10" s="64" t="str">
        <f>"1-1-2"</f>
        <v>1-1-2</v>
      </c>
      <c r="M10" s="64">
        <f>'Beam Geometry'!I13</f>
        <v>90</v>
      </c>
      <c r="N10" s="64">
        <f>'Beam Geometry'!J13</f>
        <v>90</v>
      </c>
      <c r="O10" s="64">
        <f>'Beam Geometry'!N13</f>
        <v>0</v>
      </c>
      <c r="P10" s="64">
        <f>'Beam Geometry'!K13</f>
        <v>9</v>
      </c>
      <c r="Q10" s="64" t="str">
        <f>TRUNC('Beam Geometry'!L13/12)&amp;"'-"</f>
        <v>1'-</v>
      </c>
      <c r="R10" s="64">
        <f>('Beam Geometry'!L13/12-TRUNC('Beam Geometry'!L13/12))*12</f>
        <v>0</v>
      </c>
      <c r="S10" s="64" t="str">
        <f>TRUNC('Beam Geometry'!M13/12)&amp;"'-"</f>
        <v>0'-</v>
      </c>
      <c r="T10" s="64">
        <f>('Beam Geometry'!M13/12-TRUNC('Beam Geometry'!M13/12))*12</f>
        <v>10.5</v>
      </c>
      <c r="U10" s="68">
        <f>'Beam Geometry'!T13</f>
        <v>107</v>
      </c>
      <c r="V10" s="67">
        <f>'Beam Geometry'!U13</f>
        <v>1.2389970311922411</v>
      </c>
      <c r="W10" s="67">
        <f>'Beam Geometry'!R13</f>
        <v>1.522958354318249</v>
      </c>
      <c r="X10" s="64" t="str">
        <f>TRUNC('Beam Data'!J13/12)&amp;"'-"</f>
        <v>1'-</v>
      </c>
      <c r="Y10" s="64">
        <f>('Beam Data'!J13/12-TRUNC('Beam Data'!J13/12))*12</f>
        <v>5.4999999999999991</v>
      </c>
      <c r="Z10" s="64" t="str">
        <f>TRUNC('Beam Data'!K13/12)&amp;"'-"</f>
        <v>1'-</v>
      </c>
      <c r="AA10" s="64">
        <f>('Beam Data'!K13/12-TRUNC('Beam Data'!K13/12))*12</f>
        <v>5.4999999999999991</v>
      </c>
      <c r="AB10" s="64" t="str">
        <f>TRUNC('Beam Data'!L13/12)&amp;"'-"</f>
        <v>0'-</v>
      </c>
      <c r="AC10" s="64">
        <f>('Beam Data'!L13/12-TRUNC('Beam Data'!L13/12))*12</f>
        <v>8.5</v>
      </c>
      <c r="AD10" s="64" t="str">
        <f>TRUNC('Beam Data'!M13/12)&amp;"'-"</f>
        <v>1'-</v>
      </c>
      <c r="AE10" s="64">
        <f>('Beam Data'!M13/12-TRUNC('Beam Data'!M13/12))*12</f>
        <v>3</v>
      </c>
      <c r="AF10" s="64" t="str">
        <f>TRUNC('Beam Data'!N13/12)&amp;"'-"</f>
        <v>0'-</v>
      </c>
      <c r="AG10" s="64">
        <f>('Beam Data'!N13/12-TRUNC('Beam Data'!N13/12))*12</f>
        <v>8.5</v>
      </c>
      <c r="AH10" s="64" t="str">
        <f>TRUNC('Beam Data'!O13/12)&amp;"'-"</f>
        <v>1'-</v>
      </c>
      <c r="AI10" s="64">
        <f>('Beam Data'!O13/12-TRUNC('Beam Data'!O13/12))*12</f>
        <v>3</v>
      </c>
      <c r="AJ10" s="64">
        <f>'Beam Data'!P13</f>
        <v>130</v>
      </c>
      <c r="AK10" s="64" t="str">
        <f>TRUNC('Beam Data'!Q13/12)&amp;"'-"</f>
        <v>3'-</v>
      </c>
      <c r="AL10" s="64">
        <f>('Beam Data'!Q13/12-TRUNC('Beam Data'!Q13/12))*12</f>
        <v>7.9999999999999982</v>
      </c>
      <c r="AM10" s="64" t="str">
        <f>TRUNC('Beam Data'!R13/12)&amp;"'-"</f>
        <v>3'-</v>
      </c>
      <c r="AN10" s="64">
        <f>('Beam Data'!R13/12-TRUNC('Beam Data'!R13/12))*12</f>
        <v>7.9999999999999982</v>
      </c>
      <c r="AO10" s="64">
        <f>'Beam Data'!S13</f>
        <v>98</v>
      </c>
      <c r="AP10" s="64">
        <f>'Beam Data'!I13</f>
        <v>162</v>
      </c>
      <c r="AQ10" s="64">
        <f>'Beam Data'!G8</f>
        <v>30</v>
      </c>
      <c r="AR10" s="64">
        <f>'Beam Data'!I8</f>
        <v>20</v>
      </c>
      <c r="AS10" s="64">
        <f>'Beam Data'!K8</f>
        <v>5</v>
      </c>
      <c r="AT10" s="64">
        <f>'Beam Data'!F13</f>
        <v>9</v>
      </c>
      <c r="AU10" s="64">
        <f>'Beam Data'!H8</f>
        <v>5.9999999999999991</v>
      </c>
    </row>
    <row r="11" spans="1:47" x14ac:dyDescent="0.45">
      <c r="A11" s="42" t="s">
        <v>941</v>
      </c>
      <c r="B11" s="42" t="s">
        <v>831</v>
      </c>
      <c r="C11" s="64" t="str">
        <f>Bm_Type</f>
        <v>FIB-36</v>
      </c>
      <c r="D11" s="64" t="str">
        <f>Des_ConcClass</f>
        <v>VI</v>
      </c>
      <c r="E11" s="68">
        <f>MC1_fc*1000</f>
        <v>8500</v>
      </c>
      <c r="F11" s="68">
        <f>MC1_fci*1000</f>
        <v>6000</v>
      </c>
      <c r="G11" s="64">
        <f>Des_Pattern</f>
        <v>1</v>
      </c>
      <c r="H11" s="64">
        <f>'Beam Geometry'!O14</f>
        <v>1</v>
      </c>
      <c r="I11" s="64">
        <f t="shared" si="0"/>
        <v>1</v>
      </c>
      <c r="J11" s="64">
        <f t="shared" si="0"/>
        <v>1</v>
      </c>
      <c r="K11" s="64" t="str">
        <f>"1-2-1"</f>
        <v>1-2-1</v>
      </c>
      <c r="L11" s="64" t="str">
        <f>"1-2-2"</f>
        <v>1-2-2</v>
      </c>
      <c r="M11" s="64">
        <f>'Beam Geometry'!I14</f>
        <v>90</v>
      </c>
      <c r="N11" s="64">
        <f>'Beam Geometry'!J14</f>
        <v>90</v>
      </c>
      <c r="O11" s="64">
        <f>'Beam Geometry'!N14</f>
        <v>0</v>
      </c>
      <c r="P11" s="64">
        <f>'Beam Geometry'!K14</f>
        <v>9</v>
      </c>
      <c r="Q11" s="64" t="str">
        <f>TRUNC('Beam Geometry'!L14/12)&amp;"'-"</f>
        <v>1'-</v>
      </c>
      <c r="R11" s="64">
        <f>('Beam Geometry'!L14/12-TRUNC('Beam Geometry'!L14/12))*12</f>
        <v>0</v>
      </c>
      <c r="S11" s="64" t="str">
        <f>TRUNC('Beam Geometry'!M14/12)&amp;"'-"</f>
        <v>0'-</v>
      </c>
      <c r="T11" s="64">
        <f>('Beam Geometry'!M14/12-TRUNC('Beam Geometry'!M14/12))*12</f>
        <v>10.5</v>
      </c>
      <c r="U11" s="68">
        <f>'Beam Geometry'!T14</f>
        <v>107</v>
      </c>
      <c r="V11" s="67">
        <f>'Beam Geometry'!U14</f>
        <v>1.2389970311922411</v>
      </c>
      <c r="W11" s="67">
        <f>'Beam Geometry'!R14</f>
        <v>1.522958354318249</v>
      </c>
      <c r="X11" s="64" t="str">
        <f>TRUNC('Beam Data'!J14/12)&amp;"'-"</f>
        <v>1'-</v>
      </c>
      <c r="Y11" s="64">
        <f>('Beam Data'!J14/12-TRUNC('Beam Data'!J14/12))*12</f>
        <v>5.4999999999999991</v>
      </c>
      <c r="Z11" s="64" t="str">
        <f>TRUNC('Beam Data'!K14/12)&amp;"'-"</f>
        <v>1'-</v>
      </c>
      <c r="AA11" s="64">
        <f>('Beam Data'!K14/12-TRUNC('Beam Data'!K14/12))*12</f>
        <v>5.4999999999999991</v>
      </c>
      <c r="AB11" s="64" t="str">
        <f>TRUNC('Beam Data'!L14/12)&amp;"'-"</f>
        <v>0'-</v>
      </c>
      <c r="AC11" s="64">
        <f>('Beam Data'!L14/12-TRUNC('Beam Data'!L14/12))*12</f>
        <v>8.5</v>
      </c>
      <c r="AD11" s="64" t="str">
        <f>TRUNC('Beam Data'!M14/12)&amp;"'-"</f>
        <v>1'-</v>
      </c>
      <c r="AE11" s="64">
        <f>('Beam Data'!M14/12-TRUNC('Beam Data'!M14/12))*12</f>
        <v>3</v>
      </c>
      <c r="AF11" s="64" t="str">
        <f>TRUNC('Beam Data'!N14/12)&amp;"'-"</f>
        <v>0'-</v>
      </c>
      <c r="AG11" s="64">
        <f>('Beam Data'!N14/12-TRUNC('Beam Data'!N14/12))*12</f>
        <v>8.5</v>
      </c>
      <c r="AH11" s="64" t="str">
        <f>TRUNC('Beam Data'!O14/12)&amp;"'-"</f>
        <v>1'-</v>
      </c>
      <c r="AI11" s="64">
        <f>('Beam Data'!O14/12-TRUNC('Beam Data'!O14/12))*12</f>
        <v>3</v>
      </c>
      <c r="AJ11" s="64">
        <f>'Beam Data'!P14</f>
        <v>130</v>
      </c>
      <c r="AK11" s="64" t="str">
        <f>TRUNC('Beam Data'!Q14/12)&amp;"'-"</f>
        <v>3'-</v>
      </c>
      <c r="AL11" s="64">
        <f>('Beam Data'!Q14/12-TRUNC('Beam Data'!Q14/12))*12</f>
        <v>7.9999999999999982</v>
      </c>
      <c r="AM11" s="64" t="str">
        <f>TRUNC('Beam Data'!R14/12)&amp;"'-"</f>
        <v>3'-</v>
      </c>
      <c r="AN11" s="64">
        <f>('Beam Data'!R14/12-TRUNC('Beam Data'!R14/12))*12</f>
        <v>7.9999999999999982</v>
      </c>
      <c r="AO11" s="64">
        <f>'Beam Data'!S14</f>
        <v>98</v>
      </c>
      <c r="AP11" s="64">
        <f>'Beam Data'!I14</f>
        <v>162</v>
      </c>
      <c r="AQ11" s="64">
        <f>'Beam Data'!G8</f>
        <v>30</v>
      </c>
      <c r="AR11" s="64">
        <f>'Beam Data'!I8</f>
        <v>20</v>
      </c>
      <c r="AS11" s="64">
        <f>'Beam Data'!K8</f>
        <v>5</v>
      </c>
      <c r="AT11" s="64">
        <f>'Beam Data'!F14</f>
        <v>9</v>
      </c>
      <c r="AU11" s="64">
        <f>'Beam Data'!H8</f>
        <v>5.9999999999999991</v>
      </c>
    </row>
    <row r="12" spans="1:47" x14ac:dyDescent="0.45">
      <c r="A12" s="42" t="s">
        <v>942</v>
      </c>
      <c r="B12" s="42" t="s">
        <v>832</v>
      </c>
      <c r="C12" s="64" t="str">
        <f>Bm_Type</f>
        <v>FIB-36</v>
      </c>
      <c r="D12" s="64" t="str">
        <f>Des_ConcClass</f>
        <v>VI</v>
      </c>
      <c r="E12" s="68">
        <f>MC2_fc*1000</f>
        <v>8500</v>
      </c>
      <c r="F12" s="68">
        <f>MC2_fci*1000</f>
        <v>6000</v>
      </c>
      <c r="G12" s="64">
        <f>Des_Pattern</f>
        <v>1</v>
      </c>
      <c r="H12" s="64">
        <f>'Beam Geometry'!O15</f>
        <v>1</v>
      </c>
      <c r="I12" s="64">
        <f t="shared" si="0"/>
        <v>1</v>
      </c>
      <c r="J12" s="64">
        <f t="shared" si="0"/>
        <v>1</v>
      </c>
      <c r="K12" s="64" t="str">
        <f>"2-1-1"</f>
        <v>2-1-1</v>
      </c>
      <c r="L12" s="64" t="str">
        <f>"2-1-2"</f>
        <v>2-1-2</v>
      </c>
      <c r="M12" s="64">
        <f>'Beam Geometry'!I15</f>
        <v>90</v>
      </c>
      <c r="N12" s="64">
        <f>'Beam Geometry'!J15</f>
        <v>90</v>
      </c>
      <c r="O12" s="64">
        <f>'Beam Geometry'!N15</f>
        <v>0</v>
      </c>
      <c r="P12" s="64">
        <f>'Beam Geometry'!K15</f>
        <v>9</v>
      </c>
      <c r="Q12" s="64" t="str">
        <f>TRUNC('Beam Geometry'!L15/12)&amp;"'-"</f>
        <v>0'-</v>
      </c>
      <c r="R12" s="64">
        <f>('Beam Geometry'!L15/12-TRUNC('Beam Geometry'!L15/12))*12</f>
        <v>10.5</v>
      </c>
      <c r="S12" s="64" t="str">
        <f>TRUNC('Beam Geometry'!M15/12)&amp;"'-"</f>
        <v>1'-</v>
      </c>
      <c r="T12" s="64">
        <f>('Beam Geometry'!M15/12-TRUNC('Beam Geometry'!M15/12))*12</f>
        <v>0</v>
      </c>
      <c r="U12" s="68">
        <f>'Beam Geometry'!T15</f>
        <v>104</v>
      </c>
      <c r="V12" s="67">
        <f>'Beam Geometry'!U15</f>
        <v>7.8037648720609809</v>
      </c>
      <c r="W12" s="67">
        <f>'Beam Geometry'!R15</f>
        <v>1.4880787460651559</v>
      </c>
      <c r="X12" s="64" t="str">
        <f>TRUNC('Beam Data'!J15/12)&amp;"'-"</f>
        <v>1'-</v>
      </c>
      <c r="Y12" s="64">
        <f>('Beam Data'!J15/12-TRUNC('Beam Data'!J15/12))*12</f>
        <v>5.4999999999999991</v>
      </c>
      <c r="Z12" s="64" t="str">
        <f>TRUNC('Beam Data'!K15/12)&amp;"'-"</f>
        <v>1'-</v>
      </c>
      <c r="AA12" s="64">
        <f>('Beam Data'!K15/12-TRUNC('Beam Data'!K15/12))*12</f>
        <v>5.4999999999999991</v>
      </c>
      <c r="AB12" s="64" t="str">
        <f>TRUNC('Beam Data'!L15/12)&amp;"'-"</f>
        <v>0'-</v>
      </c>
      <c r="AC12" s="64">
        <f>('Beam Data'!L15/12-TRUNC('Beam Data'!L15/12))*12</f>
        <v>8.5</v>
      </c>
      <c r="AD12" s="64" t="str">
        <f>TRUNC('Beam Data'!M15/12)&amp;"'-"</f>
        <v>1'-</v>
      </c>
      <c r="AE12" s="64">
        <f>('Beam Data'!M15/12-TRUNC('Beam Data'!M15/12))*12</f>
        <v>3</v>
      </c>
      <c r="AF12" s="64" t="str">
        <f>TRUNC('Beam Data'!N15/12)&amp;"'-"</f>
        <v>0'-</v>
      </c>
      <c r="AG12" s="64">
        <f>('Beam Data'!N15/12-TRUNC('Beam Data'!N15/12))*12</f>
        <v>8.5</v>
      </c>
      <c r="AH12" s="64" t="str">
        <f>TRUNC('Beam Data'!O15/12)&amp;"'-"</f>
        <v>1'-</v>
      </c>
      <c r="AI12" s="64">
        <f>('Beam Data'!O15/12-TRUNC('Beam Data'!O15/12))*12</f>
        <v>3</v>
      </c>
      <c r="AJ12" s="64">
        <f>'Beam Data'!P15</f>
        <v>126</v>
      </c>
      <c r="AK12" s="64" t="str">
        <f>TRUNC('Beam Data'!Q15/12)&amp;"'-"</f>
        <v>3'-</v>
      </c>
      <c r="AL12" s="64">
        <f>('Beam Data'!Q15/12-TRUNC('Beam Data'!Q15/12))*12</f>
        <v>7.9999999999999982</v>
      </c>
      <c r="AM12" s="64" t="str">
        <f>TRUNC('Beam Data'!R15/12)&amp;"'-"</f>
        <v>3'-</v>
      </c>
      <c r="AN12" s="64">
        <f>('Beam Data'!R15/12-TRUNC('Beam Data'!R15/12))*12</f>
        <v>7.9999999999999982</v>
      </c>
      <c r="AO12" s="64">
        <f>'Beam Data'!S15</f>
        <v>95</v>
      </c>
      <c r="AP12" s="64">
        <f>'Beam Data'!I15</f>
        <v>160</v>
      </c>
      <c r="AQ12" s="64">
        <f>'Beam Data'!G9</f>
        <v>30</v>
      </c>
      <c r="AR12" s="64">
        <f>'Beam Data'!I9</f>
        <v>20</v>
      </c>
      <c r="AS12" s="64">
        <f>'Beam Data'!K9</f>
        <v>5</v>
      </c>
      <c r="AT12" s="64">
        <f>'Beam Data'!F15</f>
        <v>8</v>
      </c>
      <c r="AU12" s="64">
        <f>'Beam Data'!H9</f>
        <v>5.9999999999999991</v>
      </c>
    </row>
    <row r="13" spans="1:47" x14ac:dyDescent="0.45">
      <c r="A13" s="42" t="s">
        <v>942</v>
      </c>
      <c r="B13" s="42" t="s">
        <v>833</v>
      </c>
      <c r="C13" s="64" t="str">
        <f>Bm_Type</f>
        <v>FIB-36</v>
      </c>
      <c r="D13" s="64" t="str">
        <f>Des_ConcClass</f>
        <v>VI</v>
      </c>
      <c r="E13" s="68">
        <f>MC2_fc*1000</f>
        <v>8500</v>
      </c>
      <c r="F13" s="68">
        <f>MC2_fci*1000</f>
        <v>6000</v>
      </c>
      <c r="G13" s="64">
        <f>Des_Pattern</f>
        <v>1</v>
      </c>
      <c r="H13" s="64">
        <f>'Beam Geometry'!O16</f>
        <v>1</v>
      </c>
      <c r="I13" s="64">
        <f t="shared" si="0"/>
        <v>1</v>
      </c>
      <c r="J13" s="64">
        <f t="shared" si="0"/>
        <v>1</v>
      </c>
      <c r="K13" s="64" t="str">
        <f>"2-2-1"</f>
        <v>2-2-1</v>
      </c>
      <c r="L13" s="64" t="str">
        <f>"2-2-2"</f>
        <v>2-2-2</v>
      </c>
      <c r="M13" s="64">
        <f>'Beam Geometry'!I16</f>
        <v>90</v>
      </c>
      <c r="N13" s="64">
        <f>'Beam Geometry'!J16</f>
        <v>90</v>
      </c>
      <c r="O13" s="64">
        <f>'Beam Geometry'!N16</f>
        <v>0</v>
      </c>
      <c r="P13" s="64">
        <f>'Beam Geometry'!K16</f>
        <v>9</v>
      </c>
      <c r="Q13" s="64" t="str">
        <f>TRUNC('Beam Geometry'!L16/12)&amp;"'-"</f>
        <v>0'-</v>
      </c>
      <c r="R13" s="64">
        <f>('Beam Geometry'!L16/12-TRUNC('Beam Geometry'!L16/12))*12</f>
        <v>10.5</v>
      </c>
      <c r="S13" s="64" t="str">
        <f>TRUNC('Beam Geometry'!M16/12)&amp;"'-"</f>
        <v>1'-</v>
      </c>
      <c r="T13" s="64">
        <f>('Beam Geometry'!M16/12-TRUNC('Beam Geometry'!M16/12))*12</f>
        <v>0</v>
      </c>
      <c r="U13" s="68">
        <f>'Beam Geometry'!T16</f>
        <v>104</v>
      </c>
      <c r="V13" s="67">
        <f>'Beam Geometry'!U16</f>
        <v>7.8037648720609809</v>
      </c>
      <c r="W13" s="67">
        <f>'Beam Geometry'!R16</f>
        <v>1.4880787460651559</v>
      </c>
      <c r="X13" s="64" t="str">
        <f>TRUNC('Beam Data'!J16/12)&amp;"'-"</f>
        <v>1'-</v>
      </c>
      <c r="Y13" s="64">
        <f>('Beam Data'!J16/12-TRUNC('Beam Data'!J16/12))*12</f>
        <v>5.4999999999999991</v>
      </c>
      <c r="Z13" s="64" t="str">
        <f>TRUNC('Beam Data'!K16/12)&amp;"'-"</f>
        <v>1'-</v>
      </c>
      <c r="AA13" s="64">
        <f>('Beam Data'!K16/12-TRUNC('Beam Data'!K16/12))*12</f>
        <v>5.4999999999999991</v>
      </c>
      <c r="AB13" s="64" t="str">
        <f>TRUNC('Beam Data'!L16/12)&amp;"'-"</f>
        <v>0'-</v>
      </c>
      <c r="AC13" s="64">
        <f>('Beam Data'!L16/12-TRUNC('Beam Data'!L16/12))*12</f>
        <v>8.5</v>
      </c>
      <c r="AD13" s="64" t="str">
        <f>TRUNC('Beam Data'!M16/12)&amp;"'-"</f>
        <v>1'-</v>
      </c>
      <c r="AE13" s="64">
        <f>('Beam Data'!M16/12-TRUNC('Beam Data'!M16/12))*12</f>
        <v>3</v>
      </c>
      <c r="AF13" s="64" t="str">
        <f>TRUNC('Beam Data'!N16/12)&amp;"'-"</f>
        <v>0'-</v>
      </c>
      <c r="AG13" s="64">
        <f>('Beam Data'!N16/12-TRUNC('Beam Data'!N16/12))*12</f>
        <v>8.5</v>
      </c>
      <c r="AH13" s="64" t="str">
        <f>TRUNC('Beam Data'!O16/12)&amp;"'-"</f>
        <v>1'-</v>
      </c>
      <c r="AI13" s="64">
        <f>('Beam Data'!O16/12-TRUNC('Beam Data'!O16/12))*12</f>
        <v>3</v>
      </c>
      <c r="AJ13" s="64">
        <f>'Beam Data'!P16</f>
        <v>126</v>
      </c>
      <c r="AK13" s="64" t="str">
        <f>TRUNC('Beam Data'!Q16/12)&amp;"'-"</f>
        <v>3'-</v>
      </c>
      <c r="AL13" s="64">
        <f>('Beam Data'!Q16/12-TRUNC('Beam Data'!Q16/12))*12</f>
        <v>7.9999999999999982</v>
      </c>
      <c r="AM13" s="64" t="str">
        <f>TRUNC('Beam Data'!R16/12)&amp;"'-"</f>
        <v>3'-</v>
      </c>
      <c r="AN13" s="64">
        <f>('Beam Data'!R16/12-TRUNC('Beam Data'!R16/12))*12</f>
        <v>7.9999999999999982</v>
      </c>
      <c r="AO13" s="64">
        <f>'Beam Data'!S16</f>
        <v>95</v>
      </c>
      <c r="AP13" s="64">
        <f>'Beam Data'!I16</f>
        <v>160</v>
      </c>
      <c r="AQ13" s="64">
        <f>'Beam Data'!G9</f>
        <v>30</v>
      </c>
      <c r="AR13" s="64">
        <f>'Beam Data'!I9</f>
        <v>20</v>
      </c>
      <c r="AS13" s="64">
        <f>'Beam Data'!K9</f>
        <v>5</v>
      </c>
      <c r="AT13" s="64">
        <f>'Beam Data'!F16</f>
        <v>8</v>
      </c>
      <c r="AU13" s="64">
        <f>'Beam Data'!H9</f>
        <v>5.9999999999999991</v>
      </c>
    </row>
    <row r="15" spans="1:47" x14ac:dyDescent="0.45">
      <c r="A15" s="8" t="s">
        <v>1329</v>
      </c>
    </row>
    <row r="16" spans="1:47" x14ac:dyDescent="0.45">
      <c r="A16" s="8" t="s">
        <v>1330</v>
      </c>
    </row>
    <row r="17" spans="1:1" x14ac:dyDescent="0.45">
      <c r="A17" s="8" t="s">
        <v>1331</v>
      </c>
    </row>
  </sheetData>
  <mergeCells count="27">
    <mergeCell ref="A7:B7"/>
    <mergeCell ref="I7:J7"/>
    <mergeCell ref="AM9:AN9"/>
    <mergeCell ref="AB9:AC9"/>
    <mergeCell ref="AF9:AG9"/>
    <mergeCell ref="M7:T7"/>
    <mergeCell ref="AH9:AI9"/>
    <mergeCell ref="Z8:AA8"/>
    <mergeCell ref="M8:N8"/>
    <mergeCell ref="U8:V8"/>
    <mergeCell ref="K7:L7"/>
    <mergeCell ref="AK8:AL8"/>
    <mergeCell ref="X9:Y9"/>
    <mergeCell ref="Z9:AA9"/>
    <mergeCell ref="D7:F7"/>
    <mergeCell ref="U7:W7"/>
    <mergeCell ref="X8:Y8"/>
    <mergeCell ref="E8:F8"/>
    <mergeCell ref="Q8:R8"/>
    <mergeCell ref="S8:T8"/>
    <mergeCell ref="AD9:AE9"/>
    <mergeCell ref="AM8:AN8"/>
    <mergeCell ref="AB8:AE8"/>
    <mergeCell ref="X7:AU7"/>
    <mergeCell ref="AF8:AI8"/>
    <mergeCell ref="AK9:AL9"/>
    <mergeCell ref="AQ8:AT8"/>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A96A3"/>
  </sheetPr>
  <dimension ref="B1:M31"/>
  <sheetViews>
    <sheetView showGridLines="0" workbookViewId="0"/>
  </sheetViews>
  <sheetFormatPr defaultRowHeight="14.25" x14ac:dyDescent="0.45"/>
  <cols>
    <col min="1" max="1" width="2" customWidth="1"/>
    <col min="2" max="13" width="11.46484375" customWidth="1"/>
  </cols>
  <sheetData>
    <row r="1" spans="2:13" ht="20.65" x14ac:dyDescent="0.6">
      <c r="B1" s="35" t="s">
        <v>1332</v>
      </c>
    </row>
    <row r="2" spans="2:13" x14ac:dyDescent="0.45">
      <c r="B2" s="8" t="s">
        <v>1333</v>
      </c>
    </row>
    <row r="4" spans="2:13" x14ac:dyDescent="0.45">
      <c r="B4" s="77" t="s">
        <v>106</v>
      </c>
      <c r="C4" s="77" t="s">
        <v>671</v>
      </c>
      <c r="D4" s="78"/>
      <c r="E4" s="78"/>
      <c r="F4" s="78"/>
      <c r="G4" s="78"/>
      <c r="H4" s="77" t="s">
        <v>672</v>
      </c>
      <c r="I4" s="78"/>
      <c r="J4" s="78"/>
      <c r="K4" s="77" t="s">
        <v>673</v>
      </c>
      <c r="L4" s="78"/>
      <c r="M4" s="78"/>
    </row>
    <row r="5" spans="2:13" ht="15.2" customHeight="1" x14ac:dyDescent="0.45">
      <c r="B5" s="76" t="s">
        <v>1334</v>
      </c>
      <c r="C5" s="76" t="s">
        <v>1335</v>
      </c>
      <c r="D5" s="75"/>
      <c r="E5" s="75"/>
      <c r="F5" s="75"/>
      <c r="G5" s="75"/>
      <c r="H5" s="76" t="s">
        <v>1336</v>
      </c>
      <c r="I5" s="75"/>
      <c r="J5" s="75"/>
      <c r="K5" s="76" t="s">
        <v>685</v>
      </c>
      <c r="L5" s="75"/>
      <c r="M5" s="75"/>
    </row>
    <row r="6" spans="2:13" ht="15.2" customHeight="1" x14ac:dyDescent="0.45">
      <c r="B6" s="76" t="s">
        <v>1337</v>
      </c>
      <c r="C6" s="76" t="s">
        <v>1338</v>
      </c>
      <c r="D6" s="75"/>
      <c r="E6" s="75"/>
      <c r="F6" s="75"/>
      <c r="G6" s="75"/>
      <c r="H6" s="76" t="s">
        <v>1339</v>
      </c>
      <c r="I6" s="75"/>
      <c r="J6" s="75"/>
      <c r="K6" s="76" t="s">
        <v>1340</v>
      </c>
      <c r="L6" s="75"/>
      <c r="M6" s="75"/>
    </row>
    <row r="7" spans="2:13" ht="15.2" customHeight="1" x14ac:dyDescent="0.45">
      <c r="B7" s="76" t="s">
        <v>1341</v>
      </c>
      <c r="C7" s="76" t="s">
        <v>1342</v>
      </c>
      <c r="D7" s="75"/>
      <c r="E7" s="75"/>
      <c r="F7" s="75"/>
      <c r="G7" s="75"/>
      <c r="H7" s="76" t="s">
        <v>613</v>
      </c>
      <c r="I7" s="75"/>
      <c r="J7" s="75"/>
      <c r="K7" s="76" t="s">
        <v>685</v>
      </c>
      <c r="L7" s="75"/>
      <c r="M7" s="75"/>
    </row>
    <row r="8" spans="2:13" ht="15.2" customHeight="1" x14ac:dyDescent="0.45">
      <c r="B8" s="76" t="s">
        <v>823</v>
      </c>
      <c r="C8" s="76" t="s">
        <v>1343</v>
      </c>
      <c r="D8" s="75"/>
      <c r="E8" s="75"/>
      <c r="F8" s="75"/>
      <c r="G8" s="75"/>
      <c r="H8" s="76" t="s">
        <v>1344</v>
      </c>
      <c r="I8" s="75"/>
      <c r="J8" s="75"/>
      <c r="K8" s="76" t="s">
        <v>685</v>
      </c>
      <c r="L8" s="75"/>
      <c r="M8" s="75"/>
    </row>
    <row r="9" spans="2:13" ht="15.2" customHeight="1" x14ac:dyDescent="0.45">
      <c r="B9" s="76" t="s">
        <v>1026</v>
      </c>
      <c r="C9" s="76" t="s">
        <v>1345</v>
      </c>
      <c r="D9" s="75"/>
      <c r="E9" s="75"/>
      <c r="F9" s="75"/>
      <c r="G9" s="75"/>
      <c r="H9" s="76" t="s">
        <v>616</v>
      </c>
      <c r="I9" s="75"/>
      <c r="J9" s="75"/>
      <c r="K9" s="76" t="s">
        <v>685</v>
      </c>
      <c r="L9" s="75"/>
      <c r="M9" s="75"/>
    </row>
    <row r="10" spans="2:13" ht="15.2" customHeight="1" x14ac:dyDescent="0.45">
      <c r="B10" s="76" t="s">
        <v>1346</v>
      </c>
      <c r="C10" s="76" t="s">
        <v>1347</v>
      </c>
      <c r="D10" s="75"/>
      <c r="E10" s="75"/>
      <c r="F10" s="75"/>
      <c r="G10" s="75"/>
      <c r="H10" s="76" t="s">
        <v>76</v>
      </c>
      <c r="I10" s="75"/>
      <c r="J10" s="75"/>
      <c r="K10" s="76" t="s">
        <v>685</v>
      </c>
      <c r="L10" s="75"/>
      <c r="M10" s="75"/>
    </row>
    <row r="11" spans="2:13" ht="15.2" customHeight="1" x14ac:dyDescent="0.45">
      <c r="B11" s="76" t="s">
        <v>1348</v>
      </c>
      <c r="C11" s="76" t="s">
        <v>1349</v>
      </c>
      <c r="D11" s="75"/>
      <c r="E11" s="75"/>
      <c r="F11" s="75"/>
      <c r="G11" s="75"/>
      <c r="H11" s="76" t="s">
        <v>1350</v>
      </c>
      <c r="I11" s="75"/>
      <c r="J11" s="75"/>
      <c r="K11" s="76" t="s">
        <v>467</v>
      </c>
      <c r="L11" s="75"/>
      <c r="M11" s="75"/>
    </row>
    <row r="12" spans="2:13" ht="15.2" customHeight="1" x14ac:dyDescent="0.45">
      <c r="B12" s="76" t="s">
        <v>1351</v>
      </c>
      <c r="C12" s="76" t="s">
        <v>1352</v>
      </c>
      <c r="D12" s="75"/>
      <c r="E12" s="75"/>
      <c r="F12" s="75"/>
      <c r="G12" s="75"/>
      <c r="H12" s="76" t="s">
        <v>1353</v>
      </c>
      <c r="I12" s="75"/>
      <c r="J12" s="75"/>
      <c r="K12" s="76" t="s">
        <v>1354</v>
      </c>
      <c r="L12" s="75"/>
      <c r="M12" s="75"/>
    </row>
    <row r="13" spans="2:13" ht="15.2" customHeight="1" x14ac:dyDescent="0.45">
      <c r="B13" s="76" t="s">
        <v>1355</v>
      </c>
      <c r="C13" s="76" t="s">
        <v>1356</v>
      </c>
      <c r="D13" s="75"/>
      <c r="E13" s="75"/>
      <c r="F13" s="75"/>
      <c r="G13" s="75"/>
      <c r="H13" s="76" t="s">
        <v>1357</v>
      </c>
      <c r="I13" s="75"/>
      <c r="J13" s="75"/>
      <c r="K13" s="76" t="s">
        <v>1358</v>
      </c>
      <c r="L13" s="75"/>
      <c r="M13" s="75"/>
    </row>
    <row r="14" spans="2:13" ht="15.2" customHeight="1" x14ac:dyDescent="0.45">
      <c r="B14" s="76" t="s">
        <v>1359</v>
      </c>
      <c r="C14" s="76" t="s">
        <v>1360</v>
      </c>
      <c r="D14" s="75"/>
      <c r="E14" s="75"/>
      <c r="F14" s="75"/>
      <c r="G14" s="75"/>
      <c r="H14" s="76" t="s">
        <v>1361</v>
      </c>
      <c r="I14" s="75"/>
      <c r="J14" s="75"/>
      <c r="K14" s="76" t="s">
        <v>1362</v>
      </c>
      <c r="L14" s="75"/>
      <c r="M14" s="75"/>
    </row>
    <row r="15" spans="2:13" ht="15.2" customHeight="1" x14ac:dyDescent="0.45">
      <c r="B15" s="76" t="s">
        <v>1363</v>
      </c>
      <c r="C15" s="76" t="s">
        <v>1364</v>
      </c>
      <c r="D15" s="75"/>
      <c r="E15" s="75"/>
      <c r="F15" s="75"/>
      <c r="G15" s="75"/>
      <c r="H15" s="76" t="s">
        <v>1365</v>
      </c>
      <c r="I15" s="75"/>
      <c r="J15" s="75"/>
      <c r="K15" s="76" t="s">
        <v>1366</v>
      </c>
      <c r="L15" s="75"/>
      <c r="M15" s="75"/>
    </row>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5" customHeight="1" x14ac:dyDescent="0.45"/>
    <row r="25" spans="2:13" ht="15" customHeight="1" x14ac:dyDescent="0.45"/>
    <row r="26" spans="2:13" ht="15" customHeight="1" x14ac:dyDescent="0.45"/>
    <row r="27" spans="2:13" ht="15" customHeight="1" x14ac:dyDescent="0.45"/>
    <row r="28" spans="2:13" ht="15" customHeight="1" x14ac:dyDescent="0.45"/>
    <row r="29" spans="2:13" ht="15" customHeight="1" x14ac:dyDescent="0.45"/>
    <row r="30" spans="2:13" ht="16.25" customHeight="1" x14ac:dyDescent="0.45">
      <c r="B30" s="74" t="s">
        <v>1367</v>
      </c>
      <c r="C30" s="75"/>
      <c r="D30" s="75"/>
      <c r="E30" s="75"/>
      <c r="F30" s="75"/>
      <c r="G30" s="75"/>
      <c r="H30" s="75"/>
      <c r="I30" s="75"/>
      <c r="J30" s="75"/>
      <c r="K30" s="75"/>
      <c r="L30" s="75"/>
      <c r="M30" s="75"/>
    </row>
    <row r="31" spans="2:13" ht="29.45" customHeight="1" x14ac:dyDescent="0.45">
      <c r="B31" s="76" t="s">
        <v>1368</v>
      </c>
      <c r="C31" s="75"/>
      <c r="D31" s="75"/>
      <c r="E31" s="75"/>
      <c r="F31" s="75"/>
      <c r="G31" s="75"/>
      <c r="H31" s="75"/>
      <c r="I31" s="75"/>
      <c r="J31" s="75"/>
      <c r="K31" s="75"/>
      <c r="L31" s="75"/>
      <c r="M31" s="75"/>
    </row>
  </sheetData>
  <mergeCells count="50">
    <mergeCell ref="B31:M31"/>
    <mergeCell ref="H4:J4"/>
    <mergeCell ref="H9:J9"/>
    <mergeCell ref="B10"/>
    <mergeCell ref="C13:G13"/>
    <mergeCell ref="K11:M11"/>
    <mergeCell ref="H6:J6"/>
    <mergeCell ref="B30:M30"/>
    <mergeCell ref="C9:G9"/>
    <mergeCell ref="K7:M7"/>
    <mergeCell ref="H15:J15"/>
    <mergeCell ref="B12"/>
    <mergeCell ref="K10:M10"/>
    <mergeCell ref="C12:G12"/>
    <mergeCell ref="H14:J14"/>
    <mergeCell ref="K13:M13"/>
    <mergeCell ref="B11"/>
    <mergeCell ref="H8:J8"/>
    <mergeCell ref="C11:G11"/>
    <mergeCell ref="C8:G8"/>
    <mergeCell ref="B14"/>
    <mergeCell ref="K15:M15"/>
    <mergeCell ref="B8"/>
    <mergeCell ref="C4:G4"/>
    <mergeCell ref="B4"/>
    <mergeCell ref="C10:G10"/>
    <mergeCell ref="H13:J13"/>
    <mergeCell ref="K14:M14"/>
    <mergeCell ref="B7"/>
    <mergeCell ref="H12:J12"/>
    <mergeCell ref="K4:M4"/>
    <mergeCell ref="K6:M6"/>
    <mergeCell ref="H5:J5"/>
    <mergeCell ref="C7:G7"/>
    <mergeCell ref="H10:J10"/>
    <mergeCell ref="B13"/>
    <mergeCell ref="K9:M9"/>
    <mergeCell ref="K5:M5"/>
    <mergeCell ref="C5:G5"/>
    <mergeCell ref="C14:G14"/>
    <mergeCell ref="K12:M12"/>
    <mergeCell ref="B5"/>
    <mergeCell ref="H11:J11"/>
    <mergeCell ref="H7:J7"/>
    <mergeCell ref="K8:M8"/>
    <mergeCell ref="B9"/>
    <mergeCell ref="C6:G6"/>
    <mergeCell ref="B15"/>
    <mergeCell ref="C15:G15"/>
    <mergeCell ref="B6"/>
  </mergeCells>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0392B"/>
  </sheetPr>
  <dimension ref="A1:M16"/>
  <sheetViews>
    <sheetView showGridLines="0" workbookViewId="0"/>
  </sheetViews>
  <sheetFormatPr defaultRowHeight="14.25" x14ac:dyDescent="0.45"/>
  <cols>
    <col min="1" max="1" width="13" customWidth="1"/>
    <col min="2" max="3" width="9" customWidth="1"/>
    <col min="4" max="5" width="8" customWidth="1"/>
    <col min="6" max="7" width="10" customWidth="1"/>
    <col min="8" max="8" width="13" customWidth="1"/>
    <col min="9" max="11" width="8" customWidth="1"/>
  </cols>
  <sheetData>
    <row r="1" spans="1:13" ht="17.649999999999999" x14ac:dyDescent="0.5">
      <c r="A1" s="15" t="s">
        <v>1369</v>
      </c>
      <c r="M1" s="37" t="str">
        <f>"JOB #: "&amp;TB_JobNo</f>
        <v xml:space="preserve">JOB #: </v>
      </c>
    </row>
    <row r="2" spans="1:13" x14ac:dyDescent="0.45">
      <c r="A2" s="8" t="s">
        <v>1370</v>
      </c>
      <c r="M2" s="37" t="str">
        <f>"PROJECT NAME: "&amp;TB_Project</f>
        <v>PROJECT NAME: D2 I-95 Pedestrian Bridge</v>
      </c>
    </row>
    <row r="3" spans="1:13" x14ac:dyDescent="0.45">
      <c r="M3" s="37" t="str">
        <f>"SUBJECT: "&amp;"BEARING PLATE DATA TABLE - TYPE 2"</f>
        <v>SUBJECT: BEARING PLATE DATA TABLE - TYPE 2</v>
      </c>
    </row>
    <row r="4" spans="1:13" x14ac:dyDescent="0.45">
      <c r="M4" s="37" t="str">
        <f>"CALCULATED BY: "&amp;TB_CalcBy&amp;"   "&amp;TB_CalcDate</f>
        <v xml:space="preserve">CALCULATED BY:    </v>
      </c>
    </row>
    <row r="5" spans="1:13" x14ac:dyDescent="0.45">
      <c r="A5" s="8" t="s">
        <v>1371</v>
      </c>
      <c r="M5" s="37" t="str">
        <f>"CHECKED BY: "&amp;TB_CheckBy&amp;"   "&amp;TB_CheckDate</f>
        <v xml:space="preserve">CHECKED BY:    </v>
      </c>
    </row>
    <row r="7" spans="1:13" ht="30" customHeight="1" x14ac:dyDescent="0.45">
      <c r="A7" s="81" t="s">
        <v>1372</v>
      </c>
      <c r="B7" s="84"/>
      <c r="C7" s="84"/>
      <c r="D7" s="84"/>
      <c r="E7" s="84"/>
      <c r="F7" s="84"/>
      <c r="G7" s="82"/>
      <c r="H7" s="81" t="s">
        <v>1373</v>
      </c>
      <c r="I7" s="81" t="s">
        <v>1374</v>
      </c>
      <c r="J7" s="84"/>
      <c r="K7" s="82"/>
    </row>
    <row r="8" spans="1:13" ht="30" customHeight="1" x14ac:dyDescent="0.45">
      <c r="A8" s="19" t="s">
        <v>1298</v>
      </c>
      <c r="B8" s="19" t="s">
        <v>1375</v>
      </c>
      <c r="C8" s="19" t="s">
        <v>1376</v>
      </c>
      <c r="D8" s="19" t="s">
        <v>1377</v>
      </c>
      <c r="E8" s="19" t="s">
        <v>1378</v>
      </c>
      <c r="F8" s="19" t="s">
        <v>1297</v>
      </c>
      <c r="G8" s="19" t="s">
        <v>1379</v>
      </c>
      <c r="H8" s="83"/>
      <c r="I8" s="19" t="s">
        <v>240</v>
      </c>
      <c r="J8" s="19" t="s">
        <v>1380</v>
      </c>
      <c r="K8" s="19" t="s">
        <v>1381</v>
      </c>
    </row>
    <row r="9" spans="1:13" x14ac:dyDescent="0.45">
      <c r="A9" s="64" t="str">
        <f>'Bearing Seats'!B31</f>
        <v>1-1-1</v>
      </c>
      <c r="B9" s="64">
        <f>'Bearing Seats'!C31</f>
        <v>1</v>
      </c>
      <c r="C9" s="64">
        <f>'Bearing Seats'!D31</f>
        <v>1</v>
      </c>
      <c r="D9" s="64" t="str">
        <f>'Bearing Seats'!E31</f>
        <v>F</v>
      </c>
      <c r="E9" s="64">
        <f>'Bearing Seats'!F31</f>
        <v>1</v>
      </c>
      <c r="F9" s="64">
        <f>'Bearing Seats'!G31</f>
        <v>1</v>
      </c>
      <c r="G9" s="63">
        <f>'Bearing Seats'!H31</f>
        <v>0.53925868494673068</v>
      </c>
      <c r="H9" s="64" t="str">
        <f>'Bearing Seats'!I31</f>
        <v>NO</v>
      </c>
      <c r="I9" s="64" t="str">
        <f>'Bearing Seats'!J31</f>
        <v>N/A</v>
      </c>
      <c r="J9" s="64" t="str">
        <f>'Bearing Seats'!K31</f>
        <v>N/A</v>
      </c>
      <c r="K9" s="64" t="str">
        <f>'Bearing Seats'!L31</f>
        <v>N/A</v>
      </c>
    </row>
    <row r="10" spans="1:13" x14ac:dyDescent="0.45">
      <c r="A10" s="64" t="str">
        <f>'Bearing Seats'!B32</f>
        <v>1-2-1</v>
      </c>
      <c r="B10" s="64">
        <f>'Bearing Seats'!C32</f>
        <v>1</v>
      </c>
      <c r="C10" s="64">
        <f>'Bearing Seats'!D32</f>
        <v>2</v>
      </c>
      <c r="D10" s="64" t="str">
        <f>'Bearing Seats'!E32</f>
        <v>F</v>
      </c>
      <c r="E10" s="64">
        <f>'Bearing Seats'!F32</f>
        <v>1</v>
      </c>
      <c r="F10" s="64">
        <f>'Bearing Seats'!G32</f>
        <v>1</v>
      </c>
      <c r="G10" s="63">
        <f>'Bearing Seats'!H32</f>
        <v>0.53925868494673068</v>
      </c>
      <c r="H10" s="64" t="str">
        <f>'Bearing Seats'!I32</f>
        <v>NO</v>
      </c>
      <c r="I10" s="64" t="str">
        <f>'Bearing Seats'!J32</f>
        <v>N/A</v>
      </c>
      <c r="J10" s="64" t="str">
        <f>'Bearing Seats'!K32</f>
        <v>N/A</v>
      </c>
      <c r="K10" s="64" t="str">
        <f>'Bearing Seats'!L32</f>
        <v>N/A</v>
      </c>
    </row>
    <row r="11" spans="1:13" x14ac:dyDescent="0.45">
      <c r="A11" s="64" t="str">
        <f>'Bearing Seats'!B33</f>
        <v>1-1-2</v>
      </c>
      <c r="B11" s="64">
        <f>'Bearing Seats'!C33</f>
        <v>1</v>
      </c>
      <c r="C11" s="64">
        <f>'Bearing Seats'!D33</f>
        <v>1</v>
      </c>
      <c r="D11" s="64" t="str">
        <f>'Bearing Seats'!E33</f>
        <v>F</v>
      </c>
      <c r="E11" s="64">
        <f>'Bearing Seats'!F33</f>
        <v>2</v>
      </c>
      <c r="F11" s="64">
        <f>'Bearing Seats'!G33</f>
        <v>1</v>
      </c>
      <c r="G11" s="63">
        <f>'Bearing Seats'!H33</f>
        <v>0.46050843195928337</v>
      </c>
      <c r="H11" s="64" t="str">
        <f>'Bearing Seats'!I33</f>
        <v>NO</v>
      </c>
      <c r="I11" s="64" t="str">
        <f>'Bearing Seats'!J33</f>
        <v>N/A</v>
      </c>
      <c r="J11" s="64" t="str">
        <f>'Bearing Seats'!K33</f>
        <v>N/A</v>
      </c>
      <c r="K11" s="64" t="str">
        <f>'Bearing Seats'!L33</f>
        <v>N/A</v>
      </c>
    </row>
    <row r="12" spans="1:13" x14ac:dyDescent="0.45">
      <c r="A12" s="64" t="str">
        <f>'Bearing Seats'!B34</f>
        <v>1-2-2</v>
      </c>
      <c r="B12" s="64">
        <f>'Bearing Seats'!C34</f>
        <v>1</v>
      </c>
      <c r="C12" s="64">
        <f>'Bearing Seats'!D34</f>
        <v>2</v>
      </c>
      <c r="D12" s="64" t="str">
        <f>'Bearing Seats'!E34</f>
        <v>F</v>
      </c>
      <c r="E12" s="64">
        <f>'Bearing Seats'!F34</f>
        <v>2</v>
      </c>
      <c r="F12" s="64">
        <f>'Bearing Seats'!G34</f>
        <v>1</v>
      </c>
      <c r="G12" s="63">
        <f>'Bearing Seats'!H34</f>
        <v>0.46050843195928337</v>
      </c>
      <c r="H12" s="64" t="str">
        <f>'Bearing Seats'!I34</f>
        <v>NO</v>
      </c>
      <c r="I12" s="64" t="str">
        <f>'Bearing Seats'!J34</f>
        <v>N/A</v>
      </c>
      <c r="J12" s="64" t="str">
        <f>'Bearing Seats'!K34</f>
        <v>N/A</v>
      </c>
      <c r="K12" s="64" t="str">
        <f>'Bearing Seats'!L34</f>
        <v>N/A</v>
      </c>
    </row>
    <row r="13" spans="1:13" x14ac:dyDescent="0.45">
      <c r="A13" s="64" t="str">
        <f>'Bearing Seats'!B35</f>
        <v>2-1-1</v>
      </c>
      <c r="B13" s="64">
        <f>'Bearing Seats'!C35</f>
        <v>2</v>
      </c>
      <c r="C13" s="64">
        <f>'Bearing Seats'!D35</f>
        <v>1</v>
      </c>
      <c r="D13" s="64" t="str">
        <f>'Bearing Seats'!E35</f>
        <v>F</v>
      </c>
      <c r="E13" s="64">
        <f>'Bearing Seats'!F35</f>
        <v>1</v>
      </c>
      <c r="F13" s="64">
        <f>'Bearing Seats'!G35</f>
        <v>1</v>
      </c>
      <c r="G13" s="63">
        <f>'Bearing Seats'!H35</f>
        <v>-0.31661306612761564</v>
      </c>
      <c r="H13" s="64" t="str">
        <f>'Bearing Seats'!I35</f>
        <v>NO</v>
      </c>
      <c r="I13" s="64" t="str">
        <f>'Bearing Seats'!J35</f>
        <v>N/A</v>
      </c>
      <c r="J13" s="64" t="str">
        <f>'Bearing Seats'!K35</f>
        <v>N/A</v>
      </c>
      <c r="K13" s="64" t="str">
        <f>'Bearing Seats'!L35</f>
        <v>N/A</v>
      </c>
    </row>
    <row r="14" spans="1:13" x14ac:dyDescent="0.45">
      <c r="A14" s="64" t="str">
        <f>'Bearing Seats'!B36</f>
        <v>2-2-1</v>
      </c>
      <c r="B14" s="64">
        <f>'Bearing Seats'!C36</f>
        <v>2</v>
      </c>
      <c r="C14" s="64">
        <f>'Bearing Seats'!D36</f>
        <v>2</v>
      </c>
      <c r="D14" s="64" t="str">
        <f>'Bearing Seats'!E36</f>
        <v>F</v>
      </c>
      <c r="E14" s="64">
        <f>'Bearing Seats'!F36</f>
        <v>1</v>
      </c>
      <c r="F14" s="64">
        <f>'Bearing Seats'!G36</f>
        <v>1</v>
      </c>
      <c r="G14" s="63">
        <f>'Bearing Seats'!H36</f>
        <v>-0.31661306612761564</v>
      </c>
      <c r="H14" s="64" t="str">
        <f>'Bearing Seats'!I36</f>
        <v>NO</v>
      </c>
      <c r="I14" s="64" t="str">
        <f>'Bearing Seats'!J36</f>
        <v>N/A</v>
      </c>
      <c r="J14" s="64" t="str">
        <f>'Bearing Seats'!K36</f>
        <v>N/A</v>
      </c>
      <c r="K14" s="64" t="str">
        <f>'Bearing Seats'!L36</f>
        <v>N/A</v>
      </c>
    </row>
    <row r="15" spans="1:13" x14ac:dyDescent="0.45">
      <c r="A15" s="64" t="str">
        <f>'Bearing Seats'!B37</f>
        <v>2-1-2</v>
      </c>
      <c r="B15" s="64">
        <f>'Bearing Seats'!C37</f>
        <v>2</v>
      </c>
      <c r="C15" s="64">
        <f>'Bearing Seats'!D37</f>
        <v>1</v>
      </c>
      <c r="D15" s="64" t="str">
        <f>'Bearing Seats'!E37</f>
        <v>F</v>
      </c>
      <c r="E15" s="64">
        <f>'Bearing Seats'!F37</f>
        <v>2</v>
      </c>
      <c r="F15" s="64">
        <f>'Bearing Seats'!G37</f>
        <v>1</v>
      </c>
      <c r="G15" s="63">
        <f>'Bearing Seats'!H37</f>
        <v>-0.68362525608421265</v>
      </c>
      <c r="H15" s="64" t="str">
        <f>'Bearing Seats'!I37</f>
        <v>NO</v>
      </c>
      <c r="I15" s="64" t="str">
        <f>'Bearing Seats'!J37</f>
        <v>N/A</v>
      </c>
      <c r="J15" s="64" t="str">
        <f>'Bearing Seats'!K37</f>
        <v>N/A</v>
      </c>
      <c r="K15" s="64" t="str">
        <f>'Bearing Seats'!L37</f>
        <v>N/A</v>
      </c>
    </row>
    <row r="16" spans="1:13" x14ac:dyDescent="0.45">
      <c r="A16" s="64" t="str">
        <f>'Bearing Seats'!B38</f>
        <v>2-2-2</v>
      </c>
      <c r="B16" s="64">
        <f>'Bearing Seats'!C38</f>
        <v>2</v>
      </c>
      <c r="C16" s="64">
        <f>'Bearing Seats'!D38</f>
        <v>2</v>
      </c>
      <c r="D16" s="64" t="str">
        <f>'Bearing Seats'!E38</f>
        <v>F</v>
      </c>
      <c r="E16" s="64">
        <f>'Bearing Seats'!F38</f>
        <v>2</v>
      </c>
      <c r="F16" s="64">
        <f>'Bearing Seats'!G38</f>
        <v>1</v>
      </c>
      <c r="G16" s="63">
        <f>'Bearing Seats'!H38</f>
        <v>-0.68362525608421265</v>
      </c>
      <c r="H16" s="64" t="str">
        <f>'Bearing Seats'!I38</f>
        <v>NO</v>
      </c>
      <c r="I16" s="64" t="str">
        <f>'Bearing Seats'!J38</f>
        <v>N/A</v>
      </c>
      <c r="J16" s="64" t="str">
        <f>'Bearing Seats'!K38</f>
        <v>N/A</v>
      </c>
      <c r="K16" s="64" t="str">
        <f>'Bearing Seats'!L38</f>
        <v>N/A</v>
      </c>
    </row>
  </sheetData>
  <mergeCells count="3">
    <mergeCell ref="I7:K7"/>
    <mergeCell ref="H7:H8"/>
    <mergeCell ref="A7:G7"/>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A96A3"/>
  </sheetPr>
  <dimension ref="B1:M24"/>
  <sheetViews>
    <sheetView showGridLines="0" workbookViewId="0"/>
  </sheetViews>
  <sheetFormatPr defaultRowHeight="14.25" x14ac:dyDescent="0.45"/>
  <cols>
    <col min="1" max="1" width="2" customWidth="1"/>
    <col min="2" max="13" width="11.46484375" customWidth="1"/>
  </cols>
  <sheetData>
    <row r="1" spans="2:13" ht="20.65" x14ac:dyDescent="0.6">
      <c r="B1" s="35" t="s">
        <v>1382</v>
      </c>
    </row>
    <row r="2" spans="2:13" x14ac:dyDescent="0.45">
      <c r="B2" s="8" t="s">
        <v>1383</v>
      </c>
    </row>
    <row r="4" spans="2:13" x14ac:dyDescent="0.45">
      <c r="B4" s="77" t="s">
        <v>106</v>
      </c>
      <c r="C4" s="77" t="s">
        <v>671</v>
      </c>
      <c r="D4" s="78"/>
      <c r="E4" s="78"/>
      <c r="F4" s="78"/>
      <c r="G4" s="78"/>
      <c r="H4" s="77" t="s">
        <v>672</v>
      </c>
      <c r="I4" s="78"/>
      <c r="J4" s="78"/>
      <c r="K4" s="77" t="s">
        <v>673</v>
      </c>
      <c r="L4" s="78"/>
      <c r="M4" s="78"/>
    </row>
    <row r="5" spans="2:13" ht="15.2" customHeight="1" x14ac:dyDescent="0.45">
      <c r="B5" s="76" t="s">
        <v>1346</v>
      </c>
      <c r="C5" s="76" t="s">
        <v>1384</v>
      </c>
      <c r="D5" s="75"/>
      <c r="E5" s="75"/>
      <c r="F5" s="75"/>
      <c r="G5" s="75"/>
      <c r="H5" s="76" t="s">
        <v>1385</v>
      </c>
      <c r="I5" s="75"/>
      <c r="J5" s="75"/>
      <c r="K5" s="76" t="s">
        <v>685</v>
      </c>
      <c r="L5" s="75"/>
      <c r="M5" s="75"/>
    </row>
    <row r="6" spans="2:13" ht="15.2" customHeight="1" x14ac:dyDescent="0.45">
      <c r="B6" s="76" t="s">
        <v>649</v>
      </c>
      <c r="C6" s="76" t="s">
        <v>1386</v>
      </c>
      <c r="D6" s="75"/>
      <c r="E6" s="75"/>
      <c r="F6" s="75"/>
      <c r="G6" s="75"/>
      <c r="H6" s="76" t="s">
        <v>620</v>
      </c>
      <c r="I6" s="75"/>
      <c r="J6" s="75"/>
      <c r="K6" s="76" t="s">
        <v>685</v>
      </c>
      <c r="L6" s="75"/>
      <c r="M6" s="75"/>
    </row>
    <row r="7" spans="2:13" ht="15.2" customHeight="1" x14ac:dyDescent="0.45">
      <c r="B7" s="76" t="s">
        <v>795</v>
      </c>
      <c r="C7" s="76" t="s">
        <v>1387</v>
      </c>
      <c r="D7" s="75"/>
      <c r="E7" s="75"/>
      <c r="F7" s="75"/>
      <c r="G7" s="75"/>
      <c r="H7" s="76" t="s">
        <v>685</v>
      </c>
      <c r="I7" s="75"/>
      <c r="J7" s="75"/>
      <c r="K7" s="76" t="s">
        <v>685</v>
      </c>
      <c r="L7" s="75"/>
      <c r="M7" s="75"/>
    </row>
    <row r="8" spans="2:13" ht="28.45" customHeight="1" x14ac:dyDescent="0.45">
      <c r="B8" s="76" t="s">
        <v>1027</v>
      </c>
      <c r="C8" s="76" t="s">
        <v>1388</v>
      </c>
      <c r="D8" s="75"/>
      <c r="E8" s="75"/>
      <c r="F8" s="75"/>
      <c r="G8" s="75"/>
      <c r="H8" s="76" t="s">
        <v>1057</v>
      </c>
      <c r="I8" s="75"/>
      <c r="J8" s="75"/>
      <c r="K8" s="76" t="s">
        <v>484</v>
      </c>
      <c r="L8" s="75"/>
      <c r="M8" s="75"/>
    </row>
    <row r="9" spans="2:13" ht="15.2" customHeight="1" x14ac:dyDescent="0.45">
      <c r="B9" s="76" t="s">
        <v>1389</v>
      </c>
      <c r="C9" s="76" t="s">
        <v>1390</v>
      </c>
      <c r="D9" s="75"/>
      <c r="E9" s="75"/>
      <c r="F9" s="75"/>
      <c r="G9" s="75"/>
      <c r="H9" s="76" t="s">
        <v>623</v>
      </c>
      <c r="I9" s="75"/>
      <c r="J9" s="75"/>
      <c r="K9" s="76" t="s">
        <v>685</v>
      </c>
      <c r="L9" s="75"/>
      <c r="M9" s="75"/>
    </row>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5" customHeight="1" x14ac:dyDescent="0.45"/>
    <row r="24" spans="2:13" ht="16.25" customHeight="1" x14ac:dyDescent="0.45">
      <c r="B24" s="74" t="s">
        <v>1391</v>
      </c>
      <c r="C24" s="75"/>
      <c r="D24" s="75"/>
      <c r="E24" s="75"/>
      <c r="F24" s="75"/>
      <c r="G24" s="75"/>
      <c r="H24" s="75"/>
      <c r="I24" s="75"/>
      <c r="J24" s="75"/>
      <c r="K24" s="75"/>
      <c r="L24" s="75"/>
      <c r="M24" s="75"/>
    </row>
  </sheetData>
  <mergeCells count="25">
    <mergeCell ref="B24:M24"/>
    <mergeCell ref="K4:M4"/>
    <mergeCell ref="K6:M6"/>
    <mergeCell ref="H5:J5"/>
    <mergeCell ref="H8:J8"/>
    <mergeCell ref="C8:G8"/>
    <mergeCell ref="B8"/>
    <mergeCell ref="C7:G7"/>
    <mergeCell ref="K9:M9"/>
    <mergeCell ref="K5:M5"/>
    <mergeCell ref="H4:J4"/>
    <mergeCell ref="H9:J9"/>
    <mergeCell ref="H6:J6"/>
    <mergeCell ref="H7:J7"/>
    <mergeCell ref="K8:M8"/>
    <mergeCell ref="C4:G4"/>
    <mergeCell ref="B4"/>
    <mergeCell ref="B7"/>
    <mergeCell ref="K7:M7"/>
    <mergeCell ref="B9"/>
    <mergeCell ref="C6:G6"/>
    <mergeCell ref="B6"/>
    <mergeCell ref="C5:G5"/>
    <mergeCell ref="B5"/>
    <mergeCell ref="C9:G9"/>
  </mergeCells>
  <pageMargins left="0.75" right="0.75" top="1" bottom="1" header="0.5" footer="0.5"/>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0392B"/>
  </sheetPr>
  <dimension ref="A1:K32"/>
  <sheetViews>
    <sheetView showGridLines="0" workbookViewId="0"/>
  </sheetViews>
  <sheetFormatPr defaultRowHeight="14.25" x14ac:dyDescent="0.45"/>
  <cols>
    <col min="1" max="1" width="14" customWidth="1"/>
    <col min="2" max="2" width="10" customWidth="1"/>
    <col min="3" max="9" width="11" customWidth="1"/>
  </cols>
  <sheetData>
    <row r="1" spans="1:11" ht="17.649999999999999" x14ac:dyDescent="0.5">
      <c r="A1" s="15" t="s">
        <v>1392</v>
      </c>
      <c r="K1" s="37" t="str">
        <f>"JOB #: "&amp;TB_JobNo</f>
        <v xml:space="preserve">JOB #: </v>
      </c>
    </row>
    <row r="2" spans="1:11" x14ac:dyDescent="0.45">
      <c r="A2" s="8" t="s">
        <v>1393</v>
      </c>
      <c r="K2" s="37" t="str">
        <f>"PROJECT NAME: "&amp;TB_Project</f>
        <v>PROJECT NAME: D2 I-95 Pedestrian Bridge</v>
      </c>
    </row>
    <row r="3" spans="1:11" x14ac:dyDescent="0.45">
      <c r="K3" s="37" t="str">
        <f>"SUBJECT: "&amp;"TOP OF PEDESTAL ELEVATIONS"</f>
        <v>SUBJECT: TOP OF PEDESTAL ELEVATIONS</v>
      </c>
    </row>
    <row r="4" spans="1:11" x14ac:dyDescent="0.45">
      <c r="K4" s="37" t="str">
        <f>"CALCULATED BY: "&amp;TB_CalcBy&amp;"   "&amp;TB_CalcDate</f>
        <v xml:space="preserve">CALCULATED BY:    </v>
      </c>
    </row>
    <row r="5" spans="1:11" x14ac:dyDescent="0.45">
      <c r="K5" s="37" t="str">
        <f>"CHECKED BY: "&amp;TB_CheckBy&amp;"   "&amp;TB_CheckDate</f>
        <v xml:space="preserve">CHECKED BY:    </v>
      </c>
    </row>
    <row r="7" spans="1:11" x14ac:dyDescent="0.45">
      <c r="A7" s="6" t="s">
        <v>1394</v>
      </c>
    </row>
    <row r="8" spans="1:11" ht="30" customHeight="1" x14ac:dyDescent="0.45">
      <c r="A8" s="19" t="s">
        <v>1395</v>
      </c>
      <c r="B8" s="19" t="s">
        <v>1270</v>
      </c>
      <c r="C8" s="19" t="s">
        <v>1396</v>
      </c>
      <c r="D8" s="19" t="s">
        <v>1397</v>
      </c>
      <c r="E8" s="19" t="s">
        <v>1398</v>
      </c>
      <c r="F8" s="19" t="s">
        <v>1399</v>
      </c>
    </row>
    <row r="9" spans="1:11" x14ac:dyDescent="0.45">
      <c r="A9" s="42" t="s">
        <v>941</v>
      </c>
      <c r="B9" s="64" t="str">
        <f>'Bearing Seats'!C19</f>
        <v>1-1</v>
      </c>
      <c r="C9" s="63">
        <f>'Bearing Seats'!I19</f>
        <v>43.73229964536867</v>
      </c>
      <c r="D9" s="63">
        <f>'Bearing Seats'!J19</f>
        <v>43.745781112492338</v>
      </c>
      <c r="E9" s="63">
        <f>'Bearing Seats'!K19</f>
        <v>43.73229964536867</v>
      </c>
      <c r="F9" s="63">
        <f>'Bearing Seats'!L19</f>
        <v>43.745781112492338</v>
      </c>
    </row>
    <row r="10" spans="1:11" x14ac:dyDescent="0.45">
      <c r="A10" s="42" t="s">
        <v>941</v>
      </c>
      <c r="B10" s="64" t="str">
        <f>'Bearing Seats'!C20</f>
        <v>1-2</v>
      </c>
      <c r="C10" s="63">
        <f>'Bearing Seats'!I20</f>
        <v>43.73229964536867</v>
      </c>
      <c r="D10" s="63">
        <f>'Bearing Seats'!J20</f>
        <v>43.745781112492338</v>
      </c>
      <c r="E10" s="63">
        <f>'Bearing Seats'!K20</f>
        <v>43.73229964536867</v>
      </c>
      <c r="F10" s="63">
        <f>'Bearing Seats'!L20</f>
        <v>43.745781112492338</v>
      </c>
    </row>
    <row r="11" spans="1:11" x14ac:dyDescent="0.45">
      <c r="A11" s="42" t="s">
        <v>942</v>
      </c>
      <c r="B11" s="64" t="str">
        <f>'Bearing Seats'!C21</f>
        <v>2-1</v>
      </c>
      <c r="C11" s="63">
        <f>'Bearing Seats'!I21</f>
        <v>43.742855891468814</v>
      </c>
      <c r="D11" s="63">
        <f>'Bearing Seats'!J21</f>
        <v>43.759946522870919</v>
      </c>
      <c r="E11" s="63">
        <f>'Bearing Seats'!K21</f>
        <v>43.742855891468814</v>
      </c>
      <c r="F11" s="63">
        <f>'Bearing Seats'!L21</f>
        <v>43.759946522870919</v>
      </c>
    </row>
    <row r="12" spans="1:11" x14ac:dyDescent="0.45">
      <c r="A12" s="42" t="s">
        <v>942</v>
      </c>
      <c r="B12" s="64" t="str">
        <f>'Bearing Seats'!C22</f>
        <v>2-2</v>
      </c>
      <c r="C12" s="63">
        <f>'Bearing Seats'!I22</f>
        <v>43.742855891468814</v>
      </c>
      <c r="D12" s="63">
        <f>'Bearing Seats'!J22</f>
        <v>43.759946522870919</v>
      </c>
      <c r="E12" s="63">
        <f>'Bearing Seats'!K22</f>
        <v>43.742855891468814</v>
      </c>
      <c r="F12" s="63">
        <f>'Bearing Seats'!L22</f>
        <v>43.759946522870919</v>
      </c>
    </row>
    <row r="14" spans="1:11" x14ac:dyDescent="0.45">
      <c r="A14" s="6" t="s">
        <v>1400</v>
      </c>
    </row>
    <row r="15" spans="1:11" ht="30" customHeight="1" x14ac:dyDescent="0.45">
      <c r="A15" s="19" t="s">
        <v>1401</v>
      </c>
      <c r="B15" s="19" t="s">
        <v>1402</v>
      </c>
      <c r="C15" s="19" t="s">
        <v>1396</v>
      </c>
      <c r="D15" s="19" t="s">
        <v>1397</v>
      </c>
      <c r="E15" s="19" t="s">
        <v>1398</v>
      </c>
      <c r="F15" s="19" t="s">
        <v>1399</v>
      </c>
      <c r="G15" s="19" t="s">
        <v>1403</v>
      </c>
      <c r="H15" s="19" t="s">
        <v>1404</v>
      </c>
      <c r="I15" s="19" t="s">
        <v>1405</v>
      </c>
    </row>
    <row r="16" spans="1:11" x14ac:dyDescent="0.45">
      <c r="A16" s="42" t="s">
        <v>941</v>
      </c>
      <c r="B16" s="42">
        <v>1</v>
      </c>
      <c r="C16" s="63">
        <f>'Bearing Seats'!G26</f>
        <v>44.259763695637588</v>
      </c>
      <c r="D16" s="63">
        <f>'Bearing Seats'!J26</f>
        <v>44.261378012764986</v>
      </c>
      <c r="E16" s="63">
        <f>'Bearing Seats'!G26</f>
        <v>44.259763695637588</v>
      </c>
      <c r="F16" s="63">
        <f>'Bearing Seats'!J26</f>
        <v>44.261378012764986</v>
      </c>
      <c r="G16" s="63">
        <f>'Bearing Seats'!H26</f>
        <v>44.266863200630297</v>
      </c>
      <c r="H16" s="63">
        <f>'Bearing Seats'!I26</f>
        <v>44.266259130867788</v>
      </c>
      <c r="I16" s="63">
        <f>'Bearing Seats'!K26</f>
        <v>44.266561165749039</v>
      </c>
    </row>
    <row r="17" spans="1:9" x14ac:dyDescent="0.45">
      <c r="A17" s="42" t="s">
        <v>941</v>
      </c>
      <c r="B17" s="42">
        <v>2</v>
      </c>
      <c r="C17" s="63">
        <f>'Bearing Seats'!G27</f>
        <v>44.259763695637588</v>
      </c>
      <c r="D17" s="63">
        <f>'Bearing Seats'!J27</f>
        <v>44.261378012764986</v>
      </c>
      <c r="E17" s="63">
        <f>'Bearing Seats'!G27</f>
        <v>44.259763695637588</v>
      </c>
      <c r="F17" s="63">
        <f>'Bearing Seats'!J27</f>
        <v>44.261378012764986</v>
      </c>
      <c r="G17" s="63">
        <f>'Bearing Seats'!H27</f>
        <v>44.266863200630297</v>
      </c>
      <c r="H17" s="63">
        <f>'Bearing Seats'!I27</f>
        <v>44.266259130867788</v>
      </c>
      <c r="I17" s="63">
        <f>'Bearing Seats'!K27</f>
        <v>44.266561165749039</v>
      </c>
    </row>
    <row r="19" spans="1:9" x14ac:dyDescent="0.45">
      <c r="A19" s="6" t="s">
        <v>1406</v>
      </c>
    </row>
    <row r="20" spans="1:9" ht="30" customHeight="1" x14ac:dyDescent="0.45">
      <c r="A20" s="19" t="s">
        <v>1407</v>
      </c>
      <c r="B20" s="19" t="s">
        <v>1408</v>
      </c>
      <c r="C20" s="19" t="s">
        <v>1409</v>
      </c>
      <c r="D20" s="19" t="s">
        <v>1410</v>
      </c>
      <c r="E20" s="19" t="s">
        <v>1411</v>
      </c>
      <c r="F20" s="19" t="s">
        <v>1412</v>
      </c>
    </row>
    <row r="21" spans="1:9" x14ac:dyDescent="0.45">
      <c r="A21" s="42" t="s">
        <v>809</v>
      </c>
      <c r="B21" s="42">
        <v>1</v>
      </c>
      <c r="C21" s="63">
        <f>Substructure!D51</f>
        <v>-7.5</v>
      </c>
      <c r="D21" s="63">
        <f>Substructure!G51</f>
        <v>43.764939909758922</v>
      </c>
      <c r="E21" s="63">
        <f>Substructure!H51</f>
        <v>40.764939909758922</v>
      </c>
      <c r="F21" s="63">
        <f>Substructure!J51</f>
        <v>41.764939909758922</v>
      </c>
    </row>
    <row r="22" spans="1:9" x14ac:dyDescent="0.45">
      <c r="A22" s="42" t="s">
        <v>809</v>
      </c>
      <c r="B22" s="42">
        <v>2</v>
      </c>
      <c r="C22" s="63">
        <f>Substructure!D52</f>
        <v>-2.5</v>
      </c>
      <c r="D22" s="63">
        <f>Substructure!G52</f>
        <v>43.764939909758922</v>
      </c>
      <c r="E22" s="63">
        <f>Substructure!H52</f>
        <v>40.764939909758922</v>
      </c>
      <c r="F22" s="63">
        <f>Substructure!J52</f>
        <v>41.764939909758922</v>
      </c>
    </row>
    <row r="23" spans="1:9" x14ac:dyDescent="0.45">
      <c r="A23" s="42" t="s">
        <v>809</v>
      </c>
      <c r="B23" s="42">
        <v>3</v>
      </c>
      <c r="C23" s="63">
        <f>Substructure!D53</f>
        <v>2.5</v>
      </c>
      <c r="D23" s="63">
        <f>Substructure!G53</f>
        <v>43.764939909758922</v>
      </c>
      <c r="E23" s="63">
        <f>Substructure!H53</f>
        <v>40.764939909758922</v>
      </c>
      <c r="F23" s="63">
        <f>Substructure!J53</f>
        <v>41.764939909758922</v>
      </c>
    </row>
    <row r="24" spans="1:9" x14ac:dyDescent="0.45">
      <c r="A24" s="42" t="s">
        <v>809</v>
      </c>
      <c r="B24" s="42">
        <v>4</v>
      </c>
      <c r="C24" s="63">
        <f>Substructure!D54</f>
        <v>7.5</v>
      </c>
      <c r="D24" s="63">
        <f>Substructure!G54</f>
        <v>43.764939909758922</v>
      </c>
      <c r="E24" s="63">
        <f>Substructure!H54</f>
        <v>40.764939909758922</v>
      </c>
      <c r="F24" s="63">
        <f>Substructure!J54</f>
        <v>41.764939909758922</v>
      </c>
    </row>
    <row r="25" spans="1:9" x14ac:dyDescent="0.45">
      <c r="A25" s="42" t="s">
        <v>808</v>
      </c>
      <c r="B25" s="42">
        <v>1</v>
      </c>
      <c r="C25" s="63">
        <f>Substructure!D55</f>
        <v>-6.75</v>
      </c>
      <c r="D25" s="63">
        <f>Substructure!G55</f>
        <v>43.237692232218137</v>
      </c>
      <c r="E25" s="63">
        <f>Substructure!H55</f>
        <v>40.237692232218137</v>
      </c>
      <c r="F25" s="63">
        <f>Substructure!J55</f>
        <v>41.237692232218137</v>
      </c>
    </row>
    <row r="26" spans="1:9" x14ac:dyDescent="0.45">
      <c r="A26" s="42" t="s">
        <v>808</v>
      </c>
      <c r="B26" s="42">
        <v>2</v>
      </c>
      <c r="C26" s="63">
        <f>Substructure!D56</f>
        <v>-2.25</v>
      </c>
      <c r="D26" s="63">
        <f>Substructure!G56</f>
        <v>43.237692232218137</v>
      </c>
      <c r="E26" s="63">
        <f>Substructure!H56</f>
        <v>40.237692232218137</v>
      </c>
      <c r="F26" s="63">
        <f>Substructure!J56</f>
        <v>41.237692232218137</v>
      </c>
    </row>
    <row r="27" spans="1:9" x14ac:dyDescent="0.45">
      <c r="A27" s="42" t="s">
        <v>808</v>
      </c>
      <c r="B27" s="42">
        <v>3</v>
      </c>
      <c r="C27" s="63">
        <f>Substructure!D57</f>
        <v>2.25</v>
      </c>
      <c r="D27" s="63">
        <f>Substructure!G57</f>
        <v>43.237692232218137</v>
      </c>
      <c r="E27" s="63">
        <f>Substructure!H57</f>
        <v>40.237692232218137</v>
      </c>
      <c r="F27" s="63">
        <f>Substructure!J57</f>
        <v>41.237692232218137</v>
      </c>
    </row>
    <row r="28" spans="1:9" x14ac:dyDescent="0.45">
      <c r="A28" s="42" t="s">
        <v>808</v>
      </c>
      <c r="B28" s="42">
        <v>4</v>
      </c>
      <c r="C28" s="63">
        <f>Substructure!D58</f>
        <v>6.75</v>
      </c>
      <c r="D28" s="63">
        <f>Substructure!G58</f>
        <v>43.237692232218137</v>
      </c>
      <c r="E28" s="63">
        <f>Substructure!H58</f>
        <v>40.237692232218137</v>
      </c>
      <c r="F28" s="63">
        <f>Substructure!J58</f>
        <v>41.237692232218137</v>
      </c>
    </row>
    <row r="29" spans="1:9" x14ac:dyDescent="0.45">
      <c r="A29" s="42" t="s">
        <v>810</v>
      </c>
      <c r="B29" s="42">
        <v>1</v>
      </c>
      <c r="C29" s="63">
        <f>Substructure!D59</f>
        <v>-6.75</v>
      </c>
      <c r="D29" s="63">
        <f>Substructure!G59</f>
        <v>43.249692144029659</v>
      </c>
      <c r="E29" s="63">
        <f>Substructure!H59</f>
        <v>40.249692144029659</v>
      </c>
      <c r="F29" s="63">
        <f>Substructure!J59</f>
        <v>41.249692144029659</v>
      </c>
    </row>
    <row r="30" spans="1:9" x14ac:dyDescent="0.45">
      <c r="A30" s="42" t="s">
        <v>810</v>
      </c>
      <c r="B30" s="42">
        <v>2</v>
      </c>
      <c r="C30" s="63">
        <f>Substructure!D60</f>
        <v>-2.25</v>
      </c>
      <c r="D30" s="63">
        <f>Substructure!G60</f>
        <v>43.249692144029659</v>
      </c>
      <c r="E30" s="63">
        <f>Substructure!H60</f>
        <v>40.249692144029659</v>
      </c>
      <c r="F30" s="63">
        <f>Substructure!J60</f>
        <v>41.249692144029659</v>
      </c>
    </row>
    <row r="31" spans="1:9" x14ac:dyDescent="0.45">
      <c r="A31" s="42" t="s">
        <v>810</v>
      </c>
      <c r="B31" s="42">
        <v>3</v>
      </c>
      <c r="C31" s="63">
        <f>Substructure!D61</f>
        <v>2.25</v>
      </c>
      <c r="D31" s="63">
        <f>Substructure!G61</f>
        <v>43.249692144029659</v>
      </c>
      <c r="E31" s="63">
        <f>Substructure!H61</f>
        <v>40.249692144029659</v>
      </c>
      <c r="F31" s="63">
        <f>Substructure!J61</f>
        <v>41.249692144029659</v>
      </c>
    </row>
    <row r="32" spans="1:9" x14ac:dyDescent="0.45">
      <c r="A32" s="42" t="s">
        <v>810</v>
      </c>
      <c r="B32" s="42">
        <v>4</v>
      </c>
      <c r="C32" s="63">
        <f>Substructure!D62</f>
        <v>6.75</v>
      </c>
      <c r="D32" s="63">
        <f>Substructure!G62</f>
        <v>43.249692144029659</v>
      </c>
      <c r="E32" s="63">
        <f>Substructure!H62</f>
        <v>40.249692144029659</v>
      </c>
      <c r="F32" s="63">
        <f>Substructure!J62</f>
        <v>41.249692144029659</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8A96A3"/>
  </sheetPr>
  <dimension ref="B1:M56"/>
  <sheetViews>
    <sheetView showGridLines="0" workbookViewId="0"/>
  </sheetViews>
  <sheetFormatPr defaultRowHeight="14.25" x14ac:dyDescent="0.45"/>
  <cols>
    <col min="1" max="1" width="2" customWidth="1"/>
    <col min="2" max="13" width="11.46484375" customWidth="1"/>
  </cols>
  <sheetData>
    <row r="1" spans="2:13" ht="20.65" x14ac:dyDescent="0.6">
      <c r="B1" s="35" t="s">
        <v>1413</v>
      </c>
    </row>
    <row r="2" spans="2:13" x14ac:dyDescent="0.45">
      <c r="B2" s="8" t="s">
        <v>1414</v>
      </c>
    </row>
    <row r="4" spans="2:13" ht="42.6" customHeight="1" x14ac:dyDescent="0.45">
      <c r="B4" s="76" t="s">
        <v>1415</v>
      </c>
      <c r="C4" s="75"/>
      <c r="D4" s="75"/>
      <c r="E4" s="75"/>
      <c r="F4" s="75"/>
      <c r="G4" s="75"/>
      <c r="H4" s="75"/>
      <c r="I4" s="75"/>
      <c r="J4" s="75"/>
      <c r="K4" s="75"/>
      <c r="L4" s="75"/>
      <c r="M4" s="75"/>
    </row>
    <row r="5" spans="2:13" ht="15" customHeight="1" x14ac:dyDescent="0.45"/>
    <row r="6" spans="2:13" ht="15" customHeight="1" x14ac:dyDescent="0.45"/>
    <row r="7" spans="2:13" ht="15" customHeight="1" x14ac:dyDescent="0.45"/>
    <row r="8" spans="2:13" ht="15" customHeight="1" x14ac:dyDescent="0.45"/>
    <row r="9" spans="2:13" ht="15" customHeight="1" x14ac:dyDescent="0.45"/>
    <row r="10" spans="2:13" ht="15" customHeight="1" x14ac:dyDescent="0.45"/>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5" customHeight="1" x14ac:dyDescent="0.45"/>
    <row r="22" spans="2:13" ht="15" customHeight="1" x14ac:dyDescent="0.45"/>
    <row r="23" spans="2:13" ht="16.25" customHeight="1" x14ac:dyDescent="0.45">
      <c r="B23" s="74" t="s">
        <v>1416</v>
      </c>
      <c r="C23" s="75"/>
      <c r="D23" s="75"/>
      <c r="E23" s="75"/>
      <c r="F23" s="75"/>
      <c r="G23" s="75"/>
      <c r="H23" s="75"/>
      <c r="I23" s="75"/>
      <c r="J23" s="75"/>
      <c r="K23" s="75"/>
      <c r="L23" s="75"/>
      <c r="M23" s="75"/>
    </row>
    <row r="24" spans="2:13" ht="15" customHeight="1" x14ac:dyDescent="0.45"/>
    <row r="25" spans="2:13" ht="15" customHeight="1" x14ac:dyDescent="0.45"/>
    <row r="26" spans="2:13" ht="15" customHeight="1" x14ac:dyDescent="0.45"/>
    <row r="27" spans="2:13" ht="15" customHeight="1" x14ac:dyDescent="0.45"/>
    <row r="28" spans="2:13" ht="15" customHeight="1" x14ac:dyDescent="0.45"/>
    <row r="29" spans="2:13" ht="15" customHeight="1" x14ac:dyDescent="0.45"/>
    <row r="30" spans="2:13" ht="15" customHeight="1" x14ac:dyDescent="0.45"/>
    <row r="31" spans="2:13" ht="15" customHeight="1" x14ac:dyDescent="0.45"/>
    <row r="32" spans="2:13" ht="15" customHeight="1" x14ac:dyDescent="0.45"/>
    <row r="33" spans="2:13" ht="15" customHeight="1" x14ac:dyDescent="0.45"/>
    <row r="34" spans="2:13" ht="15" customHeight="1" x14ac:dyDescent="0.45"/>
    <row r="35" spans="2:13" ht="15" customHeight="1" x14ac:dyDescent="0.45"/>
    <row r="36" spans="2:13" ht="15" customHeight="1" x14ac:dyDescent="0.45"/>
    <row r="37" spans="2:13" ht="15" customHeight="1" x14ac:dyDescent="0.45"/>
    <row r="38" spans="2:13" ht="15" customHeight="1" x14ac:dyDescent="0.45"/>
    <row r="39" spans="2:13" ht="16.25" customHeight="1" x14ac:dyDescent="0.45">
      <c r="B39" s="74" t="s">
        <v>1417</v>
      </c>
      <c r="C39" s="75"/>
      <c r="D39" s="75"/>
      <c r="E39" s="75"/>
      <c r="F39" s="75"/>
      <c r="G39" s="75"/>
      <c r="H39" s="75"/>
      <c r="I39" s="75"/>
      <c r="J39" s="75"/>
      <c r="K39" s="75"/>
      <c r="L39" s="75"/>
      <c r="M39" s="75"/>
    </row>
    <row r="40" spans="2:13" ht="16.25" customHeight="1" x14ac:dyDescent="0.45">
      <c r="B40" s="76" t="s">
        <v>1418</v>
      </c>
      <c r="C40" s="75"/>
      <c r="D40" s="75"/>
      <c r="E40" s="75"/>
      <c r="F40" s="75"/>
      <c r="G40" s="75"/>
      <c r="H40" s="75"/>
      <c r="I40" s="75"/>
      <c r="J40" s="75"/>
      <c r="K40" s="75"/>
      <c r="L40" s="75"/>
      <c r="M40" s="75"/>
    </row>
    <row r="41" spans="2:13" ht="15" customHeight="1" x14ac:dyDescent="0.45"/>
    <row r="42" spans="2:13" ht="15" customHeight="1" x14ac:dyDescent="0.45"/>
    <row r="43" spans="2:13" ht="15" customHeight="1" x14ac:dyDescent="0.45"/>
    <row r="44" spans="2:13" ht="15" customHeight="1" x14ac:dyDescent="0.45"/>
    <row r="45" spans="2:13" ht="15" customHeight="1" x14ac:dyDescent="0.45"/>
    <row r="46" spans="2:13" ht="15" customHeight="1" x14ac:dyDescent="0.45"/>
    <row r="47" spans="2:13" ht="15" customHeight="1" x14ac:dyDescent="0.45"/>
    <row r="48" spans="2:13" ht="15" customHeight="1" x14ac:dyDescent="0.45"/>
    <row r="49" spans="2:13" ht="15" customHeight="1" x14ac:dyDescent="0.45"/>
    <row r="50" spans="2:13" ht="15" customHeight="1" x14ac:dyDescent="0.45"/>
    <row r="51" spans="2:13" ht="15" customHeight="1" x14ac:dyDescent="0.45"/>
    <row r="52" spans="2:13" ht="15" customHeight="1" x14ac:dyDescent="0.45"/>
    <row r="53" spans="2:13" ht="15" customHeight="1" x14ac:dyDescent="0.45"/>
    <row r="54" spans="2:13" ht="15" customHeight="1" x14ac:dyDescent="0.45"/>
    <row r="55" spans="2:13" ht="15" customHeight="1" x14ac:dyDescent="0.45"/>
    <row r="56" spans="2:13" ht="16.25" customHeight="1" x14ac:dyDescent="0.45">
      <c r="B56" s="74" t="s">
        <v>1419</v>
      </c>
      <c r="C56" s="75"/>
      <c r="D56" s="75"/>
      <c r="E56" s="75"/>
      <c r="F56" s="75"/>
      <c r="G56" s="75"/>
      <c r="H56" s="75"/>
      <c r="I56" s="75"/>
      <c r="J56" s="75"/>
      <c r="K56" s="75"/>
      <c r="L56" s="75"/>
      <c r="M56" s="75"/>
    </row>
  </sheetData>
  <mergeCells count="5">
    <mergeCell ref="B23:M23"/>
    <mergeCell ref="B40:M40"/>
    <mergeCell ref="B56:M56"/>
    <mergeCell ref="B4:M4"/>
    <mergeCell ref="B39:M39"/>
  </mergeCells>
  <pageMargins left="0.75" right="0.75" top="1" bottom="1" header="0.5" footer="0.5"/>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2F855A"/>
  </sheetPr>
  <dimension ref="A1:M274"/>
  <sheetViews>
    <sheetView showGridLines="0" workbookViewId="0">
      <pane ySplit="8" topLeftCell="A9" activePane="bottomLeft" state="frozen"/>
      <selection pane="bottomLeft"/>
    </sheetView>
  </sheetViews>
  <sheetFormatPr defaultRowHeight="14.25" x14ac:dyDescent="0.45"/>
  <cols>
    <col min="1" max="1" width="3" customWidth="1"/>
    <col min="2" max="2" width="58" customWidth="1"/>
    <col min="3" max="4" width="17" customWidth="1"/>
    <col min="5" max="5" width="14" customWidth="1"/>
    <col min="6" max="6" width="11" customWidth="1"/>
    <col min="7" max="7" width="10" customWidth="1"/>
    <col min="12" max="13" width="13" hidden="1" customWidth="1"/>
  </cols>
  <sheetData>
    <row r="1" spans="1:10" ht="17.649999999999999" x14ac:dyDescent="0.5">
      <c r="A1" s="15" t="s">
        <v>1420</v>
      </c>
      <c r="I1" s="37" t="s">
        <v>111</v>
      </c>
      <c r="J1" s="2" t="str">
        <f>""&amp;TB_Project</f>
        <v>D2 I-95 Pedestrian Bridge</v>
      </c>
    </row>
    <row r="2" spans="1:10" x14ac:dyDescent="0.45">
      <c r="A2" s="8" t="s">
        <v>1421</v>
      </c>
      <c r="I2" s="37" t="s">
        <v>119</v>
      </c>
      <c r="J2" s="2" t="str">
        <f>""&amp;TB_JobNo</f>
        <v/>
      </c>
    </row>
    <row r="3" spans="1:10" x14ac:dyDescent="0.45">
      <c r="I3" s="37" t="s">
        <v>694</v>
      </c>
      <c r="J3" s="2" t="str">
        <f>TB_CalcBy&amp;"  "&amp;TB_CalcDate</f>
        <v xml:space="preserve">  </v>
      </c>
    </row>
    <row r="4" spans="1:10" x14ac:dyDescent="0.45">
      <c r="I4" s="37" t="s">
        <v>695</v>
      </c>
      <c r="J4" s="2" t="str">
        <f>TB_CheckBy&amp;"  "&amp;TB_CheckDate</f>
        <v xml:space="preserve">  </v>
      </c>
    </row>
    <row r="6" spans="1:10" x14ac:dyDescent="0.45">
      <c r="A6" s="17" t="s">
        <v>1422</v>
      </c>
      <c r="B6" s="18"/>
      <c r="C6" s="18"/>
      <c r="D6" s="18"/>
      <c r="E6" s="18"/>
      <c r="F6" s="18"/>
      <c r="G6" s="18"/>
    </row>
    <row r="7" spans="1:10" ht="30" customHeight="1" x14ac:dyDescent="0.45">
      <c r="B7" s="19" t="s">
        <v>908</v>
      </c>
      <c r="C7" s="19" t="s">
        <v>1423</v>
      </c>
      <c r="D7" s="19" t="s">
        <v>1424</v>
      </c>
      <c r="E7" s="19" t="s">
        <v>1425</v>
      </c>
      <c r="F7" s="19" t="s">
        <v>1426</v>
      </c>
      <c r="G7" s="19" t="s">
        <v>1201</v>
      </c>
    </row>
    <row r="8" spans="1:10" x14ac:dyDescent="0.45">
      <c r="B8" s="11" t="s">
        <v>877</v>
      </c>
      <c r="C8" s="69">
        <f>Sup_Drop</f>
        <v>3.7147642885879173</v>
      </c>
      <c r="D8" s="70">
        <v>3.7147642885879169</v>
      </c>
      <c r="E8" s="71">
        <f t="shared" ref="E8:E39" si="0">C8-D8</f>
        <v>0</v>
      </c>
      <c r="F8" s="71">
        <v>1.0000000000000001E-9</v>
      </c>
      <c r="G8" s="42" t="str">
        <f t="shared" ref="G8:G39" si="1">IF(ABS(E8)&lt;=F8,"PASS","FAIL")</f>
        <v>PASS</v>
      </c>
    </row>
    <row r="9" spans="1:10" x14ac:dyDescent="0.45">
      <c r="B9" s="11" t="s">
        <v>1427</v>
      </c>
      <c r="C9" s="69">
        <f>Prof_G1</f>
        <v>4.9988355845365746E-3</v>
      </c>
      <c r="D9" s="70">
        <v>4.9988355845365746E-3</v>
      </c>
      <c r="E9" s="71">
        <f t="shared" si="0"/>
        <v>0</v>
      </c>
      <c r="F9" s="71">
        <v>9.9999999999999998E-13</v>
      </c>
      <c r="G9" s="42" t="str">
        <f t="shared" si="1"/>
        <v>PASS</v>
      </c>
    </row>
    <row r="10" spans="1:10" x14ac:dyDescent="0.45">
      <c r="B10" s="11" t="s">
        <v>1428</v>
      </c>
      <c r="C10" s="69">
        <f>Prof_G2</f>
        <v>-5.0011916110581497E-3</v>
      </c>
      <c r="D10" s="70">
        <v>-5.0011916110581497E-3</v>
      </c>
      <c r="E10" s="71">
        <f t="shared" si="0"/>
        <v>0</v>
      </c>
      <c r="F10" s="71">
        <v>9.9999999999999998E-13</v>
      </c>
      <c r="G10" s="42" t="str">
        <f t="shared" si="1"/>
        <v>PASS</v>
      </c>
    </row>
    <row r="11" spans="1:10" x14ac:dyDescent="0.45">
      <c r="B11" s="11" t="s">
        <v>1429</v>
      </c>
      <c r="C11" s="69">
        <f>Prof_PIZ</f>
        <v>48.197625000000002</v>
      </c>
      <c r="D11" s="70">
        <v>48.197625000000002</v>
      </c>
      <c r="E11" s="71">
        <f t="shared" si="0"/>
        <v>0</v>
      </c>
      <c r="F11" s="71">
        <v>1.0000000000000001E-9</v>
      </c>
      <c r="G11" s="42" t="str">
        <f t="shared" si="1"/>
        <v>PASS</v>
      </c>
    </row>
    <row r="12" spans="1:10" x14ac:dyDescent="0.45">
      <c r="B12" s="11" t="s">
        <v>1430</v>
      </c>
      <c r="C12" s="69">
        <f>Sp1_BrgA</f>
        <v>1594.22</v>
      </c>
      <c r="D12" s="70">
        <v>1594.22</v>
      </c>
      <c r="E12" s="71">
        <f t="shared" si="0"/>
        <v>0</v>
      </c>
      <c r="F12" s="71">
        <v>1.0000000000000001E-9</v>
      </c>
      <c r="G12" s="42" t="str">
        <f t="shared" si="1"/>
        <v>PASS</v>
      </c>
    </row>
    <row r="13" spans="1:10" x14ac:dyDescent="0.45">
      <c r="B13" s="11" t="s">
        <v>1431</v>
      </c>
      <c r="C13" s="69">
        <f>Sp1_BrgB</f>
        <v>1699.6949999999999</v>
      </c>
      <c r="D13" s="70">
        <v>1699.6949999999999</v>
      </c>
      <c r="E13" s="71">
        <f t="shared" si="0"/>
        <v>0</v>
      </c>
      <c r="F13" s="71">
        <v>1.0000000000000001E-9</v>
      </c>
      <c r="G13" s="42" t="str">
        <f t="shared" si="1"/>
        <v>PASS</v>
      </c>
    </row>
    <row r="14" spans="1:10" x14ac:dyDescent="0.45">
      <c r="B14" s="11" t="s">
        <v>1432</v>
      </c>
      <c r="C14" s="69">
        <f>Sp1_Bm0</f>
        <v>1593.47</v>
      </c>
      <c r="D14" s="70">
        <v>1593.47</v>
      </c>
      <c r="E14" s="71">
        <f t="shared" si="0"/>
        <v>0</v>
      </c>
      <c r="F14" s="71">
        <v>1.0000000000000001E-9</v>
      </c>
      <c r="G14" s="42" t="str">
        <f t="shared" si="1"/>
        <v>PASS</v>
      </c>
    </row>
    <row r="15" spans="1:10" x14ac:dyDescent="0.45">
      <c r="B15" s="11" t="s">
        <v>1433</v>
      </c>
      <c r="C15" s="69">
        <f>Sp1_Bm1</f>
        <v>1700.4449999999999</v>
      </c>
      <c r="D15" s="70">
        <v>1700.4449999999999</v>
      </c>
      <c r="E15" s="71">
        <f t="shared" si="0"/>
        <v>0</v>
      </c>
      <c r="F15" s="71">
        <v>1.0000000000000001E-9</v>
      </c>
      <c r="G15" s="42" t="str">
        <f t="shared" si="1"/>
        <v>PASS</v>
      </c>
    </row>
    <row r="16" spans="1:10" x14ac:dyDescent="0.45">
      <c r="B16" s="11" t="s">
        <v>1434</v>
      </c>
      <c r="C16" s="69">
        <f>Sp1_ZA</f>
        <v>47.665998835584539</v>
      </c>
      <c r="D16" s="70">
        <v>47.665998835584539</v>
      </c>
      <c r="E16" s="71">
        <f t="shared" si="0"/>
        <v>0</v>
      </c>
      <c r="F16" s="71">
        <v>1.0000000000000001E-9</v>
      </c>
      <c r="G16" s="42" t="str">
        <f t="shared" si="1"/>
        <v>PASS</v>
      </c>
    </row>
    <row r="17" spans="2:7" x14ac:dyDescent="0.45">
      <c r="B17" s="11" t="s">
        <v>1435</v>
      </c>
      <c r="C17" s="69">
        <f>Sp1_ZB</f>
        <v>48.193251018863535</v>
      </c>
      <c r="D17" s="70">
        <v>48.193251018863528</v>
      </c>
      <c r="E17" s="71">
        <f t="shared" si="0"/>
        <v>0</v>
      </c>
      <c r="F17" s="71">
        <v>1.0000000000000001E-9</v>
      </c>
      <c r="G17" s="42" t="str">
        <f t="shared" si="1"/>
        <v>PASS</v>
      </c>
    </row>
    <row r="18" spans="2:7" x14ac:dyDescent="0.45">
      <c r="B18" s="11" t="s">
        <v>1436</v>
      </c>
      <c r="C18" s="69">
        <f>Sp2_BrgA</f>
        <v>1701.4449999999999</v>
      </c>
      <c r="D18" s="70">
        <v>1701.4449999999999</v>
      </c>
      <c r="E18" s="71">
        <f t="shared" si="0"/>
        <v>0</v>
      </c>
      <c r="F18" s="71">
        <v>1.0000000000000001E-9</v>
      </c>
      <c r="G18" s="42" t="str">
        <f t="shared" si="1"/>
        <v>PASS</v>
      </c>
    </row>
    <row r="19" spans="2:7" x14ac:dyDescent="0.45">
      <c r="B19" s="11" t="s">
        <v>1437</v>
      </c>
      <c r="C19" s="69">
        <f>Sp2_BrgB</f>
        <v>1804.47</v>
      </c>
      <c r="D19" s="70">
        <v>1804.47</v>
      </c>
      <c r="E19" s="71">
        <f t="shared" si="0"/>
        <v>0</v>
      </c>
      <c r="F19" s="71">
        <v>1.0000000000000001E-9</v>
      </c>
      <c r="G19" s="42" t="str">
        <f t="shared" si="1"/>
        <v>PASS</v>
      </c>
    </row>
    <row r="20" spans="2:7" x14ac:dyDescent="0.45">
      <c r="B20" s="11" t="s">
        <v>1438</v>
      </c>
      <c r="C20" s="69">
        <f>Sp2_Bm0</f>
        <v>1700.6949999999999</v>
      </c>
      <c r="D20" s="70">
        <v>1700.6949999999999</v>
      </c>
      <c r="E20" s="71">
        <f t="shared" si="0"/>
        <v>0</v>
      </c>
      <c r="F20" s="71">
        <v>1.0000000000000001E-9</v>
      </c>
      <c r="G20" s="42" t="str">
        <f t="shared" si="1"/>
        <v>PASS</v>
      </c>
    </row>
    <row r="21" spans="2:7" x14ac:dyDescent="0.45">
      <c r="B21" s="11" t="s">
        <v>1439</v>
      </c>
      <c r="C21" s="69">
        <f>Sp2_Bm1</f>
        <v>1805.22</v>
      </c>
      <c r="D21" s="70">
        <v>1805.22</v>
      </c>
      <c r="E21" s="71">
        <f t="shared" si="0"/>
        <v>0</v>
      </c>
      <c r="F21" s="71">
        <v>1.0000000000000001E-9</v>
      </c>
      <c r="G21" s="42" t="str">
        <f t="shared" si="1"/>
        <v>PASS</v>
      </c>
    </row>
    <row r="22" spans="2:7" x14ac:dyDescent="0.45">
      <c r="B22" s="11" t="s">
        <v>1440</v>
      </c>
      <c r="C22" s="69">
        <f>Sp2_ZA</f>
        <v>48.193248957340323</v>
      </c>
      <c r="D22" s="70">
        <v>48.193248957340323</v>
      </c>
      <c r="E22" s="71">
        <f t="shared" si="0"/>
        <v>0</v>
      </c>
      <c r="F22" s="71">
        <v>1.0000000000000001E-9</v>
      </c>
      <c r="G22" s="42" t="str">
        <f t="shared" si="1"/>
        <v>PASS</v>
      </c>
    </row>
    <row r="23" spans="2:7" x14ac:dyDescent="0.45">
      <c r="B23" s="11" t="s">
        <v>1441</v>
      </c>
      <c r="C23" s="69">
        <f>Sp2_ZB</f>
        <v>47.67800119161106</v>
      </c>
      <c r="D23" s="70">
        <v>47.67800119161106</v>
      </c>
      <c r="E23" s="71">
        <f t="shared" si="0"/>
        <v>0</v>
      </c>
      <c r="F23" s="71">
        <v>1.0000000000000001E-9</v>
      </c>
      <c r="G23" s="42" t="str">
        <f t="shared" si="1"/>
        <v>PASS</v>
      </c>
    </row>
    <row r="24" spans="2:7" x14ac:dyDescent="0.45">
      <c r="B24" s="11" t="s">
        <v>1442</v>
      </c>
      <c r="C24" s="69">
        <f>Haunch_Min</f>
        <v>0.49999999999999822</v>
      </c>
      <c r="D24" s="70">
        <v>0.49999999999999822</v>
      </c>
      <c r="E24" s="71">
        <f t="shared" si="0"/>
        <v>0</v>
      </c>
      <c r="F24" s="71">
        <v>9.9999999999999995E-7</v>
      </c>
      <c r="G24" s="42" t="str">
        <f t="shared" si="1"/>
        <v>PASS</v>
      </c>
    </row>
    <row r="25" spans="2:7" x14ac:dyDescent="0.45">
      <c r="B25" s="11" t="s">
        <v>1443</v>
      </c>
      <c r="C25" s="69">
        <f>'Camber &amp; Haunch'!L23</f>
        <v>1.5471714630549798</v>
      </c>
      <c r="D25" s="70">
        <v>1.54717146305498</v>
      </c>
      <c r="E25" s="71">
        <f t="shared" si="0"/>
        <v>0</v>
      </c>
      <c r="F25" s="71">
        <v>9.9999999999999995E-7</v>
      </c>
      <c r="G25" s="42" t="str">
        <f t="shared" si="1"/>
        <v>PASS</v>
      </c>
    </row>
    <row r="26" spans="2:7" x14ac:dyDescent="0.45">
      <c r="B26" s="11" t="s">
        <v>1444</v>
      </c>
      <c r="C26" s="69">
        <f>'Camber &amp; Haunch'!M23</f>
        <v>1.06717146305499</v>
      </c>
      <c r="D26" s="70">
        <v>1.06717146305499</v>
      </c>
      <c r="E26" s="71">
        <f t="shared" si="0"/>
        <v>0</v>
      </c>
      <c r="F26" s="71">
        <v>9.9999999999999995E-7</v>
      </c>
      <c r="G26" s="42" t="str">
        <f t="shared" si="1"/>
        <v>PASS</v>
      </c>
    </row>
    <row r="27" spans="2:7" x14ac:dyDescent="0.45">
      <c r="B27" s="11" t="s">
        <v>1445</v>
      </c>
      <c r="C27" s="69">
        <f>'Camber &amp; Haunch'!L24</f>
        <v>1.422578719048289</v>
      </c>
      <c r="D27" s="70">
        <v>1.422578719048289</v>
      </c>
      <c r="E27" s="71">
        <f t="shared" si="0"/>
        <v>0</v>
      </c>
      <c r="F27" s="71">
        <v>9.9999999999999995E-7</v>
      </c>
      <c r="G27" s="42" t="str">
        <f t="shared" si="1"/>
        <v>PASS</v>
      </c>
    </row>
    <row r="28" spans="2:7" x14ac:dyDescent="0.45">
      <c r="B28" s="11" t="s">
        <v>1446</v>
      </c>
      <c r="C28" s="69">
        <f>'Camber &amp; Haunch'!M24</f>
        <v>0.94257871904829926</v>
      </c>
      <c r="D28" s="70">
        <v>0.94257871904829926</v>
      </c>
      <c r="E28" s="71">
        <f t="shared" si="0"/>
        <v>0</v>
      </c>
      <c r="F28" s="71">
        <v>9.9999999999999995E-7</v>
      </c>
      <c r="G28" s="42" t="str">
        <f t="shared" si="1"/>
        <v>PASS</v>
      </c>
    </row>
    <row r="29" spans="2:7" x14ac:dyDescent="0.45">
      <c r="B29" s="11" t="s">
        <v>1447</v>
      </c>
      <c r="C29" s="69">
        <f>'Camber &amp; Haunch'!L25</f>
        <v>1.5471714630549798</v>
      </c>
      <c r="D29" s="70">
        <v>1.54717146305498</v>
      </c>
      <c r="E29" s="71">
        <f t="shared" si="0"/>
        <v>0</v>
      </c>
      <c r="F29" s="71">
        <v>9.9999999999999995E-7</v>
      </c>
      <c r="G29" s="42" t="str">
        <f t="shared" si="1"/>
        <v>PASS</v>
      </c>
    </row>
    <row r="30" spans="2:7" x14ac:dyDescent="0.45">
      <c r="B30" s="11" t="s">
        <v>1448</v>
      </c>
      <c r="C30" s="69">
        <f>'Camber &amp; Haunch'!M25</f>
        <v>1.06717146305499</v>
      </c>
      <c r="D30" s="70">
        <v>1.06717146305499</v>
      </c>
      <c r="E30" s="71">
        <f t="shared" si="0"/>
        <v>0</v>
      </c>
      <c r="F30" s="71">
        <v>9.9999999999999995E-7</v>
      </c>
      <c r="G30" s="42" t="str">
        <f t="shared" si="1"/>
        <v>PASS</v>
      </c>
    </row>
    <row r="31" spans="2:7" x14ac:dyDescent="0.45">
      <c r="B31" s="11" t="s">
        <v>1449</v>
      </c>
      <c r="C31" s="69">
        <f>'Camber &amp; Haunch'!L26</f>
        <v>1.5471714630549798</v>
      </c>
      <c r="D31" s="70">
        <v>1.54717146305498</v>
      </c>
      <c r="E31" s="71">
        <f t="shared" si="0"/>
        <v>0</v>
      </c>
      <c r="F31" s="71">
        <v>9.9999999999999995E-7</v>
      </c>
      <c r="G31" s="42" t="str">
        <f t="shared" si="1"/>
        <v>PASS</v>
      </c>
    </row>
    <row r="32" spans="2:7" x14ac:dyDescent="0.45">
      <c r="B32" s="11" t="s">
        <v>1450</v>
      </c>
      <c r="C32" s="69">
        <f>'Camber &amp; Haunch'!M26</f>
        <v>1.06717146305499</v>
      </c>
      <c r="D32" s="70">
        <v>1.06717146305499</v>
      </c>
      <c r="E32" s="71">
        <f t="shared" si="0"/>
        <v>0</v>
      </c>
      <c r="F32" s="71">
        <v>9.9999999999999995E-7</v>
      </c>
      <c r="G32" s="42" t="str">
        <f t="shared" si="1"/>
        <v>PASS</v>
      </c>
    </row>
    <row r="33" spans="2:7" x14ac:dyDescent="0.45">
      <c r="B33" s="11" t="s">
        <v>1451</v>
      </c>
      <c r="C33" s="69">
        <f>'Camber &amp; Haunch'!L27</f>
        <v>1.422578719048289</v>
      </c>
      <c r="D33" s="70">
        <v>1.422578719048289</v>
      </c>
      <c r="E33" s="71">
        <f t="shared" si="0"/>
        <v>0</v>
      </c>
      <c r="F33" s="71">
        <v>9.9999999999999995E-7</v>
      </c>
      <c r="G33" s="42" t="str">
        <f t="shared" si="1"/>
        <v>PASS</v>
      </c>
    </row>
    <row r="34" spans="2:7" x14ac:dyDescent="0.45">
      <c r="B34" s="11" t="s">
        <v>1452</v>
      </c>
      <c r="C34" s="69">
        <f>'Camber &amp; Haunch'!M27</f>
        <v>0.94257871904829926</v>
      </c>
      <c r="D34" s="70">
        <v>0.94257871904829926</v>
      </c>
      <c r="E34" s="71">
        <f t="shared" si="0"/>
        <v>0</v>
      </c>
      <c r="F34" s="71">
        <v>9.9999999999999995E-7</v>
      </c>
      <c r="G34" s="42" t="str">
        <f t="shared" si="1"/>
        <v>PASS</v>
      </c>
    </row>
    <row r="35" spans="2:7" x14ac:dyDescent="0.45">
      <c r="B35" s="11" t="s">
        <v>1453</v>
      </c>
      <c r="C35" s="69">
        <f>'Camber &amp; Haunch'!L28</f>
        <v>1.5471714630549798</v>
      </c>
      <c r="D35" s="70">
        <v>1.54717146305498</v>
      </c>
      <c r="E35" s="71">
        <f t="shared" si="0"/>
        <v>0</v>
      </c>
      <c r="F35" s="71">
        <v>9.9999999999999995E-7</v>
      </c>
      <c r="G35" s="42" t="str">
        <f t="shared" si="1"/>
        <v>PASS</v>
      </c>
    </row>
    <row r="36" spans="2:7" x14ac:dyDescent="0.45">
      <c r="B36" s="11" t="s">
        <v>1454</v>
      </c>
      <c r="C36" s="69">
        <f>'Camber &amp; Haunch'!M28</f>
        <v>1.06717146305499</v>
      </c>
      <c r="D36" s="70">
        <v>1.06717146305499</v>
      </c>
      <c r="E36" s="71">
        <f t="shared" si="0"/>
        <v>0</v>
      </c>
      <c r="F36" s="71">
        <v>9.9999999999999995E-7</v>
      </c>
      <c r="G36" s="42" t="str">
        <f t="shared" si="1"/>
        <v>PASS</v>
      </c>
    </row>
    <row r="37" spans="2:7" x14ac:dyDescent="0.45">
      <c r="B37" s="11" t="s">
        <v>1455</v>
      </c>
      <c r="C37" s="69">
        <f>'Camber &amp; Haunch'!L29</f>
        <v>1.5471714630549798</v>
      </c>
      <c r="D37" s="70">
        <v>1.54717146305498</v>
      </c>
      <c r="E37" s="71">
        <f t="shared" si="0"/>
        <v>0</v>
      </c>
      <c r="F37" s="71">
        <v>9.9999999999999995E-7</v>
      </c>
      <c r="G37" s="42" t="str">
        <f t="shared" si="1"/>
        <v>PASS</v>
      </c>
    </row>
    <row r="38" spans="2:7" x14ac:dyDescent="0.45">
      <c r="B38" s="11" t="s">
        <v>1456</v>
      </c>
      <c r="C38" s="69">
        <f>'Camber &amp; Haunch'!M29</f>
        <v>1.06717146305499</v>
      </c>
      <c r="D38" s="70">
        <v>1.06717146305499</v>
      </c>
      <c r="E38" s="71">
        <f t="shared" si="0"/>
        <v>0</v>
      </c>
      <c r="F38" s="71">
        <v>9.9999999999999995E-7</v>
      </c>
      <c r="G38" s="42" t="str">
        <f t="shared" si="1"/>
        <v>PASS</v>
      </c>
    </row>
    <row r="39" spans="2:7" x14ac:dyDescent="0.45">
      <c r="B39" s="11" t="s">
        <v>1457</v>
      </c>
      <c r="C39" s="69">
        <f>'Camber &amp; Haunch'!L30</f>
        <v>0.97999999999996135</v>
      </c>
      <c r="D39" s="70">
        <v>0.97999999999996135</v>
      </c>
      <c r="E39" s="71">
        <f t="shared" si="0"/>
        <v>0</v>
      </c>
      <c r="F39" s="71">
        <v>9.9999999999999995E-7</v>
      </c>
      <c r="G39" s="42" t="str">
        <f t="shared" si="1"/>
        <v>PASS</v>
      </c>
    </row>
    <row r="40" spans="2:7" x14ac:dyDescent="0.45">
      <c r="B40" s="11" t="s">
        <v>1458</v>
      </c>
      <c r="C40" s="69">
        <f>'Camber &amp; Haunch'!M30</f>
        <v>0.49999999999997158</v>
      </c>
      <c r="D40" s="70">
        <v>0.49999999999997158</v>
      </c>
      <c r="E40" s="71">
        <f t="shared" ref="E40:E71" si="2">C40-D40</f>
        <v>0</v>
      </c>
      <c r="F40" s="71">
        <v>9.9999999999999995E-7</v>
      </c>
      <c r="G40" s="42" t="str">
        <f t="shared" ref="G40:G71" si="3">IF(ABS(E40)&lt;=F40,"PASS","FAIL")</f>
        <v>PASS</v>
      </c>
    </row>
    <row r="41" spans="2:7" x14ac:dyDescent="0.45">
      <c r="B41" s="11" t="s">
        <v>1459</v>
      </c>
      <c r="C41" s="69">
        <f>'Camber &amp; Haunch'!L31</f>
        <v>1.5471714630549798</v>
      </c>
      <c r="D41" s="70">
        <v>1.54717146305498</v>
      </c>
      <c r="E41" s="71">
        <f t="shared" si="2"/>
        <v>0</v>
      </c>
      <c r="F41" s="71">
        <v>9.9999999999999995E-7</v>
      </c>
      <c r="G41" s="42" t="str">
        <f t="shared" si="3"/>
        <v>PASS</v>
      </c>
    </row>
    <row r="42" spans="2:7" x14ac:dyDescent="0.45">
      <c r="B42" s="11" t="s">
        <v>1460</v>
      </c>
      <c r="C42" s="69">
        <f>'Camber &amp; Haunch'!M31</f>
        <v>1.06717146305499</v>
      </c>
      <c r="D42" s="70">
        <v>1.06717146305499</v>
      </c>
      <c r="E42" s="71">
        <f t="shared" si="2"/>
        <v>0</v>
      </c>
      <c r="F42" s="71">
        <v>9.9999999999999995E-7</v>
      </c>
      <c r="G42" s="42" t="str">
        <f t="shared" si="3"/>
        <v>PASS</v>
      </c>
    </row>
    <row r="43" spans="2:7" x14ac:dyDescent="0.45">
      <c r="B43" s="11" t="s">
        <v>1461</v>
      </c>
      <c r="C43" s="69">
        <f>'Camber &amp; Haunch'!L32</f>
        <v>1.5471714630549798</v>
      </c>
      <c r="D43" s="70">
        <v>1.54717146305498</v>
      </c>
      <c r="E43" s="71">
        <f t="shared" si="2"/>
        <v>0</v>
      </c>
      <c r="F43" s="71">
        <v>9.9999999999999995E-7</v>
      </c>
      <c r="G43" s="42" t="str">
        <f t="shared" si="3"/>
        <v>PASS</v>
      </c>
    </row>
    <row r="44" spans="2:7" x14ac:dyDescent="0.45">
      <c r="B44" s="11" t="s">
        <v>1462</v>
      </c>
      <c r="C44" s="69">
        <f>'Camber &amp; Haunch'!M32</f>
        <v>1.06717146305499</v>
      </c>
      <c r="D44" s="70">
        <v>1.06717146305499</v>
      </c>
      <c r="E44" s="71">
        <f t="shared" si="2"/>
        <v>0</v>
      </c>
      <c r="F44" s="71">
        <v>9.9999999999999995E-7</v>
      </c>
      <c r="G44" s="42" t="str">
        <f t="shared" si="3"/>
        <v>PASS</v>
      </c>
    </row>
    <row r="45" spans="2:7" x14ac:dyDescent="0.45">
      <c r="B45" s="11" t="s">
        <v>1463</v>
      </c>
      <c r="C45" s="69">
        <f>'Camber &amp; Haunch'!L33</f>
        <v>0.97999999999996135</v>
      </c>
      <c r="D45" s="70">
        <v>0.97999999999996135</v>
      </c>
      <c r="E45" s="71">
        <f t="shared" si="2"/>
        <v>0</v>
      </c>
      <c r="F45" s="71">
        <v>9.9999999999999995E-7</v>
      </c>
      <c r="G45" s="42" t="str">
        <f t="shared" si="3"/>
        <v>PASS</v>
      </c>
    </row>
    <row r="46" spans="2:7" x14ac:dyDescent="0.45">
      <c r="B46" s="11" t="s">
        <v>1464</v>
      </c>
      <c r="C46" s="69">
        <f>'Camber &amp; Haunch'!M33</f>
        <v>0.49999999999997158</v>
      </c>
      <c r="D46" s="70">
        <v>0.49999999999997158</v>
      </c>
      <c r="E46" s="71">
        <f t="shared" si="2"/>
        <v>0</v>
      </c>
      <c r="F46" s="71">
        <v>9.9999999999999995E-7</v>
      </c>
      <c r="G46" s="42" t="str">
        <f t="shared" si="3"/>
        <v>PASS</v>
      </c>
    </row>
    <row r="47" spans="2:7" x14ac:dyDescent="0.45">
      <c r="B47" s="11" t="s">
        <v>1465</v>
      </c>
      <c r="C47" s="69">
        <f>'Camber &amp; Haunch'!L34</f>
        <v>1.5471714630549798</v>
      </c>
      <c r="D47" s="70">
        <v>1.54717146305498</v>
      </c>
      <c r="E47" s="71">
        <f t="shared" si="2"/>
        <v>0</v>
      </c>
      <c r="F47" s="71">
        <v>9.9999999999999995E-7</v>
      </c>
      <c r="G47" s="42" t="str">
        <f t="shared" si="3"/>
        <v>PASS</v>
      </c>
    </row>
    <row r="48" spans="2:7" x14ac:dyDescent="0.45">
      <c r="B48" s="11" t="s">
        <v>1466</v>
      </c>
      <c r="C48" s="69">
        <f>'Camber &amp; Haunch'!M34</f>
        <v>1.06717146305499</v>
      </c>
      <c r="D48" s="70">
        <v>1.06717146305499</v>
      </c>
      <c r="E48" s="71">
        <f t="shared" si="2"/>
        <v>0</v>
      </c>
      <c r="F48" s="71">
        <v>9.9999999999999995E-7</v>
      </c>
      <c r="G48" s="42" t="str">
        <f t="shared" si="3"/>
        <v>PASS</v>
      </c>
    </row>
    <row r="49" spans="2:7" x14ac:dyDescent="0.45">
      <c r="B49" s="11" t="s">
        <v>1467</v>
      </c>
      <c r="C49" s="69">
        <f>Pier_Top</f>
        <v>43.764939909758922</v>
      </c>
      <c r="D49" s="70">
        <v>43.76493990975893</v>
      </c>
      <c r="E49" s="71">
        <f t="shared" si="2"/>
        <v>0</v>
      </c>
      <c r="F49" s="71">
        <v>1.0000000000000001E-9</v>
      </c>
      <c r="G49" s="42" t="str">
        <f t="shared" si="3"/>
        <v>PASS</v>
      </c>
    </row>
    <row r="50" spans="2:7" x14ac:dyDescent="0.45">
      <c r="B50" s="11" t="s">
        <v>1468</v>
      </c>
      <c r="C50" s="69">
        <f>Pier_CapSta</f>
        <v>1700.57</v>
      </c>
      <c r="D50" s="70">
        <v>1700.57</v>
      </c>
      <c r="E50" s="71">
        <f t="shared" si="2"/>
        <v>0</v>
      </c>
      <c r="F50" s="71">
        <v>1.0000000000000001E-9</v>
      </c>
      <c r="G50" s="42" t="str">
        <f t="shared" si="3"/>
        <v>PASS</v>
      </c>
    </row>
    <row r="51" spans="2:7" x14ac:dyDescent="0.45">
      <c r="B51" s="11" t="s">
        <v>1469</v>
      </c>
      <c r="C51" s="69">
        <f>Pier_Len</f>
        <v>19.166666666666668</v>
      </c>
      <c r="D51" s="70">
        <v>19.166666666666671</v>
      </c>
      <c r="E51" s="71">
        <f t="shared" si="2"/>
        <v>0</v>
      </c>
      <c r="F51" s="71">
        <v>1.0000000000000001E-9</v>
      </c>
      <c r="G51" s="42" t="str">
        <f t="shared" si="3"/>
        <v>PASS</v>
      </c>
    </row>
    <row r="52" spans="2:7" x14ac:dyDescent="0.45">
      <c r="B52" s="11" t="s">
        <v>1470</v>
      </c>
      <c r="C52" s="69">
        <f>'Bearing Seats'!V10</f>
        <v>44.264944415497133</v>
      </c>
      <c r="D52" s="70">
        <v>44.264944415497133</v>
      </c>
      <c r="E52" s="71">
        <f t="shared" si="2"/>
        <v>0</v>
      </c>
      <c r="F52" s="71">
        <v>1.0000000000000001E-9</v>
      </c>
      <c r="G52" s="42" t="str">
        <f t="shared" si="3"/>
        <v>PASS</v>
      </c>
    </row>
    <row r="53" spans="2:7" x14ac:dyDescent="0.45">
      <c r="B53" s="11" t="s">
        <v>1471</v>
      </c>
      <c r="C53" s="69">
        <f>'Bearing Seats'!T10</f>
        <v>4.6050843195928337E-3</v>
      </c>
      <c r="D53" s="70">
        <v>4.6050843195928337E-3</v>
      </c>
      <c r="E53" s="71">
        <f t="shared" si="2"/>
        <v>0</v>
      </c>
      <c r="F53" s="71">
        <v>1.0000000000000001E-9</v>
      </c>
      <c r="G53" s="42" t="str">
        <f t="shared" si="3"/>
        <v>PASS</v>
      </c>
    </row>
    <row r="54" spans="2:7" x14ac:dyDescent="0.45">
      <c r="B54" s="11" t="s">
        <v>1472</v>
      </c>
      <c r="C54" s="69">
        <f>'Bearing Seats'!S10</f>
        <v>44.478486082163798</v>
      </c>
      <c r="D54" s="70">
        <v>44.478486082163798</v>
      </c>
      <c r="E54" s="71">
        <f t="shared" si="2"/>
        <v>0</v>
      </c>
      <c r="F54" s="71">
        <v>1.0000000000000001E-9</v>
      </c>
      <c r="G54" s="42" t="str">
        <f t="shared" si="3"/>
        <v>PASS</v>
      </c>
    </row>
    <row r="55" spans="2:7" x14ac:dyDescent="0.45">
      <c r="B55" s="11" t="s">
        <v>1473</v>
      </c>
      <c r="C55" s="69">
        <f>Substructure!H18</f>
        <v>6.0000540688585318</v>
      </c>
      <c r="D55" s="70">
        <v>6.0000540688584456</v>
      </c>
      <c r="E55" s="71">
        <f t="shared" si="2"/>
        <v>8.6153306710912148E-14</v>
      </c>
      <c r="F55" s="71">
        <v>9.9999999999999995E-7</v>
      </c>
      <c r="G55" s="42" t="str">
        <f t="shared" si="3"/>
        <v>PASS</v>
      </c>
    </row>
    <row r="56" spans="2:7" x14ac:dyDescent="0.45">
      <c r="B56" s="11" t="s">
        <v>1474</v>
      </c>
      <c r="C56" s="69">
        <f>'Bearing Seats'!V11</f>
        <v>44.264944415497133</v>
      </c>
      <c r="D56" s="70">
        <v>44.264944415497133</v>
      </c>
      <c r="E56" s="71">
        <f t="shared" si="2"/>
        <v>0</v>
      </c>
      <c r="F56" s="71">
        <v>1.0000000000000001E-9</v>
      </c>
      <c r="G56" s="42" t="str">
        <f t="shared" si="3"/>
        <v>PASS</v>
      </c>
    </row>
    <row r="57" spans="2:7" x14ac:dyDescent="0.45">
      <c r="B57" s="11" t="s">
        <v>1475</v>
      </c>
      <c r="C57" s="69">
        <f>'Bearing Seats'!T11</f>
        <v>4.6050843195928337E-3</v>
      </c>
      <c r="D57" s="70">
        <v>4.6050843195928337E-3</v>
      </c>
      <c r="E57" s="71">
        <f t="shared" si="2"/>
        <v>0</v>
      </c>
      <c r="F57" s="71">
        <v>1.0000000000000001E-9</v>
      </c>
      <c r="G57" s="42" t="str">
        <f t="shared" si="3"/>
        <v>PASS</v>
      </c>
    </row>
    <row r="58" spans="2:7" x14ac:dyDescent="0.45">
      <c r="B58" s="11" t="s">
        <v>1476</v>
      </c>
      <c r="C58" s="69">
        <f>'Bearing Seats'!S11</f>
        <v>44.478486082163798</v>
      </c>
      <c r="D58" s="70">
        <v>44.478486082163798</v>
      </c>
      <c r="E58" s="71">
        <f t="shared" si="2"/>
        <v>0</v>
      </c>
      <c r="F58" s="71">
        <v>1.0000000000000001E-9</v>
      </c>
      <c r="G58" s="42" t="str">
        <f t="shared" si="3"/>
        <v>PASS</v>
      </c>
    </row>
    <row r="59" spans="2:7" x14ac:dyDescent="0.45">
      <c r="B59" s="11" t="s">
        <v>1477</v>
      </c>
      <c r="C59" s="69">
        <f>Substructure!H19</f>
        <v>6.0000540688585318</v>
      </c>
      <c r="D59" s="70">
        <v>6.0000540688584456</v>
      </c>
      <c r="E59" s="71">
        <f t="shared" si="2"/>
        <v>8.6153306710912148E-14</v>
      </c>
      <c r="F59" s="71">
        <v>9.9999999999999995E-7</v>
      </c>
      <c r="G59" s="42" t="str">
        <f t="shared" si="3"/>
        <v>PASS</v>
      </c>
    </row>
    <row r="60" spans="2:7" x14ac:dyDescent="0.45">
      <c r="B60" s="11" t="s">
        <v>1478</v>
      </c>
      <c r="C60" s="69">
        <f>'Bearing Seats'!V12</f>
        <v>44.264939909758922</v>
      </c>
      <c r="D60" s="70">
        <v>44.26493990975893</v>
      </c>
      <c r="E60" s="71">
        <f t="shared" si="2"/>
        <v>0</v>
      </c>
      <c r="F60" s="71">
        <v>1.0000000000000001E-9</v>
      </c>
      <c r="G60" s="42" t="str">
        <f t="shared" si="3"/>
        <v>PASS</v>
      </c>
    </row>
    <row r="61" spans="2:7" x14ac:dyDescent="0.45">
      <c r="B61" s="11" t="s">
        <v>1479</v>
      </c>
      <c r="C61" s="69">
        <f>'Bearing Seats'!T12</f>
        <v>-3.1661306612761563E-3</v>
      </c>
      <c r="D61" s="70">
        <v>-3.1661306612846829E-3</v>
      </c>
      <c r="E61" s="71">
        <f t="shared" si="2"/>
        <v>8.5265995652950011E-15</v>
      </c>
      <c r="F61" s="71">
        <v>1.0000000000000001E-9</v>
      </c>
      <c r="G61" s="42" t="str">
        <f t="shared" si="3"/>
        <v>PASS</v>
      </c>
    </row>
    <row r="62" spans="2:7" x14ac:dyDescent="0.45">
      <c r="B62" s="11" t="s">
        <v>1480</v>
      </c>
      <c r="C62" s="69">
        <f>'Bearing Seats'!S12</f>
        <v>44.478481576425587</v>
      </c>
      <c r="D62" s="70">
        <v>44.478481576425587</v>
      </c>
      <c r="E62" s="71">
        <f t="shared" si="2"/>
        <v>0</v>
      </c>
      <c r="F62" s="71">
        <v>1.0000000000000001E-9</v>
      </c>
      <c r="G62" s="42" t="str">
        <f t="shared" si="3"/>
        <v>PASS</v>
      </c>
    </row>
    <row r="63" spans="2:7" x14ac:dyDescent="0.45">
      <c r="B63" s="11" t="s">
        <v>1481</v>
      </c>
      <c r="C63" s="69">
        <f>Substructure!H20</f>
        <v>6</v>
      </c>
      <c r="D63" s="70">
        <v>6</v>
      </c>
      <c r="E63" s="71">
        <f t="shared" si="2"/>
        <v>0</v>
      </c>
      <c r="F63" s="71">
        <v>9.9999999999999995E-7</v>
      </c>
      <c r="G63" s="42" t="str">
        <f t="shared" si="3"/>
        <v>PASS</v>
      </c>
    </row>
    <row r="64" spans="2:7" x14ac:dyDescent="0.45">
      <c r="B64" s="11" t="s">
        <v>1482</v>
      </c>
      <c r="C64" s="69">
        <f>'Bearing Seats'!V13</f>
        <v>44.264939909758922</v>
      </c>
      <c r="D64" s="70">
        <v>44.26493990975893</v>
      </c>
      <c r="E64" s="71">
        <f t="shared" si="2"/>
        <v>0</v>
      </c>
      <c r="F64" s="71">
        <v>1.0000000000000001E-9</v>
      </c>
      <c r="G64" s="42" t="str">
        <f t="shared" si="3"/>
        <v>PASS</v>
      </c>
    </row>
    <row r="65" spans="2:7" x14ac:dyDescent="0.45">
      <c r="B65" s="11" t="s">
        <v>1483</v>
      </c>
      <c r="C65" s="69">
        <f>'Bearing Seats'!T13</f>
        <v>-3.1661306612761563E-3</v>
      </c>
      <c r="D65" s="70">
        <v>-3.1661306612846829E-3</v>
      </c>
      <c r="E65" s="71">
        <f t="shared" si="2"/>
        <v>8.5265995652950011E-15</v>
      </c>
      <c r="F65" s="71">
        <v>1.0000000000000001E-9</v>
      </c>
      <c r="G65" s="42" t="str">
        <f t="shared" si="3"/>
        <v>PASS</v>
      </c>
    </row>
    <row r="66" spans="2:7" x14ac:dyDescent="0.45">
      <c r="B66" s="11" t="s">
        <v>1484</v>
      </c>
      <c r="C66" s="69">
        <f>'Bearing Seats'!S13</f>
        <v>44.478481576425587</v>
      </c>
      <c r="D66" s="70">
        <v>44.478481576425587</v>
      </c>
      <c r="E66" s="71">
        <f t="shared" si="2"/>
        <v>0</v>
      </c>
      <c r="F66" s="71">
        <v>1.0000000000000001E-9</v>
      </c>
      <c r="G66" s="42" t="str">
        <f t="shared" si="3"/>
        <v>PASS</v>
      </c>
    </row>
    <row r="67" spans="2:7" x14ac:dyDescent="0.45">
      <c r="B67" s="11" t="s">
        <v>1485</v>
      </c>
      <c r="C67" s="69">
        <f>Substructure!H21</f>
        <v>6</v>
      </c>
      <c r="D67" s="70">
        <v>6</v>
      </c>
      <c r="E67" s="71">
        <f t="shared" si="2"/>
        <v>0</v>
      </c>
      <c r="F67" s="71">
        <v>9.9999999999999995E-7</v>
      </c>
      <c r="G67" s="42" t="str">
        <f t="shared" si="3"/>
        <v>PASS</v>
      </c>
    </row>
    <row r="68" spans="2:7" x14ac:dyDescent="0.45">
      <c r="B68" s="11" t="s">
        <v>1486</v>
      </c>
      <c r="C68" s="69">
        <f>Substructure!D51</f>
        <v>-7.5</v>
      </c>
      <c r="D68" s="70">
        <v>-7.5</v>
      </c>
      <c r="E68" s="71">
        <f t="shared" si="2"/>
        <v>0</v>
      </c>
      <c r="F68" s="71">
        <v>1.0000000000000001E-9</v>
      </c>
      <c r="G68" s="42" t="str">
        <f t="shared" si="3"/>
        <v>PASS</v>
      </c>
    </row>
    <row r="69" spans="2:7" x14ac:dyDescent="0.45">
      <c r="B69" s="11" t="s">
        <v>1487</v>
      </c>
      <c r="C69" s="69">
        <f>Substructure!J51</f>
        <v>41.764939909758922</v>
      </c>
      <c r="D69" s="70">
        <v>41.76493990975893</v>
      </c>
      <c r="E69" s="71">
        <f t="shared" si="2"/>
        <v>0</v>
      </c>
      <c r="F69" s="71">
        <v>1.0000000000000001E-9</v>
      </c>
      <c r="G69" s="42" t="str">
        <f t="shared" si="3"/>
        <v>PASS</v>
      </c>
    </row>
    <row r="70" spans="2:7" x14ac:dyDescent="0.45">
      <c r="B70" s="11" t="s">
        <v>1488</v>
      </c>
      <c r="C70" s="69">
        <f>Substructure!D52</f>
        <v>-2.5</v>
      </c>
      <c r="D70" s="70">
        <v>-2.5</v>
      </c>
      <c r="E70" s="71">
        <f t="shared" si="2"/>
        <v>0</v>
      </c>
      <c r="F70" s="71">
        <v>1.0000000000000001E-9</v>
      </c>
      <c r="G70" s="42" t="str">
        <f t="shared" si="3"/>
        <v>PASS</v>
      </c>
    </row>
    <row r="71" spans="2:7" x14ac:dyDescent="0.45">
      <c r="B71" s="11" t="s">
        <v>1489</v>
      </c>
      <c r="C71" s="69">
        <f>Substructure!J52</f>
        <v>41.764939909758922</v>
      </c>
      <c r="D71" s="70">
        <v>41.76493990975893</v>
      </c>
      <c r="E71" s="71">
        <f t="shared" si="2"/>
        <v>0</v>
      </c>
      <c r="F71" s="71">
        <v>1.0000000000000001E-9</v>
      </c>
      <c r="G71" s="42" t="str">
        <f t="shared" si="3"/>
        <v>PASS</v>
      </c>
    </row>
    <row r="72" spans="2:7" x14ac:dyDescent="0.45">
      <c r="B72" s="11" t="s">
        <v>1490</v>
      </c>
      <c r="C72" s="69">
        <f>Substructure!D53</f>
        <v>2.5</v>
      </c>
      <c r="D72" s="70">
        <v>2.5</v>
      </c>
      <c r="E72" s="71">
        <f t="shared" ref="E72:E103" si="4">C72-D72</f>
        <v>0</v>
      </c>
      <c r="F72" s="71">
        <v>1.0000000000000001E-9</v>
      </c>
      <c r="G72" s="42" t="str">
        <f t="shared" ref="G72:G103" si="5">IF(ABS(E72)&lt;=F72,"PASS","FAIL")</f>
        <v>PASS</v>
      </c>
    </row>
    <row r="73" spans="2:7" x14ac:dyDescent="0.45">
      <c r="B73" s="11" t="s">
        <v>1491</v>
      </c>
      <c r="C73" s="69">
        <f>Substructure!J53</f>
        <v>41.764939909758922</v>
      </c>
      <c r="D73" s="70">
        <v>41.76493990975893</v>
      </c>
      <c r="E73" s="71">
        <f t="shared" si="4"/>
        <v>0</v>
      </c>
      <c r="F73" s="71">
        <v>1.0000000000000001E-9</v>
      </c>
      <c r="G73" s="42" t="str">
        <f t="shared" si="5"/>
        <v>PASS</v>
      </c>
    </row>
    <row r="74" spans="2:7" x14ac:dyDescent="0.45">
      <c r="B74" s="11" t="s">
        <v>1492</v>
      </c>
      <c r="C74" s="69">
        <f>Substructure!D54</f>
        <v>7.5</v>
      </c>
      <c r="D74" s="70">
        <v>7.5</v>
      </c>
      <c r="E74" s="71">
        <f t="shared" si="4"/>
        <v>0</v>
      </c>
      <c r="F74" s="71">
        <v>1.0000000000000001E-9</v>
      </c>
      <c r="G74" s="42" t="str">
        <f t="shared" si="5"/>
        <v>PASS</v>
      </c>
    </row>
    <row r="75" spans="2:7" x14ac:dyDescent="0.45">
      <c r="B75" s="11" t="s">
        <v>1493</v>
      </c>
      <c r="C75" s="69">
        <f>Substructure!J54</f>
        <v>41.764939909758922</v>
      </c>
      <c r="D75" s="70">
        <v>41.76493990975893</v>
      </c>
      <c r="E75" s="71">
        <f t="shared" si="4"/>
        <v>0</v>
      </c>
      <c r="F75" s="71">
        <v>1.0000000000000001E-9</v>
      </c>
      <c r="G75" s="42" t="str">
        <f t="shared" si="5"/>
        <v>PASS</v>
      </c>
    </row>
    <row r="76" spans="2:7" x14ac:dyDescent="0.45">
      <c r="B76" s="11" t="s">
        <v>1494</v>
      </c>
      <c r="C76" s="69">
        <f>'Bearing Seats'!G26</f>
        <v>44.259763695637588</v>
      </c>
      <c r="D76" s="70">
        <v>44.259763695637588</v>
      </c>
      <c r="E76" s="71">
        <f t="shared" si="4"/>
        <v>0</v>
      </c>
      <c r="F76" s="71">
        <v>1.0000000000000001E-9</v>
      </c>
      <c r="G76" s="42" t="str">
        <f t="shared" si="5"/>
        <v>PASS</v>
      </c>
    </row>
    <row r="77" spans="2:7" x14ac:dyDescent="0.45">
      <c r="B77" s="11" t="s">
        <v>1495</v>
      </c>
      <c r="C77" s="69">
        <f>'Bearing Seats'!H26</f>
        <v>44.266863200630297</v>
      </c>
      <c r="D77" s="70">
        <v>44.266863200630297</v>
      </c>
      <c r="E77" s="71">
        <f t="shared" si="4"/>
        <v>0</v>
      </c>
      <c r="F77" s="71">
        <v>1.0000000000000001E-9</v>
      </c>
      <c r="G77" s="42" t="str">
        <f t="shared" si="5"/>
        <v>PASS</v>
      </c>
    </row>
    <row r="78" spans="2:7" x14ac:dyDescent="0.45">
      <c r="B78" s="11" t="s">
        <v>1496</v>
      </c>
      <c r="C78" s="69">
        <f>'Bearing Seats'!I26</f>
        <v>44.266259130867788</v>
      </c>
      <c r="D78" s="70">
        <v>44.266259130867802</v>
      </c>
      <c r="E78" s="71">
        <f t="shared" si="4"/>
        <v>0</v>
      </c>
      <c r="F78" s="71">
        <v>1.0000000000000001E-9</v>
      </c>
      <c r="G78" s="42" t="str">
        <f t="shared" si="5"/>
        <v>PASS</v>
      </c>
    </row>
    <row r="79" spans="2:7" x14ac:dyDescent="0.45">
      <c r="B79" s="11" t="s">
        <v>1497</v>
      </c>
      <c r="C79" s="69">
        <f>'Bearing Seats'!J26</f>
        <v>44.261378012764986</v>
      </c>
      <c r="D79" s="70">
        <v>44.261378012764993</v>
      </c>
      <c r="E79" s="71">
        <f t="shared" si="4"/>
        <v>0</v>
      </c>
      <c r="F79" s="71">
        <v>1.0000000000000001E-9</v>
      </c>
      <c r="G79" s="42" t="str">
        <f t="shared" si="5"/>
        <v>PASS</v>
      </c>
    </row>
    <row r="80" spans="2:7" x14ac:dyDescent="0.45">
      <c r="B80" s="11" t="s">
        <v>1498</v>
      </c>
      <c r="C80" s="69">
        <f>'Bearing Seats'!G27</f>
        <v>44.259763695637588</v>
      </c>
      <c r="D80" s="70">
        <v>44.259763695637588</v>
      </c>
      <c r="E80" s="71">
        <f t="shared" si="4"/>
        <v>0</v>
      </c>
      <c r="F80" s="71">
        <v>1.0000000000000001E-9</v>
      </c>
      <c r="G80" s="42" t="str">
        <f t="shared" si="5"/>
        <v>PASS</v>
      </c>
    </row>
    <row r="81" spans="2:7" x14ac:dyDescent="0.45">
      <c r="B81" s="11" t="s">
        <v>1499</v>
      </c>
      <c r="C81" s="69">
        <f>'Bearing Seats'!H27</f>
        <v>44.266863200630297</v>
      </c>
      <c r="D81" s="70">
        <v>44.266863200630297</v>
      </c>
      <c r="E81" s="71">
        <f t="shared" si="4"/>
        <v>0</v>
      </c>
      <c r="F81" s="71">
        <v>1.0000000000000001E-9</v>
      </c>
      <c r="G81" s="42" t="str">
        <f t="shared" si="5"/>
        <v>PASS</v>
      </c>
    </row>
    <row r="82" spans="2:7" x14ac:dyDescent="0.45">
      <c r="B82" s="11" t="s">
        <v>1500</v>
      </c>
      <c r="C82" s="69">
        <f>'Bearing Seats'!I27</f>
        <v>44.266259130867788</v>
      </c>
      <c r="D82" s="70">
        <v>44.266259130867802</v>
      </c>
      <c r="E82" s="71">
        <f t="shared" si="4"/>
        <v>0</v>
      </c>
      <c r="F82" s="71">
        <v>1.0000000000000001E-9</v>
      </c>
      <c r="G82" s="42" t="str">
        <f t="shared" si="5"/>
        <v>PASS</v>
      </c>
    </row>
    <row r="83" spans="2:7" x14ac:dyDescent="0.45">
      <c r="B83" s="11" t="s">
        <v>1501</v>
      </c>
      <c r="C83" s="69">
        <f>'Bearing Seats'!J27</f>
        <v>44.261378012764986</v>
      </c>
      <c r="D83" s="70">
        <v>44.261378012764993</v>
      </c>
      <c r="E83" s="71">
        <f t="shared" si="4"/>
        <v>0</v>
      </c>
      <c r="F83" s="71">
        <v>1.0000000000000001E-9</v>
      </c>
      <c r="G83" s="42" t="str">
        <f t="shared" si="5"/>
        <v>PASS</v>
      </c>
    </row>
    <row r="84" spans="2:7" x14ac:dyDescent="0.45">
      <c r="B84" s="11" t="s">
        <v>1502</v>
      </c>
      <c r="C84" s="69">
        <f>EB1_Top</f>
        <v>43.237692232218137</v>
      </c>
      <c r="D84" s="70">
        <v>43.237692232218137</v>
      </c>
      <c r="E84" s="71">
        <f t="shared" si="4"/>
        <v>0</v>
      </c>
      <c r="F84" s="71">
        <v>1.0000000000000001E-9</v>
      </c>
      <c r="G84" s="42" t="str">
        <f t="shared" si="5"/>
        <v>PASS</v>
      </c>
    </row>
    <row r="85" spans="2:7" x14ac:dyDescent="0.45">
      <c r="B85" s="11" t="s">
        <v>1503</v>
      </c>
      <c r="C85" s="69">
        <f>EB1_CapSta</f>
        <v>1593.97</v>
      </c>
      <c r="D85" s="70">
        <v>1593.97</v>
      </c>
      <c r="E85" s="71">
        <f t="shared" si="4"/>
        <v>0</v>
      </c>
      <c r="F85" s="71">
        <v>1.0000000000000001E-9</v>
      </c>
      <c r="G85" s="42" t="str">
        <f t="shared" si="5"/>
        <v>PASS</v>
      </c>
    </row>
    <row r="86" spans="2:7" x14ac:dyDescent="0.45">
      <c r="B86" s="11" t="s">
        <v>1504</v>
      </c>
      <c r="C86" s="69">
        <f>EB1_Len</f>
        <v>17.666666666666668</v>
      </c>
      <c r="D86" s="70">
        <v>17.666666666666671</v>
      </c>
      <c r="E86" s="71">
        <f t="shared" si="4"/>
        <v>0</v>
      </c>
      <c r="F86" s="71">
        <v>1.0000000000000001E-9</v>
      </c>
      <c r="G86" s="42" t="str">
        <f t="shared" si="5"/>
        <v>PASS</v>
      </c>
    </row>
    <row r="87" spans="2:7" x14ac:dyDescent="0.45">
      <c r="B87" s="11" t="s">
        <v>1505</v>
      </c>
      <c r="C87" s="69">
        <f>'Bearing Seats'!V8</f>
        <v>43.737692232218137</v>
      </c>
      <c r="D87" s="70">
        <v>43.737692232218137</v>
      </c>
      <c r="E87" s="71">
        <f t="shared" si="4"/>
        <v>0</v>
      </c>
      <c r="F87" s="71">
        <v>1.0000000000000001E-9</v>
      </c>
      <c r="G87" s="42" t="str">
        <f t="shared" si="5"/>
        <v>PASS</v>
      </c>
    </row>
    <row r="88" spans="2:7" x14ac:dyDescent="0.45">
      <c r="B88" s="11" t="s">
        <v>1506</v>
      </c>
      <c r="C88" s="69">
        <f>'Bearing Seats'!T8</f>
        <v>5.3925868494673068E-3</v>
      </c>
      <c r="D88" s="70">
        <v>5.3925868494673068E-3</v>
      </c>
      <c r="E88" s="71">
        <f t="shared" si="4"/>
        <v>0</v>
      </c>
      <c r="F88" s="71">
        <v>1.0000000000000001E-9</v>
      </c>
      <c r="G88" s="42" t="str">
        <f t="shared" si="5"/>
        <v>PASS</v>
      </c>
    </row>
    <row r="89" spans="2:7" x14ac:dyDescent="0.45">
      <c r="B89" s="11" t="s">
        <v>1507</v>
      </c>
      <c r="C89" s="69">
        <f>'Bearing Seats'!S8</f>
        <v>43.951233898884801</v>
      </c>
      <c r="D89" s="70">
        <v>43.951233898884801</v>
      </c>
      <c r="E89" s="71">
        <f t="shared" si="4"/>
        <v>0</v>
      </c>
      <c r="F89" s="71">
        <v>1.0000000000000001E-9</v>
      </c>
      <c r="G89" s="42" t="str">
        <f t="shared" si="5"/>
        <v>PASS</v>
      </c>
    </row>
    <row r="90" spans="2:7" x14ac:dyDescent="0.45">
      <c r="B90" s="11" t="s">
        <v>1508</v>
      </c>
      <c r="C90" s="69">
        <f>Substructure!H16</f>
        <v>6</v>
      </c>
      <c r="D90" s="70">
        <v>6</v>
      </c>
      <c r="E90" s="71">
        <f t="shared" si="4"/>
        <v>0</v>
      </c>
      <c r="F90" s="71">
        <v>9.9999999999999995E-7</v>
      </c>
      <c r="G90" s="42" t="str">
        <f t="shared" si="5"/>
        <v>PASS</v>
      </c>
    </row>
    <row r="91" spans="2:7" x14ac:dyDescent="0.45">
      <c r="B91" s="11" t="s">
        <v>1509</v>
      </c>
      <c r="C91" s="69">
        <f>'Bearing Seats'!V9</f>
        <v>43.737692232218137</v>
      </c>
      <c r="D91" s="70">
        <v>43.737692232218137</v>
      </c>
      <c r="E91" s="71">
        <f t="shared" si="4"/>
        <v>0</v>
      </c>
      <c r="F91" s="71">
        <v>1.0000000000000001E-9</v>
      </c>
      <c r="G91" s="42" t="str">
        <f t="shared" si="5"/>
        <v>PASS</v>
      </c>
    </row>
    <row r="92" spans="2:7" x14ac:dyDescent="0.45">
      <c r="B92" s="11" t="s">
        <v>1510</v>
      </c>
      <c r="C92" s="69">
        <f>'Bearing Seats'!T9</f>
        <v>5.3925868494673068E-3</v>
      </c>
      <c r="D92" s="70">
        <v>5.3925868494673068E-3</v>
      </c>
      <c r="E92" s="71">
        <f t="shared" si="4"/>
        <v>0</v>
      </c>
      <c r="F92" s="71">
        <v>1.0000000000000001E-9</v>
      </c>
      <c r="G92" s="42" t="str">
        <f t="shared" si="5"/>
        <v>PASS</v>
      </c>
    </row>
    <row r="93" spans="2:7" x14ac:dyDescent="0.45">
      <c r="B93" s="11" t="s">
        <v>1511</v>
      </c>
      <c r="C93" s="69">
        <f>'Bearing Seats'!S9</f>
        <v>43.951233898884801</v>
      </c>
      <c r="D93" s="70">
        <v>43.951233898884801</v>
      </c>
      <c r="E93" s="71">
        <f t="shared" si="4"/>
        <v>0</v>
      </c>
      <c r="F93" s="71">
        <v>1.0000000000000001E-9</v>
      </c>
      <c r="G93" s="42" t="str">
        <f t="shared" si="5"/>
        <v>PASS</v>
      </c>
    </row>
    <row r="94" spans="2:7" x14ac:dyDescent="0.45">
      <c r="B94" s="11" t="s">
        <v>1512</v>
      </c>
      <c r="C94" s="69">
        <f>Substructure!H17</f>
        <v>6</v>
      </c>
      <c r="D94" s="70">
        <v>6</v>
      </c>
      <c r="E94" s="71">
        <f t="shared" si="4"/>
        <v>0</v>
      </c>
      <c r="F94" s="71">
        <v>9.9999999999999995E-7</v>
      </c>
      <c r="G94" s="42" t="str">
        <f t="shared" si="5"/>
        <v>PASS</v>
      </c>
    </row>
    <row r="95" spans="2:7" x14ac:dyDescent="0.45">
      <c r="B95" s="11" t="s">
        <v>1513</v>
      </c>
      <c r="C95" s="69">
        <f>Substructure!D55</f>
        <v>-6.75</v>
      </c>
      <c r="D95" s="70">
        <v>-6.75</v>
      </c>
      <c r="E95" s="71">
        <f t="shared" si="4"/>
        <v>0</v>
      </c>
      <c r="F95" s="71">
        <v>1.0000000000000001E-9</v>
      </c>
      <c r="G95" s="42" t="str">
        <f t="shared" si="5"/>
        <v>PASS</v>
      </c>
    </row>
    <row r="96" spans="2:7" x14ac:dyDescent="0.45">
      <c r="B96" s="11" t="s">
        <v>1514</v>
      </c>
      <c r="C96" s="69">
        <f>Substructure!J55</f>
        <v>41.237692232218137</v>
      </c>
      <c r="D96" s="70">
        <v>41.237692232218137</v>
      </c>
      <c r="E96" s="71">
        <f t="shared" si="4"/>
        <v>0</v>
      </c>
      <c r="F96" s="71">
        <v>1.0000000000000001E-9</v>
      </c>
      <c r="G96" s="42" t="str">
        <f t="shared" si="5"/>
        <v>PASS</v>
      </c>
    </row>
    <row r="97" spans="2:7" x14ac:dyDescent="0.45">
      <c r="B97" s="11" t="s">
        <v>1515</v>
      </c>
      <c r="C97" s="69">
        <f>Substructure!D56</f>
        <v>-2.25</v>
      </c>
      <c r="D97" s="70">
        <v>-2.25</v>
      </c>
      <c r="E97" s="71">
        <f t="shared" si="4"/>
        <v>0</v>
      </c>
      <c r="F97" s="71">
        <v>1.0000000000000001E-9</v>
      </c>
      <c r="G97" s="42" t="str">
        <f t="shared" si="5"/>
        <v>PASS</v>
      </c>
    </row>
    <row r="98" spans="2:7" x14ac:dyDescent="0.45">
      <c r="B98" s="11" t="s">
        <v>1516</v>
      </c>
      <c r="C98" s="69">
        <f>Substructure!J56</f>
        <v>41.237692232218137</v>
      </c>
      <c r="D98" s="70">
        <v>41.237692232218137</v>
      </c>
      <c r="E98" s="71">
        <f t="shared" si="4"/>
        <v>0</v>
      </c>
      <c r="F98" s="71">
        <v>1.0000000000000001E-9</v>
      </c>
      <c r="G98" s="42" t="str">
        <f t="shared" si="5"/>
        <v>PASS</v>
      </c>
    </row>
    <row r="99" spans="2:7" x14ac:dyDescent="0.45">
      <c r="B99" s="11" t="s">
        <v>1517</v>
      </c>
      <c r="C99" s="69">
        <f>Substructure!D57</f>
        <v>2.25</v>
      </c>
      <c r="D99" s="70">
        <v>2.25</v>
      </c>
      <c r="E99" s="71">
        <f t="shared" si="4"/>
        <v>0</v>
      </c>
      <c r="F99" s="71">
        <v>1.0000000000000001E-9</v>
      </c>
      <c r="G99" s="42" t="str">
        <f t="shared" si="5"/>
        <v>PASS</v>
      </c>
    </row>
    <row r="100" spans="2:7" x14ac:dyDescent="0.45">
      <c r="B100" s="11" t="s">
        <v>1518</v>
      </c>
      <c r="C100" s="69">
        <f>Substructure!J57</f>
        <v>41.237692232218137</v>
      </c>
      <c r="D100" s="70">
        <v>41.237692232218137</v>
      </c>
      <c r="E100" s="71">
        <f t="shared" si="4"/>
        <v>0</v>
      </c>
      <c r="F100" s="71">
        <v>1.0000000000000001E-9</v>
      </c>
      <c r="G100" s="42" t="str">
        <f t="shared" si="5"/>
        <v>PASS</v>
      </c>
    </row>
    <row r="101" spans="2:7" x14ac:dyDescent="0.45">
      <c r="B101" s="11" t="s">
        <v>1519</v>
      </c>
      <c r="C101" s="69">
        <f>Substructure!D58</f>
        <v>6.75</v>
      </c>
      <c r="D101" s="70">
        <v>6.75</v>
      </c>
      <c r="E101" s="71">
        <f t="shared" si="4"/>
        <v>0</v>
      </c>
      <c r="F101" s="71">
        <v>1.0000000000000001E-9</v>
      </c>
      <c r="G101" s="42" t="str">
        <f t="shared" si="5"/>
        <v>PASS</v>
      </c>
    </row>
    <row r="102" spans="2:7" x14ac:dyDescent="0.45">
      <c r="B102" s="11" t="s">
        <v>1520</v>
      </c>
      <c r="C102" s="69">
        <f>Substructure!J58</f>
        <v>41.237692232218137</v>
      </c>
      <c r="D102" s="70">
        <v>41.237692232218137</v>
      </c>
      <c r="E102" s="71">
        <f t="shared" si="4"/>
        <v>0</v>
      </c>
      <c r="F102" s="71">
        <v>1.0000000000000001E-9</v>
      </c>
      <c r="G102" s="42" t="str">
        <f t="shared" si="5"/>
        <v>PASS</v>
      </c>
    </row>
    <row r="103" spans="2:7" x14ac:dyDescent="0.45">
      <c r="B103" s="11" t="s">
        <v>1521</v>
      </c>
      <c r="C103" s="69">
        <f>'Bearing Seats'!I19</f>
        <v>43.73229964536867</v>
      </c>
      <c r="D103" s="70">
        <v>43.73229964536867</v>
      </c>
      <c r="E103" s="71">
        <f t="shared" si="4"/>
        <v>0</v>
      </c>
      <c r="F103" s="71">
        <v>1.0000000000000001E-9</v>
      </c>
      <c r="G103" s="42" t="str">
        <f t="shared" si="5"/>
        <v>PASS</v>
      </c>
    </row>
    <row r="104" spans="2:7" x14ac:dyDescent="0.45">
      <c r="B104" s="11" t="s">
        <v>1522</v>
      </c>
      <c r="C104" s="69">
        <f>'Bearing Seats'!J19</f>
        <v>43.745781112492338</v>
      </c>
      <c r="D104" s="70">
        <v>43.745781112492338</v>
      </c>
      <c r="E104" s="71">
        <f t="shared" ref="E104:E135" si="6">C104-D104</f>
        <v>0</v>
      </c>
      <c r="F104" s="71">
        <v>1.0000000000000001E-9</v>
      </c>
      <c r="G104" s="42" t="str">
        <f t="shared" ref="G104:G135" si="7">IF(ABS(E104)&lt;=F104,"PASS","FAIL")</f>
        <v>PASS</v>
      </c>
    </row>
    <row r="105" spans="2:7" x14ac:dyDescent="0.45">
      <c r="B105" s="11" t="s">
        <v>1523</v>
      </c>
      <c r="C105" s="69">
        <f>'Bearing Seats'!I20</f>
        <v>43.73229964536867</v>
      </c>
      <c r="D105" s="70">
        <v>43.73229964536867</v>
      </c>
      <c r="E105" s="71">
        <f t="shared" si="6"/>
        <v>0</v>
      </c>
      <c r="F105" s="71">
        <v>1.0000000000000001E-9</v>
      </c>
      <c r="G105" s="42" t="str">
        <f t="shared" si="7"/>
        <v>PASS</v>
      </c>
    </row>
    <row r="106" spans="2:7" x14ac:dyDescent="0.45">
      <c r="B106" s="11" t="s">
        <v>1524</v>
      </c>
      <c r="C106" s="69">
        <f>'Bearing Seats'!J20</f>
        <v>43.745781112492338</v>
      </c>
      <c r="D106" s="70">
        <v>43.745781112492338</v>
      </c>
      <c r="E106" s="71">
        <f t="shared" si="6"/>
        <v>0</v>
      </c>
      <c r="F106" s="71">
        <v>1.0000000000000001E-9</v>
      </c>
      <c r="G106" s="42" t="str">
        <f t="shared" si="7"/>
        <v>PASS</v>
      </c>
    </row>
    <row r="107" spans="2:7" x14ac:dyDescent="0.45">
      <c r="B107" s="11" t="s">
        <v>1525</v>
      </c>
      <c r="C107" s="69">
        <f>EB2_Top</f>
        <v>43.249692144029659</v>
      </c>
      <c r="D107" s="70">
        <v>43.249692144029659</v>
      </c>
      <c r="E107" s="71">
        <f t="shared" si="6"/>
        <v>0</v>
      </c>
      <c r="F107" s="71">
        <v>1.0000000000000001E-9</v>
      </c>
      <c r="G107" s="42" t="str">
        <f t="shared" si="7"/>
        <v>PASS</v>
      </c>
    </row>
    <row r="108" spans="2:7" x14ac:dyDescent="0.45">
      <c r="B108" s="11" t="s">
        <v>1526</v>
      </c>
      <c r="C108" s="69">
        <f>EB2_CapSta</f>
        <v>1804.72</v>
      </c>
      <c r="D108" s="70">
        <v>1804.72</v>
      </c>
      <c r="E108" s="71">
        <f t="shared" si="6"/>
        <v>0</v>
      </c>
      <c r="F108" s="71">
        <v>1.0000000000000001E-9</v>
      </c>
      <c r="G108" s="42" t="str">
        <f t="shared" si="7"/>
        <v>PASS</v>
      </c>
    </row>
    <row r="109" spans="2:7" x14ac:dyDescent="0.45">
      <c r="B109" s="11" t="s">
        <v>1527</v>
      </c>
      <c r="C109" s="69">
        <f>EB2_Len</f>
        <v>17.666666666666668</v>
      </c>
      <c r="D109" s="70">
        <v>17.666666666666671</v>
      </c>
      <c r="E109" s="71">
        <f t="shared" si="6"/>
        <v>0</v>
      </c>
      <c r="F109" s="71">
        <v>1.0000000000000001E-9</v>
      </c>
      <c r="G109" s="42" t="str">
        <f t="shared" si="7"/>
        <v>PASS</v>
      </c>
    </row>
    <row r="110" spans="2:7" x14ac:dyDescent="0.45">
      <c r="B110" s="11" t="s">
        <v>1528</v>
      </c>
      <c r="C110" s="69">
        <f>'Bearing Seats'!V14</f>
        <v>43.749692144029659</v>
      </c>
      <c r="D110" s="70">
        <v>43.749692144029659</v>
      </c>
      <c r="E110" s="71">
        <f t="shared" si="6"/>
        <v>0</v>
      </c>
      <c r="F110" s="71">
        <v>1.0000000000000001E-9</v>
      </c>
      <c r="G110" s="42" t="str">
        <f t="shared" si="7"/>
        <v>PASS</v>
      </c>
    </row>
    <row r="111" spans="2:7" x14ac:dyDescent="0.45">
      <c r="B111" s="11" t="s">
        <v>1529</v>
      </c>
      <c r="C111" s="69">
        <f>'Bearing Seats'!T14</f>
        <v>-6.8362525608421263E-3</v>
      </c>
      <c r="D111" s="70">
        <v>-6.8362525608421263E-3</v>
      </c>
      <c r="E111" s="71">
        <f t="shared" si="6"/>
        <v>0</v>
      </c>
      <c r="F111" s="71">
        <v>1.0000000000000001E-9</v>
      </c>
      <c r="G111" s="42" t="str">
        <f t="shared" si="7"/>
        <v>PASS</v>
      </c>
    </row>
    <row r="112" spans="2:7" x14ac:dyDescent="0.45">
      <c r="B112" s="11" t="s">
        <v>1530</v>
      </c>
      <c r="C112" s="69">
        <f>'Bearing Seats'!S14</f>
        <v>43.963233810696323</v>
      </c>
      <c r="D112" s="70">
        <v>43.963233810696323</v>
      </c>
      <c r="E112" s="71">
        <f t="shared" si="6"/>
        <v>0</v>
      </c>
      <c r="F112" s="71">
        <v>1.0000000000000001E-9</v>
      </c>
      <c r="G112" s="42" t="str">
        <f t="shared" si="7"/>
        <v>PASS</v>
      </c>
    </row>
    <row r="113" spans="2:7" x14ac:dyDescent="0.45">
      <c r="B113" s="11" t="s">
        <v>1531</v>
      </c>
      <c r="C113" s="69">
        <f>Substructure!H22</f>
        <v>6</v>
      </c>
      <c r="D113" s="70">
        <v>6</v>
      </c>
      <c r="E113" s="71">
        <f t="shared" si="6"/>
        <v>0</v>
      </c>
      <c r="F113" s="71">
        <v>9.9999999999999995E-7</v>
      </c>
      <c r="G113" s="42" t="str">
        <f t="shared" si="7"/>
        <v>PASS</v>
      </c>
    </row>
    <row r="114" spans="2:7" x14ac:dyDescent="0.45">
      <c r="B114" s="11" t="s">
        <v>1532</v>
      </c>
      <c r="C114" s="69">
        <f>'Bearing Seats'!V15</f>
        <v>43.749692144029659</v>
      </c>
      <c r="D114" s="70">
        <v>43.749692144029659</v>
      </c>
      <c r="E114" s="71">
        <f t="shared" si="6"/>
        <v>0</v>
      </c>
      <c r="F114" s="71">
        <v>1.0000000000000001E-9</v>
      </c>
      <c r="G114" s="42" t="str">
        <f t="shared" si="7"/>
        <v>PASS</v>
      </c>
    </row>
    <row r="115" spans="2:7" x14ac:dyDescent="0.45">
      <c r="B115" s="11" t="s">
        <v>1533</v>
      </c>
      <c r="C115" s="69">
        <f>'Bearing Seats'!T15</f>
        <v>-6.8362525608421263E-3</v>
      </c>
      <c r="D115" s="70">
        <v>-6.8362525608421263E-3</v>
      </c>
      <c r="E115" s="71">
        <f t="shared" si="6"/>
        <v>0</v>
      </c>
      <c r="F115" s="71">
        <v>1.0000000000000001E-9</v>
      </c>
      <c r="G115" s="42" t="str">
        <f t="shared" si="7"/>
        <v>PASS</v>
      </c>
    </row>
    <row r="116" spans="2:7" x14ac:dyDescent="0.45">
      <c r="B116" s="11" t="s">
        <v>1534</v>
      </c>
      <c r="C116" s="69">
        <f>'Bearing Seats'!S15</f>
        <v>43.963233810696323</v>
      </c>
      <c r="D116" s="70">
        <v>43.963233810696323</v>
      </c>
      <c r="E116" s="71">
        <f t="shared" si="6"/>
        <v>0</v>
      </c>
      <c r="F116" s="71">
        <v>1.0000000000000001E-9</v>
      </c>
      <c r="G116" s="42" t="str">
        <f t="shared" si="7"/>
        <v>PASS</v>
      </c>
    </row>
    <row r="117" spans="2:7" x14ac:dyDescent="0.45">
      <c r="B117" s="11" t="s">
        <v>1535</v>
      </c>
      <c r="C117" s="69">
        <f>Substructure!H23</f>
        <v>6</v>
      </c>
      <c r="D117" s="70">
        <v>6</v>
      </c>
      <c r="E117" s="71">
        <f t="shared" si="6"/>
        <v>0</v>
      </c>
      <c r="F117" s="71">
        <v>9.9999999999999995E-7</v>
      </c>
      <c r="G117" s="42" t="str">
        <f t="shared" si="7"/>
        <v>PASS</v>
      </c>
    </row>
    <row r="118" spans="2:7" x14ac:dyDescent="0.45">
      <c r="B118" s="11" t="s">
        <v>1536</v>
      </c>
      <c r="C118" s="69">
        <f>Substructure!D59</f>
        <v>-6.75</v>
      </c>
      <c r="D118" s="70">
        <v>-6.75</v>
      </c>
      <c r="E118" s="71">
        <f t="shared" si="6"/>
        <v>0</v>
      </c>
      <c r="F118" s="71">
        <v>1.0000000000000001E-9</v>
      </c>
      <c r="G118" s="42" t="str">
        <f t="shared" si="7"/>
        <v>PASS</v>
      </c>
    </row>
    <row r="119" spans="2:7" x14ac:dyDescent="0.45">
      <c r="B119" s="11" t="s">
        <v>1537</v>
      </c>
      <c r="C119" s="69">
        <f>Substructure!J59</f>
        <v>41.249692144029659</v>
      </c>
      <c r="D119" s="70">
        <v>41.249692144029659</v>
      </c>
      <c r="E119" s="71">
        <f t="shared" si="6"/>
        <v>0</v>
      </c>
      <c r="F119" s="71">
        <v>1.0000000000000001E-9</v>
      </c>
      <c r="G119" s="42" t="str">
        <f t="shared" si="7"/>
        <v>PASS</v>
      </c>
    </row>
    <row r="120" spans="2:7" x14ac:dyDescent="0.45">
      <c r="B120" s="11" t="s">
        <v>1538</v>
      </c>
      <c r="C120" s="69">
        <f>Substructure!D60</f>
        <v>-2.25</v>
      </c>
      <c r="D120" s="70">
        <v>-2.25</v>
      </c>
      <c r="E120" s="71">
        <f t="shared" si="6"/>
        <v>0</v>
      </c>
      <c r="F120" s="71">
        <v>1.0000000000000001E-9</v>
      </c>
      <c r="G120" s="42" t="str">
        <f t="shared" si="7"/>
        <v>PASS</v>
      </c>
    </row>
    <row r="121" spans="2:7" x14ac:dyDescent="0.45">
      <c r="B121" s="11" t="s">
        <v>1539</v>
      </c>
      <c r="C121" s="69">
        <f>Substructure!J60</f>
        <v>41.249692144029659</v>
      </c>
      <c r="D121" s="70">
        <v>41.249692144029659</v>
      </c>
      <c r="E121" s="71">
        <f t="shared" si="6"/>
        <v>0</v>
      </c>
      <c r="F121" s="71">
        <v>1.0000000000000001E-9</v>
      </c>
      <c r="G121" s="42" t="str">
        <f t="shared" si="7"/>
        <v>PASS</v>
      </c>
    </row>
    <row r="122" spans="2:7" x14ac:dyDescent="0.45">
      <c r="B122" s="11" t="s">
        <v>1540</v>
      </c>
      <c r="C122" s="69">
        <f>Substructure!D61</f>
        <v>2.25</v>
      </c>
      <c r="D122" s="70">
        <v>2.25</v>
      </c>
      <c r="E122" s="71">
        <f t="shared" si="6"/>
        <v>0</v>
      </c>
      <c r="F122" s="71">
        <v>1.0000000000000001E-9</v>
      </c>
      <c r="G122" s="42" t="str">
        <f t="shared" si="7"/>
        <v>PASS</v>
      </c>
    </row>
    <row r="123" spans="2:7" x14ac:dyDescent="0.45">
      <c r="B123" s="11" t="s">
        <v>1541</v>
      </c>
      <c r="C123" s="69">
        <f>Substructure!J61</f>
        <v>41.249692144029659</v>
      </c>
      <c r="D123" s="70">
        <v>41.249692144029659</v>
      </c>
      <c r="E123" s="71">
        <f t="shared" si="6"/>
        <v>0</v>
      </c>
      <c r="F123" s="71">
        <v>1.0000000000000001E-9</v>
      </c>
      <c r="G123" s="42" t="str">
        <f t="shared" si="7"/>
        <v>PASS</v>
      </c>
    </row>
    <row r="124" spans="2:7" x14ac:dyDescent="0.45">
      <c r="B124" s="11" t="s">
        <v>1542</v>
      </c>
      <c r="C124" s="69">
        <f>Substructure!D62</f>
        <v>6.75</v>
      </c>
      <c r="D124" s="70">
        <v>6.75</v>
      </c>
      <c r="E124" s="71">
        <f t="shared" si="6"/>
        <v>0</v>
      </c>
      <c r="F124" s="71">
        <v>1.0000000000000001E-9</v>
      </c>
      <c r="G124" s="42" t="str">
        <f t="shared" si="7"/>
        <v>PASS</v>
      </c>
    </row>
    <row r="125" spans="2:7" x14ac:dyDescent="0.45">
      <c r="B125" s="11" t="s">
        <v>1543</v>
      </c>
      <c r="C125" s="69">
        <f>Substructure!J62</f>
        <v>41.249692144029659</v>
      </c>
      <c r="D125" s="70">
        <v>41.249692144029659</v>
      </c>
      <c r="E125" s="71">
        <f t="shared" si="6"/>
        <v>0</v>
      </c>
      <c r="F125" s="71">
        <v>1.0000000000000001E-9</v>
      </c>
      <c r="G125" s="42" t="str">
        <f t="shared" si="7"/>
        <v>PASS</v>
      </c>
    </row>
    <row r="126" spans="2:7" x14ac:dyDescent="0.45">
      <c r="B126" s="11" t="s">
        <v>1544</v>
      </c>
      <c r="C126" s="69">
        <f>'Bearing Seats'!I21</f>
        <v>43.742855891468814</v>
      </c>
      <c r="D126" s="70">
        <v>43.742855891468807</v>
      </c>
      <c r="E126" s="71">
        <f t="shared" si="6"/>
        <v>0</v>
      </c>
      <c r="F126" s="71">
        <v>1.0000000000000001E-9</v>
      </c>
      <c r="G126" s="42" t="str">
        <f t="shared" si="7"/>
        <v>PASS</v>
      </c>
    </row>
    <row r="127" spans="2:7" x14ac:dyDescent="0.45">
      <c r="B127" s="11" t="s">
        <v>1545</v>
      </c>
      <c r="C127" s="69">
        <f>'Bearing Seats'!J21</f>
        <v>43.759946522870919</v>
      </c>
      <c r="D127" s="70">
        <v>43.759946522870919</v>
      </c>
      <c r="E127" s="71">
        <f t="shared" si="6"/>
        <v>0</v>
      </c>
      <c r="F127" s="71">
        <v>1.0000000000000001E-9</v>
      </c>
      <c r="G127" s="42" t="str">
        <f t="shared" si="7"/>
        <v>PASS</v>
      </c>
    </row>
    <row r="128" spans="2:7" x14ac:dyDescent="0.45">
      <c r="B128" s="11" t="s">
        <v>1546</v>
      </c>
      <c r="C128" s="69">
        <f>'Bearing Seats'!I22</f>
        <v>43.742855891468814</v>
      </c>
      <c r="D128" s="70">
        <v>43.742855891468807</v>
      </c>
      <c r="E128" s="71">
        <f t="shared" si="6"/>
        <v>0</v>
      </c>
      <c r="F128" s="71">
        <v>1.0000000000000001E-9</v>
      </c>
      <c r="G128" s="42" t="str">
        <f t="shared" si="7"/>
        <v>PASS</v>
      </c>
    </row>
    <row r="129" spans="1:12" x14ac:dyDescent="0.45">
      <c r="B129" s="11" t="s">
        <v>1547</v>
      </c>
      <c r="C129" s="69">
        <f>'Bearing Seats'!J22</f>
        <v>43.759946522870919</v>
      </c>
      <c r="D129" s="70">
        <v>43.759946522870919</v>
      </c>
      <c r="E129" s="71">
        <f t="shared" si="6"/>
        <v>0</v>
      </c>
      <c r="F129" s="71">
        <v>1.0000000000000001E-9</v>
      </c>
      <c r="G129" s="42" t="str">
        <f t="shared" si="7"/>
        <v>PASS</v>
      </c>
    </row>
    <row r="130" spans="1:12" x14ac:dyDescent="0.45">
      <c r="B130" s="11" t="s">
        <v>1195</v>
      </c>
      <c r="C130" s="69">
        <f>Clr_Min</f>
        <v>18.361569093606256</v>
      </c>
      <c r="D130" s="70">
        <v>18.36156909360626</v>
      </c>
      <c r="E130" s="71">
        <f t="shared" si="6"/>
        <v>0</v>
      </c>
      <c r="F130" s="71">
        <v>9.9999999999999995E-8</v>
      </c>
      <c r="G130" s="42" t="str">
        <f t="shared" si="7"/>
        <v>PASS</v>
      </c>
    </row>
    <row r="131" spans="1:12" x14ac:dyDescent="0.45">
      <c r="B131" s="11" t="s">
        <v>1548</v>
      </c>
      <c r="C131" s="69">
        <f>Clr_Sta</f>
        <v>1699.462329</v>
      </c>
      <c r="D131" s="70">
        <v>1699.462329</v>
      </c>
      <c r="E131" s="71">
        <f t="shared" si="6"/>
        <v>0</v>
      </c>
      <c r="F131" s="71">
        <v>9.9999999999999995E-7</v>
      </c>
      <c r="G131" s="42" t="str">
        <f t="shared" si="7"/>
        <v>PASS</v>
      </c>
    </row>
    <row r="132" spans="1:12" x14ac:dyDescent="0.45">
      <c r="B132" s="11" t="s">
        <v>1549</v>
      </c>
      <c r="C132" s="69">
        <f>Clr_Cover</f>
        <v>207.23188600000003</v>
      </c>
      <c r="D132" s="70">
        <v>207.231886</v>
      </c>
      <c r="E132" s="71">
        <f t="shared" si="6"/>
        <v>0</v>
      </c>
      <c r="F132" s="71">
        <v>9.9999999999999995E-7</v>
      </c>
      <c r="G132" s="42" t="str">
        <f t="shared" si="7"/>
        <v>PASS</v>
      </c>
    </row>
    <row r="133" spans="1:12" x14ac:dyDescent="0.45">
      <c r="B133" s="11" t="s">
        <v>1550</v>
      </c>
      <c r="C133" s="69">
        <f>Sp1_LBeam</f>
        <v>106.97499999999991</v>
      </c>
      <c r="D133" s="70">
        <v>106.97499999999999</v>
      </c>
      <c r="E133" s="71">
        <f t="shared" si="6"/>
        <v>0</v>
      </c>
      <c r="F133" s="71">
        <v>1.0000000000000001E-9</v>
      </c>
      <c r="G133" s="42" t="str">
        <f t="shared" si="7"/>
        <v>PASS</v>
      </c>
    </row>
    <row r="134" spans="1:12" x14ac:dyDescent="0.45">
      <c r="B134" s="11" t="s">
        <v>1551</v>
      </c>
      <c r="C134" s="69">
        <f>Phys_Setback</f>
        <v>9</v>
      </c>
      <c r="D134" s="70">
        <v>9</v>
      </c>
      <c r="E134" s="71">
        <f t="shared" si="6"/>
        <v>0</v>
      </c>
      <c r="F134" s="71">
        <v>1.0000000000000001E-9</v>
      </c>
      <c r="G134" s="42" t="str">
        <f t="shared" si="7"/>
        <v>PASS</v>
      </c>
    </row>
    <row r="135" spans="1:12" x14ac:dyDescent="0.45">
      <c r="B135" s="11" t="s">
        <v>1552</v>
      </c>
      <c r="C135" s="69">
        <f>Deck_T*12</f>
        <v>6</v>
      </c>
      <c r="D135" s="70">
        <v>5.9999999999999991</v>
      </c>
      <c r="E135" s="71">
        <f t="shared" si="6"/>
        <v>0</v>
      </c>
      <c r="F135" s="71">
        <v>1.0000000000000001E-9</v>
      </c>
      <c r="G135" s="42" t="str">
        <f t="shared" si="7"/>
        <v>PASS</v>
      </c>
    </row>
    <row r="136" spans="1:12" x14ac:dyDescent="0.45">
      <c r="B136" s="11" t="s">
        <v>1553</v>
      </c>
      <c r="C136" s="69">
        <f>Bm_S</f>
        <v>8.5833333333333339</v>
      </c>
      <c r="D136" s="70">
        <v>8.5830000000000002</v>
      </c>
      <c r="E136" s="71">
        <f t="shared" ref="E136:E167" si="8">C136-D136</f>
        <v>3.3333333333374071E-4</v>
      </c>
      <c r="F136" s="71">
        <v>1E-3</v>
      </c>
      <c r="G136" s="42" t="str">
        <f t="shared" ref="G136:G167" si="9">IF(ABS(E136)&lt;=F136,"PASS","FAIL")</f>
        <v>PASS</v>
      </c>
    </row>
    <row r="137" spans="1:12" x14ac:dyDescent="0.45">
      <c r="B137" s="11" t="s">
        <v>1554</v>
      </c>
      <c r="C137" s="69">
        <f>Sp1_C</f>
        <v>0.124592744006574</v>
      </c>
      <c r="D137" s="70">
        <v>0.124592744006574</v>
      </c>
      <c r="E137" s="71">
        <f t="shared" si="8"/>
        <v>0</v>
      </c>
      <c r="F137" s="71">
        <v>9.9999999999999998E-13</v>
      </c>
      <c r="G137" s="42" t="str">
        <f t="shared" si="9"/>
        <v>PASS</v>
      </c>
    </row>
    <row r="138" spans="1:12" x14ac:dyDescent="0.45">
      <c r="B138" s="11" t="s">
        <v>1555</v>
      </c>
      <c r="C138" s="69">
        <f>Sp2_LBeam</f>
        <v>104.52500000000009</v>
      </c>
      <c r="D138" s="70">
        <v>104.52500000000001</v>
      </c>
      <c r="E138" s="71">
        <f t="shared" si="8"/>
        <v>0</v>
      </c>
      <c r="F138" s="71">
        <v>1.0000000000000001E-9</v>
      </c>
      <c r="G138" s="42" t="str">
        <f t="shared" si="9"/>
        <v>PASS</v>
      </c>
    </row>
    <row r="139" spans="1:12" x14ac:dyDescent="0.45">
      <c r="B139" s="11" t="s">
        <v>1556</v>
      </c>
      <c r="C139" s="69">
        <f>Phys_Setback</f>
        <v>9</v>
      </c>
      <c r="D139" s="70">
        <v>9</v>
      </c>
      <c r="E139" s="71">
        <f t="shared" si="8"/>
        <v>0</v>
      </c>
      <c r="F139" s="71">
        <v>1.0000000000000001E-9</v>
      </c>
      <c r="G139" s="42" t="str">
        <f t="shared" si="9"/>
        <v>PASS</v>
      </c>
    </row>
    <row r="140" spans="1:12" x14ac:dyDescent="0.45">
      <c r="B140" s="11" t="s">
        <v>1557</v>
      </c>
      <c r="C140" s="69">
        <f>Deck_T*12</f>
        <v>6</v>
      </c>
      <c r="D140" s="70">
        <v>5.9999999999999991</v>
      </c>
      <c r="E140" s="71">
        <f t="shared" si="8"/>
        <v>0</v>
      </c>
      <c r="F140" s="71">
        <v>1.0000000000000001E-9</v>
      </c>
      <c r="G140" s="42" t="str">
        <f t="shared" si="9"/>
        <v>PASS</v>
      </c>
    </row>
    <row r="141" spans="1:12" x14ac:dyDescent="0.45">
      <c r="B141" s="11" t="s">
        <v>1558</v>
      </c>
      <c r="C141" s="69">
        <f>Bm_S</f>
        <v>8.5833333333333339</v>
      </c>
      <c r="D141" s="70">
        <v>8.5830000000000002</v>
      </c>
      <c r="E141" s="71">
        <f t="shared" si="8"/>
        <v>3.3333333333374071E-4</v>
      </c>
      <c r="F141" s="71">
        <v>1E-3</v>
      </c>
      <c r="G141" s="42" t="str">
        <f t="shared" si="9"/>
        <v>PASS</v>
      </c>
    </row>
    <row r="142" spans="1:12" x14ac:dyDescent="0.45">
      <c r="B142" s="11" t="s">
        <v>1559</v>
      </c>
      <c r="C142" s="69">
        <f>Sp2_C</f>
        <v>0.56717146305500721</v>
      </c>
      <c r="D142" s="70">
        <v>0.56717146305500721</v>
      </c>
      <c r="E142" s="71">
        <f t="shared" si="8"/>
        <v>0</v>
      </c>
      <c r="F142" s="71">
        <v>9.9999999999999998E-13</v>
      </c>
      <c r="G142" s="42" t="str">
        <f t="shared" si="9"/>
        <v>PASS</v>
      </c>
    </row>
    <row r="144" spans="1:12" x14ac:dyDescent="0.45">
      <c r="A144" s="17" t="s">
        <v>1560</v>
      </c>
      <c r="B144" s="18"/>
      <c r="C144" s="18"/>
      <c r="D144" s="18"/>
      <c r="E144" s="18"/>
      <c r="F144" s="18"/>
      <c r="G144" s="18"/>
      <c r="L144" s="37" t="s">
        <v>1561</v>
      </c>
    </row>
    <row r="145" spans="1:13" x14ac:dyDescent="0.45">
      <c r="B145" s="11" t="s">
        <v>1562</v>
      </c>
      <c r="C145" s="71">
        <f>MAX(M145:M274)</f>
        <v>7.1054273576010019E-15</v>
      </c>
      <c r="F145" s="71">
        <v>1.0000000000000001E-9</v>
      </c>
      <c r="G145" s="42" t="str">
        <f>IF(C145&lt;=F145,"PASS","FAIL")</f>
        <v>PASS</v>
      </c>
      <c r="L145" s="72">
        <v>47.525166666666671</v>
      </c>
      <c r="M145" s="71">
        <f>ABS(FGE!E12-L145)</f>
        <v>0</v>
      </c>
    </row>
    <row r="146" spans="1:13" x14ac:dyDescent="0.45">
      <c r="L146" s="72">
        <v>47.530165502251208</v>
      </c>
      <c r="M146" s="71">
        <f>ABS(FGE!F12-L146)</f>
        <v>0</v>
      </c>
    </row>
    <row r="147" spans="1:13" x14ac:dyDescent="0.45">
      <c r="A147" s="17" t="s">
        <v>1563</v>
      </c>
      <c r="B147" s="18"/>
      <c r="C147" s="18"/>
      <c r="D147" s="18"/>
      <c r="E147" s="18"/>
      <c r="F147" s="18"/>
      <c r="G147" s="18"/>
      <c r="L147" s="72">
        <v>47.582890720579108</v>
      </c>
      <c r="M147" s="71">
        <f>ABS(FGE!G12-L147)</f>
        <v>0</v>
      </c>
    </row>
    <row r="148" spans="1:13" x14ac:dyDescent="0.45">
      <c r="B148" s="4" t="s">
        <v>751</v>
      </c>
      <c r="G148" s="42" t="str">
        <f>'Profile &amp; Deck'!C33</f>
        <v>PASS</v>
      </c>
      <c r="L148" s="72">
        <v>47.635615938907009</v>
      </c>
      <c r="M148" s="71">
        <f>ABS(FGE!H12-L148)</f>
        <v>0</v>
      </c>
    </row>
    <row r="149" spans="1:13" x14ac:dyDescent="0.45">
      <c r="B149" s="4" t="s">
        <v>752</v>
      </c>
      <c r="G149" s="42" t="str">
        <f>'Profile &amp; Deck'!C34</f>
        <v>PASS</v>
      </c>
      <c r="L149" s="72">
        <v>47.688341157234909</v>
      </c>
      <c r="M149" s="71">
        <f>ABS(FGE!I12-L149)</f>
        <v>0</v>
      </c>
    </row>
    <row r="150" spans="1:13" x14ac:dyDescent="0.45">
      <c r="B150" s="4" t="s">
        <v>753</v>
      </c>
      <c r="G150" s="42" t="str">
        <f>'Profile &amp; Deck'!C35</f>
        <v>PASS</v>
      </c>
      <c r="L150" s="72">
        <v>47.741066375562802</v>
      </c>
      <c r="M150" s="71">
        <f>ABS(FGE!J12-L150)</f>
        <v>0</v>
      </c>
    </row>
    <row r="151" spans="1:13" x14ac:dyDescent="0.45">
      <c r="B151" s="4" t="s">
        <v>754</v>
      </c>
      <c r="G151" s="42" t="str">
        <f>'Profile &amp; Deck'!C36</f>
        <v>PASS</v>
      </c>
      <c r="L151" s="72">
        <v>47.793791593890703</v>
      </c>
      <c r="M151" s="71">
        <f>ABS(FGE!K12-L151)</f>
        <v>0</v>
      </c>
    </row>
    <row r="152" spans="1:13" x14ac:dyDescent="0.45">
      <c r="B152" s="4" t="s">
        <v>755</v>
      </c>
      <c r="G152" s="42" t="str">
        <f>'Profile &amp; Deck'!C37</f>
        <v>PASS</v>
      </c>
      <c r="L152" s="72">
        <v>47.846516812218603</v>
      </c>
      <c r="M152" s="71">
        <f>ABS(FGE!L12-L152)</f>
        <v>0</v>
      </c>
    </row>
    <row r="153" spans="1:13" ht="25.5" x14ac:dyDescent="0.45">
      <c r="B153" s="4" t="s">
        <v>1564</v>
      </c>
      <c r="G153" s="42" t="str">
        <f>IF(Prof_Mode="brokeback",IF(AND(OR(Prof_PISta&lt;=Sp1_Bm0,Prof_PISta&gt;=Sp1_Bm1),OR(Prof_PISta&lt;=Sp2_Bm0,Prof_PISta&gt;=Sp2_Bm1)),"PASS","FAIL"),"PASS")</f>
        <v>PASS</v>
      </c>
      <c r="L153" s="72">
        <v>47.899242030546503</v>
      </c>
      <c r="M153" s="71">
        <f>ABS(FGE!M12-L153)</f>
        <v>0</v>
      </c>
    </row>
    <row r="154" spans="1:13" x14ac:dyDescent="0.45">
      <c r="B154" s="4" t="s">
        <v>1565</v>
      </c>
      <c r="G154" s="42" t="str">
        <f>IF(AND(ABS(Sp1_Sta0-Prof_Sta0)&lt;0.00000001,ABS(Sp2_Sta1-Prof_Sta1)&lt;0.00000001,ABS(Sp1_Sta1-Sp2_Sta0)&lt;0.00000001),"PASS","FAIL")</f>
        <v>PASS</v>
      </c>
      <c r="L154" s="72">
        <v>47.951967248874404</v>
      </c>
      <c r="M154" s="71">
        <f>ABS(FGE!N12-L154)</f>
        <v>0</v>
      </c>
    </row>
    <row r="155" spans="1:13" x14ac:dyDescent="0.45">
      <c r="B155" s="4" t="s">
        <v>1566</v>
      </c>
      <c r="G155" s="42" t="str">
        <f>IF(AND(EB1_BmClr=Phys_EndClr,EB2_BmClr=Phys_EndClr,EB1_BmBrg=Phys_Setback,EB2_BmBrg=Phys_Setback),"PASS","FAIL")</f>
        <v>PASS</v>
      </c>
      <c r="L155" s="72">
        <v>48.004692467202297</v>
      </c>
      <c r="M155" s="71">
        <f>ABS(FGE!O12-L155)</f>
        <v>7.1054273576010019E-15</v>
      </c>
    </row>
    <row r="156" spans="1:13" x14ac:dyDescent="0.45">
      <c r="B156" s="4" t="s">
        <v>1567</v>
      </c>
      <c r="G156" s="42" t="str">
        <f>IF(ABS(Pier_Sta-Sp1_Sta1)&lt;0.00000001,"PASS","FAIL")</f>
        <v>PASS</v>
      </c>
      <c r="L156" s="72">
        <v>48.057417685530197</v>
      </c>
      <c r="M156" s="71">
        <f>ABS(FGE!P12-L156)</f>
        <v>7.1054273576010019E-15</v>
      </c>
    </row>
    <row r="157" spans="1:13" x14ac:dyDescent="0.45">
      <c r="B157" s="4" t="s">
        <v>1568</v>
      </c>
      <c r="G157" s="42" t="str">
        <f>Sp1_Chk</f>
        <v>PASS</v>
      </c>
      <c r="L157" s="72">
        <v>48.061791666666672</v>
      </c>
      <c r="M157" s="71">
        <f>ABS(FGE!Q12-L157)</f>
        <v>0</v>
      </c>
    </row>
    <row r="158" spans="1:13" x14ac:dyDescent="0.45">
      <c r="B158" s="4" t="s">
        <v>1569</v>
      </c>
      <c r="G158" s="42" t="str">
        <f>Sp2_Chk</f>
        <v>PASS</v>
      </c>
      <c r="L158" s="72">
        <v>47.575166666666668</v>
      </c>
      <c r="M158" s="71">
        <f>ABS(FGE!E13-L158)</f>
        <v>0</v>
      </c>
    </row>
    <row r="159" spans="1:13" x14ac:dyDescent="0.45">
      <c r="B159" s="4" t="s">
        <v>1570</v>
      </c>
      <c r="G159" s="42" t="str">
        <f>'Camber &amp; Haunch'!J45</f>
        <v>PASS</v>
      </c>
      <c r="L159" s="72">
        <v>47.580165502251212</v>
      </c>
      <c r="M159" s="71">
        <f>ABS(FGE!F13-L159)</f>
        <v>7.1054273576010019E-15</v>
      </c>
    </row>
    <row r="160" spans="1:13" x14ac:dyDescent="0.45">
      <c r="B160" s="4" t="s">
        <v>1571</v>
      </c>
      <c r="G160" s="42" t="str">
        <f>'Camber &amp; Haunch'!J46</f>
        <v>PASS</v>
      </c>
      <c r="L160" s="72">
        <v>47.632890720579113</v>
      </c>
      <c r="M160" s="71">
        <f>ABS(FGE!G13-L160)</f>
        <v>7.1054273576010019E-15</v>
      </c>
    </row>
    <row r="161" spans="2:13" x14ac:dyDescent="0.45">
      <c r="B161" s="4" t="s">
        <v>1572</v>
      </c>
      <c r="G161" s="42" t="str">
        <f>IF(COUNTIF('Bearing Seats'!B1:Z400,"FAIL")+COUNTIF(Substructure!B1:Z400,"FAIL")+COUNTIF('Beam Geometry'!B1:Z400,"FAIL")+COUNTIF('Beam Data'!B1:Z400,"FAIL")+COUNTIF('Camber &amp; Haunch'!B1:Z400,"FAIL")+COUNTIF('Profile &amp; Deck'!B1:Z400,"FAIL")=0,"PASS","FAIL")</f>
        <v>PASS</v>
      </c>
      <c r="L161" s="72">
        <v>47.685615938907013</v>
      </c>
      <c r="M161" s="71">
        <f>ABS(FGE!H13-L161)</f>
        <v>7.1054273576010019E-15</v>
      </c>
    </row>
    <row r="162" spans="2:13" x14ac:dyDescent="0.45">
      <c r="B162" s="4" t="s">
        <v>1573</v>
      </c>
      <c r="G162" s="42" t="str">
        <f>IF(Clr_Status="Below requirement","FAIL",IF(Clr_Status="Meets requirement","PASS","CHECK"))</f>
        <v>CHECK</v>
      </c>
      <c r="L162" s="72">
        <v>47.738341157234913</v>
      </c>
      <c r="M162" s="71">
        <f>ABS(FGE!I13-L162)</f>
        <v>7.1054273576010019E-15</v>
      </c>
    </row>
    <row r="163" spans="2:13" x14ac:dyDescent="0.45">
      <c r="L163" s="72">
        <v>47.791066375562799</v>
      </c>
      <c r="M163" s="71">
        <f>ABS(FGE!J13-L163)</f>
        <v>0</v>
      </c>
    </row>
    <row r="164" spans="2:13" x14ac:dyDescent="0.45">
      <c r="B164" s="7" t="s">
        <v>1574</v>
      </c>
      <c r="C164" s="11" t="str">
        <f>COUNTIF(G8:G162,"PASS")&amp;" pass / "&amp;COUNTIF(G8:G162,"FAIL")&amp;" fail / "&amp;COUNTIF(G8:G162,"CHECK")&amp;" check"</f>
        <v>150 pass / 0 fail / 1 check</v>
      </c>
      <c r="G164" s="73" t="str">
        <f>IF(COUNTIF(G8:G162,"FAIL")=0,"PASS","FAIL")</f>
        <v>PASS</v>
      </c>
      <c r="L164" s="72">
        <v>47.8437915938907</v>
      </c>
      <c r="M164" s="71">
        <f>ABS(FGE!K13-L164)</f>
        <v>0</v>
      </c>
    </row>
    <row r="165" spans="2:13" x14ac:dyDescent="0.45">
      <c r="L165" s="72">
        <v>47.8965168122186</v>
      </c>
      <c r="M165" s="71">
        <f>ABS(FGE!L13-L165)</f>
        <v>0</v>
      </c>
    </row>
    <row r="166" spans="2:13" x14ac:dyDescent="0.45">
      <c r="L166" s="72">
        <v>47.9492420305465</v>
      </c>
      <c r="M166" s="71">
        <f>ABS(FGE!M13-L166)</f>
        <v>0</v>
      </c>
    </row>
    <row r="167" spans="2:13" x14ac:dyDescent="0.45">
      <c r="L167" s="72">
        <v>48.001967248874401</v>
      </c>
      <c r="M167" s="71">
        <f>ABS(FGE!N13-L167)</f>
        <v>0</v>
      </c>
    </row>
    <row r="168" spans="2:13" x14ac:dyDescent="0.45">
      <c r="L168" s="72">
        <v>48.054692467202301</v>
      </c>
      <c r="M168" s="71">
        <f>ABS(FGE!O13-L168)</f>
        <v>0</v>
      </c>
    </row>
    <row r="169" spans="2:13" x14ac:dyDescent="0.45">
      <c r="L169" s="72">
        <v>48.107417685530201</v>
      </c>
      <c r="M169" s="71">
        <f>ABS(FGE!P13-L169)</f>
        <v>0</v>
      </c>
    </row>
    <row r="170" spans="2:13" x14ac:dyDescent="0.45">
      <c r="L170" s="72">
        <v>48.111791666666669</v>
      </c>
      <c r="M170" s="71">
        <f>ABS(FGE!Q13-L170)</f>
        <v>0</v>
      </c>
    </row>
    <row r="171" spans="2:13" x14ac:dyDescent="0.45">
      <c r="L171" s="72">
        <v>47.661000000000001</v>
      </c>
      <c r="M171" s="71">
        <f>ABS(FGE!E14-L171)</f>
        <v>0</v>
      </c>
    </row>
    <row r="172" spans="2:13" x14ac:dyDescent="0.45">
      <c r="L172" s="72">
        <v>47.665998835584539</v>
      </c>
      <c r="M172" s="71">
        <f>ABS(FGE!F14-L172)</f>
        <v>0</v>
      </c>
    </row>
    <row r="173" spans="2:13" x14ac:dyDescent="0.45">
      <c r="L173" s="72">
        <v>47.718724053912439</v>
      </c>
      <c r="M173" s="71">
        <f>ABS(FGE!G14-L173)</f>
        <v>0</v>
      </c>
    </row>
    <row r="174" spans="2:13" x14ac:dyDescent="0.45">
      <c r="L174" s="72">
        <v>47.771449272240339</v>
      </c>
      <c r="M174" s="71">
        <f>ABS(FGE!H14-L174)</f>
        <v>0</v>
      </c>
    </row>
    <row r="175" spans="2:13" x14ac:dyDescent="0.45">
      <c r="L175" s="72">
        <v>47.82417449056824</v>
      </c>
      <c r="M175" s="71">
        <f>ABS(FGE!I14-L175)</f>
        <v>0</v>
      </c>
    </row>
    <row r="176" spans="2:13" x14ac:dyDescent="0.45">
      <c r="L176" s="72">
        <v>47.876899708896133</v>
      </c>
      <c r="M176" s="71">
        <f>ABS(FGE!J14-L176)</f>
        <v>0</v>
      </c>
    </row>
    <row r="177" spans="12:13" x14ac:dyDescent="0.45">
      <c r="L177" s="72">
        <v>47.929624927224033</v>
      </c>
      <c r="M177" s="71">
        <f>ABS(FGE!K14-L177)</f>
        <v>0</v>
      </c>
    </row>
    <row r="178" spans="12:13" x14ac:dyDescent="0.45">
      <c r="L178" s="72">
        <v>47.982350145551933</v>
      </c>
      <c r="M178" s="71">
        <f>ABS(FGE!L14-L178)</f>
        <v>0</v>
      </c>
    </row>
    <row r="179" spans="12:13" x14ac:dyDescent="0.45">
      <c r="L179" s="72">
        <v>48.035075363879827</v>
      </c>
      <c r="M179" s="71">
        <f>ABS(FGE!M14-L179)</f>
        <v>7.1054273576010019E-15</v>
      </c>
    </row>
    <row r="180" spans="12:13" x14ac:dyDescent="0.45">
      <c r="L180" s="72">
        <v>48.087800582207727</v>
      </c>
      <c r="M180" s="71">
        <f>ABS(FGE!N14-L180)</f>
        <v>7.1054273576010019E-15</v>
      </c>
    </row>
    <row r="181" spans="12:13" x14ac:dyDescent="0.45">
      <c r="L181" s="72">
        <v>48.140525800535627</v>
      </c>
      <c r="M181" s="71">
        <f>ABS(FGE!O14-L181)</f>
        <v>7.1054273576010019E-15</v>
      </c>
    </row>
    <row r="182" spans="12:13" x14ac:dyDescent="0.45">
      <c r="L182" s="72">
        <v>48.193251018863528</v>
      </c>
      <c r="M182" s="71">
        <f>ABS(FGE!P14-L182)</f>
        <v>7.1054273576010019E-15</v>
      </c>
    </row>
    <row r="183" spans="12:13" x14ac:dyDescent="0.45">
      <c r="L183" s="72">
        <v>48.197625000000002</v>
      </c>
      <c r="M183" s="71">
        <f>ABS(FGE!Q14-L183)</f>
        <v>0</v>
      </c>
    </row>
    <row r="184" spans="12:13" x14ac:dyDescent="0.45">
      <c r="L184" s="72">
        <v>47.575166666666668</v>
      </c>
      <c r="M184" s="71">
        <f>ABS(FGE!E15-L184)</f>
        <v>0</v>
      </c>
    </row>
    <row r="185" spans="12:13" x14ac:dyDescent="0.45">
      <c r="L185" s="72">
        <v>47.580165502251212</v>
      </c>
      <c r="M185" s="71">
        <f>ABS(FGE!F15-L185)</f>
        <v>7.1054273576010019E-15</v>
      </c>
    </row>
    <row r="186" spans="12:13" x14ac:dyDescent="0.45">
      <c r="L186" s="72">
        <v>47.632890720579113</v>
      </c>
      <c r="M186" s="71">
        <f>ABS(FGE!G15-L186)</f>
        <v>7.1054273576010019E-15</v>
      </c>
    </row>
    <row r="187" spans="12:13" x14ac:dyDescent="0.45">
      <c r="L187" s="72">
        <v>47.685615938907013</v>
      </c>
      <c r="M187" s="71">
        <f>ABS(FGE!H15-L187)</f>
        <v>7.1054273576010019E-15</v>
      </c>
    </row>
    <row r="188" spans="12:13" x14ac:dyDescent="0.45">
      <c r="L188" s="72">
        <v>47.738341157234913</v>
      </c>
      <c r="M188" s="71">
        <f>ABS(FGE!I15-L188)</f>
        <v>7.1054273576010019E-15</v>
      </c>
    </row>
    <row r="189" spans="12:13" x14ac:dyDescent="0.45">
      <c r="L189" s="72">
        <v>47.791066375562799</v>
      </c>
      <c r="M189" s="71">
        <f>ABS(FGE!J15-L189)</f>
        <v>0</v>
      </c>
    </row>
    <row r="190" spans="12:13" x14ac:dyDescent="0.45">
      <c r="L190" s="72">
        <v>47.8437915938907</v>
      </c>
      <c r="M190" s="71">
        <f>ABS(FGE!K15-L190)</f>
        <v>0</v>
      </c>
    </row>
    <row r="191" spans="12:13" x14ac:dyDescent="0.45">
      <c r="L191" s="72">
        <v>47.8965168122186</v>
      </c>
      <c r="M191" s="71">
        <f>ABS(FGE!L15-L191)</f>
        <v>0</v>
      </c>
    </row>
    <row r="192" spans="12:13" x14ac:dyDescent="0.45">
      <c r="L192" s="72">
        <v>47.9492420305465</v>
      </c>
      <c r="M192" s="71">
        <f>ABS(FGE!M15-L192)</f>
        <v>0</v>
      </c>
    </row>
    <row r="193" spans="12:13" x14ac:dyDescent="0.45">
      <c r="L193" s="72">
        <v>48.001967248874401</v>
      </c>
      <c r="M193" s="71">
        <f>ABS(FGE!N15-L193)</f>
        <v>0</v>
      </c>
    </row>
    <row r="194" spans="12:13" x14ac:dyDescent="0.45">
      <c r="L194" s="72">
        <v>48.054692467202301</v>
      </c>
      <c r="M194" s="71">
        <f>ABS(FGE!O15-L194)</f>
        <v>0</v>
      </c>
    </row>
    <row r="195" spans="12:13" x14ac:dyDescent="0.45">
      <c r="L195" s="72">
        <v>48.107417685530201</v>
      </c>
      <c r="M195" s="71">
        <f>ABS(FGE!P15-L195)</f>
        <v>0</v>
      </c>
    </row>
    <row r="196" spans="12:13" x14ac:dyDescent="0.45">
      <c r="L196" s="72">
        <v>48.111791666666669</v>
      </c>
      <c r="M196" s="71">
        <f>ABS(FGE!Q15-L196)</f>
        <v>0</v>
      </c>
    </row>
    <row r="197" spans="12:13" x14ac:dyDescent="0.45">
      <c r="L197" s="72">
        <v>47.525166666666671</v>
      </c>
      <c r="M197" s="71">
        <f>ABS(FGE!E16-L197)</f>
        <v>0</v>
      </c>
    </row>
    <row r="198" spans="12:13" x14ac:dyDescent="0.45">
      <c r="L198" s="72">
        <v>47.530165502251208</v>
      </c>
      <c r="M198" s="71">
        <f>ABS(FGE!F16-L198)</f>
        <v>0</v>
      </c>
    </row>
    <row r="199" spans="12:13" x14ac:dyDescent="0.45">
      <c r="L199" s="72">
        <v>47.582890720579108</v>
      </c>
      <c r="M199" s="71">
        <f>ABS(FGE!G16-L199)</f>
        <v>0</v>
      </c>
    </row>
    <row r="200" spans="12:13" x14ac:dyDescent="0.45">
      <c r="L200" s="72">
        <v>47.635615938907009</v>
      </c>
      <c r="M200" s="71">
        <f>ABS(FGE!H16-L200)</f>
        <v>0</v>
      </c>
    </row>
    <row r="201" spans="12:13" x14ac:dyDescent="0.45">
      <c r="L201" s="72">
        <v>47.688341157234909</v>
      </c>
      <c r="M201" s="71">
        <f>ABS(FGE!I16-L201)</f>
        <v>0</v>
      </c>
    </row>
    <row r="202" spans="12:13" x14ac:dyDescent="0.45">
      <c r="L202" s="72">
        <v>47.741066375562802</v>
      </c>
      <c r="M202" s="71">
        <f>ABS(FGE!J16-L202)</f>
        <v>0</v>
      </c>
    </row>
    <row r="203" spans="12:13" x14ac:dyDescent="0.45">
      <c r="L203" s="72">
        <v>47.793791593890703</v>
      </c>
      <c r="M203" s="71">
        <f>ABS(FGE!K16-L203)</f>
        <v>0</v>
      </c>
    </row>
    <row r="204" spans="12:13" x14ac:dyDescent="0.45">
      <c r="L204" s="72">
        <v>47.846516812218603</v>
      </c>
      <c r="M204" s="71">
        <f>ABS(FGE!L16-L204)</f>
        <v>0</v>
      </c>
    </row>
    <row r="205" spans="12:13" x14ac:dyDescent="0.45">
      <c r="L205" s="72">
        <v>47.899242030546503</v>
      </c>
      <c r="M205" s="71">
        <f>ABS(FGE!M16-L205)</f>
        <v>0</v>
      </c>
    </row>
    <row r="206" spans="12:13" x14ac:dyDescent="0.45">
      <c r="L206" s="72">
        <v>47.951967248874404</v>
      </c>
      <c r="M206" s="71">
        <f>ABS(FGE!N16-L206)</f>
        <v>0</v>
      </c>
    </row>
    <row r="207" spans="12:13" x14ac:dyDescent="0.45">
      <c r="L207" s="72">
        <v>48.004692467202297</v>
      </c>
      <c r="M207" s="71">
        <f>ABS(FGE!O16-L207)</f>
        <v>7.1054273576010019E-15</v>
      </c>
    </row>
    <row r="208" spans="12:13" x14ac:dyDescent="0.45">
      <c r="L208" s="72">
        <v>48.057417685530197</v>
      </c>
      <c r="M208" s="71">
        <f>ABS(FGE!P16-L208)</f>
        <v>7.1054273576010019E-15</v>
      </c>
    </row>
    <row r="209" spans="12:13" x14ac:dyDescent="0.45">
      <c r="L209" s="72">
        <v>48.061791666666672</v>
      </c>
      <c r="M209" s="71">
        <f>ABS(FGE!Q16-L209)</f>
        <v>0</v>
      </c>
    </row>
    <row r="210" spans="12:13" x14ac:dyDescent="0.45">
      <c r="L210" s="72">
        <v>48.061791666666672</v>
      </c>
      <c r="M210" s="71">
        <f>ABS(FGE!E25-L210)</f>
        <v>0</v>
      </c>
    </row>
    <row r="211" spans="12:13" x14ac:dyDescent="0.45">
      <c r="L211" s="72">
        <v>48.057415624006993</v>
      </c>
      <c r="M211" s="71">
        <f>ABS(FGE!F25-L211)</f>
        <v>0</v>
      </c>
    </row>
    <row r="212" spans="12:13" x14ac:dyDescent="0.45">
      <c r="L212" s="72">
        <v>48.005890847434067</v>
      </c>
      <c r="M212" s="71">
        <f>ABS(FGE!G25-L212)</f>
        <v>0</v>
      </c>
    </row>
    <row r="213" spans="12:13" x14ac:dyDescent="0.45">
      <c r="L213" s="72">
        <v>47.954366070861141</v>
      </c>
      <c r="M213" s="71">
        <f>ABS(FGE!H25-L213)</f>
        <v>0</v>
      </c>
    </row>
    <row r="214" spans="12:13" x14ac:dyDescent="0.45">
      <c r="L214" s="72">
        <v>47.902841294288223</v>
      </c>
      <c r="M214" s="71">
        <f>ABS(FGE!I25-L214)</f>
        <v>7.1054273576010019E-15</v>
      </c>
    </row>
    <row r="215" spans="12:13" x14ac:dyDescent="0.45">
      <c r="L215" s="72">
        <v>47.85131651771529</v>
      </c>
      <c r="M215" s="71">
        <f>ABS(FGE!J25-L215)</f>
        <v>0</v>
      </c>
    </row>
    <row r="216" spans="12:13" x14ac:dyDescent="0.45">
      <c r="L216" s="72">
        <v>47.799791741142357</v>
      </c>
      <c r="M216" s="71">
        <f>ABS(FGE!K25-L216)</f>
        <v>7.1054273576010019E-15</v>
      </c>
    </row>
    <row r="217" spans="12:13" x14ac:dyDescent="0.45">
      <c r="L217" s="72">
        <v>47.748266964569439</v>
      </c>
      <c r="M217" s="71">
        <f>ABS(FGE!L25-L217)</f>
        <v>0</v>
      </c>
    </row>
    <row r="218" spans="12:13" x14ac:dyDescent="0.45">
      <c r="L218" s="72">
        <v>47.696742187996513</v>
      </c>
      <c r="M218" s="71">
        <f>ABS(FGE!M25-L218)</f>
        <v>7.1054273576010019E-15</v>
      </c>
    </row>
    <row r="219" spans="12:13" x14ac:dyDescent="0.45">
      <c r="L219" s="72">
        <v>47.64521741142358</v>
      </c>
      <c r="M219" s="71">
        <f>ABS(FGE!N25-L219)</f>
        <v>0</v>
      </c>
    </row>
    <row r="220" spans="12:13" x14ac:dyDescent="0.45">
      <c r="L220" s="72">
        <v>47.593692634850647</v>
      </c>
      <c r="M220" s="71">
        <f>ABS(FGE!O25-L220)</f>
        <v>7.1054273576010019E-15</v>
      </c>
    </row>
    <row r="221" spans="12:13" x14ac:dyDescent="0.45">
      <c r="L221" s="72">
        <v>47.542167858277729</v>
      </c>
      <c r="M221" s="71">
        <f>ABS(FGE!P25-L221)</f>
        <v>0</v>
      </c>
    </row>
    <row r="222" spans="12:13" x14ac:dyDescent="0.45">
      <c r="L222" s="72">
        <v>47.537166666666671</v>
      </c>
      <c r="M222" s="71">
        <f>ABS(FGE!Q25-L222)</f>
        <v>0</v>
      </c>
    </row>
    <row r="223" spans="12:13" x14ac:dyDescent="0.45">
      <c r="L223" s="72">
        <v>48.111791666666669</v>
      </c>
      <c r="M223" s="71">
        <f>ABS(FGE!E26-L223)</f>
        <v>0</v>
      </c>
    </row>
    <row r="224" spans="12:13" x14ac:dyDescent="0.45">
      <c r="L224" s="72">
        <v>48.10741562400699</v>
      </c>
      <c r="M224" s="71">
        <f>ABS(FGE!F26-L224)</f>
        <v>0</v>
      </c>
    </row>
    <row r="225" spans="12:13" x14ac:dyDescent="0.45">
      <c r="L225" s="72">
        <v>48.055890847434057</v>
      </c>
      <c r="M225" s="71">
        <f>ABS(FGE!G26-L225)</f>
        <v>7.1054273576010019E-15</v>
      </c>
    </row>
    <row r="226" spans="12:13" x14ac:dyDescent="0.45">
      <c r="L226" s="72">
        <v>48.004366070861138</v>
      </c>
      <c r="M226" s="71">
        <f>ABS(FGE!H26-L226)</f>
        <v>0</v>
      </c>
    </row>
    <row r="227" spans="12:13" x14ac:dyDescent="0.45">
      <c r="L227" s="72">
        <v>47.952841294288213</v>
      </c>
      <c r="M227" s="71">
        <f>ABS(FGE!I26-L227)</f>
        <v>0</v>
      </c>
    </row>
    <row r="228" spans="12:13" x14ac:dyDescent="0.45">
      <c r="L228" s="72">
        <v>47.901316517715287</v>
      </c>
      <c r="M228" s="71">
        <f>ABS(FGE!J26-L228)</f>
        <v>0</v>
      </c>
    </row>
    <row r="229" spans="12:13" x14ac:dyDescent="0.45">
      <c r="L229" s="72">
        <v>47.849791741142361</v>
      </c>
      <c r="M229" s="71">
        <f>ABS(FGE!K26-L229)</f>
        <v>0</v>
      </c>
    </row>
    <row r="230" spans="12:13" x14ac:dyDescent="0.45">
      <c r="L230" s="72">
        <v>47.798266964569443</v>
      </c>
      <c r="M230" s="71">
        <f>ABS(FGE!L26-L230)</f>
        <v>7.1054273576010019E-15</v>
      </c>
    </row>
    <row r="231" spans="12:13" x14ac:dyDescent="0.45">
      <c r="L231" s="72">
        <v>47.746742187996503</v>
      </c>
      <c r="M231" s="71">
        <f>ABS(FGE!M26-L231)</f>
        <v>0</v>
      </c>
    </row>
    <row r="232" spans="12:13" x14ac:dyDescent="0.45">
      <c r="L232" s="72">
        <v>47.695217411423577</v>
      </c>
      <c r="M232" s="71">
        <f>ABS(FGE!N26-L232)</f>
        <v>0</v>
      </c>
    </row>
    <row r="233" spans="12:13" x14ac:dyDescent="0.45">
      <c r="L233" s="72">
        <v>47.643692634850652</v>
      </c>
      <c r="M233" s="71">
        <f>ABS(FGE!O26-L233)</f>
        <v>0</v>
      </c>
    </row>
    <row r="234" spans="12:13" x14ac:dyDescent="0.45">
      <c r="L234" s="72">
        <v>47.592167858277733</v>
      </c>
      <c r="M234" s="71">
        <f>ABS(FGE!P26-L234)</f>
        <v>7.1054273576010019E-15</v>
      </c>
    </row>
    <row r="235" spans="12:13" x14ac:dyDescent="0.45">
      <c r="L235" s="72">
        <v>47.587166666666668</v>
      </c>
      <c r="M235" s="71">
        <f>ABS(FGE!Q26-L235)</f>
        <v>0</v>
      </c>
    </row>
    <row r="236" spans="12:13" x14ac:dyDescent="0.45">
      <c r="L236" s="72">
        <v>48.197625000000002</v>
      </c>
      <c r="M236" s="71">
        <f>ABS(FGE!E27-L236)</f>
        <v>0</v>
      </c>
    </row>
    <row r="237" spans="12:13" x14ac:dyDescent="0.45">
      <c r="L237" s="72">
        <v>48.193248957340323</v>
      </c>
      <c r="M237" s="71">
        <f>ABS(FGE!F27-L237)</f>
        <v>0</v>
      </c>
    </row>
    <row r="238" spans="12:13" x14ac:dyDescent="0.45">
      <c r="L238" s="72">
        <v>48.141724180767397</v>
      </c>
      <c r="M238" s="71">
        <f>ABS(FGE!G27-L238)</f>
        <v>0</v>
      </c>
    </row>
    <row r="239" spans="12:13" x14ac:dyDescent="0.45">
      <c r="L239" s="72">
        <v>48.090199404194472</v>
      </c>
      <c r="M239" s="71">
        <f>ABS(FGE!H27-L239)</f>
        <v>0</v>
      </c>
    </row>
    <row r="240" spans="12:13" x14ac:dyDescent="0.45">
      <c r="L240" s="72">
        <v>48.038674627621553</v>
      </c>
      <c r="M240" s="71">
        <f>ABS(FGE!I27-L240)</f>
        <v>7.1054273576010019E-15</v>
      </c>
    </row>
    <row r="241" spans="12:13" x14ac:dyDescent="0.45">
      <c r="L241" s="72">
        <v>47.987149851048621</v>
      </c>
      <c r="M241" s="71">
        <f>ABS(FGE!J27-L241)</f>
        <v>0</v>
      </c>
    </row>
    <row r="242" spans="12:13" x14ac:dyDescent="0.45">
      <c r="L242" s="72">
        <v>47.935625074475688</v>
      </c>
      <c r="M242" s="71">
        <f>ABS(FGE!K27-L242)</f>
        <v>7.1054273576010019E-15</v>
      </c>
    </row>
    <row r="243" spans="12:13" x14ac:dyDescent="0.45">
      <c r="L243" s="72">
        <v>47.884100297902769</v>
      </c>
      <c r="M243" s="71">
        <f>ABS(FGE!L27-L243)</f>
        <v>0</v>
      </c>
    </row>
    <row r="244" spans="12:13" x14ac:dyDescent="0.45">
      <c r="L244" s="72">
        <v>47.832575521329836</v>
      </c>
      <c r="M244" s="71">
        <f>ABS(FGE!M27-L244)</f>
        <v>0</v>
      </c>
    </row>
    <row r="245" spans="12:13" x14ac:dyDescent="0.45">
      <c r="L245" s="72">
        <v>47.781050744756911</v>
      </c>
      <c r="M245" s="71">
        <f>ABS(FGE!N27-L245)</f>
        <v>0</v>
      </c>
    </row>
    <row r="246" spans="12:13" x14ac:dyDescent="0.45">
      <c r="L246" s="72">
        <v>47.729525968183992</v>
      </c>
      <c r="M246" s="71">
        <f>ABS(FGE!O27-L246)</f>
        <v>7.1054273576010019E-15</v>
      </c>
    </row>
    <row r="247" spans="12:13" x14ac:dyDescent="0.45">
      <c r="L247" s="72">
        <v>47.67800119161106</v>
      </c>
      <c r="M247" s="71">
        <f>ABS(FGE!P27-L247)</f>
        <v>0</v>
      </c>
    </row>
    <row r="248" spans="12:13" x14ac:dyDescent="0.45">
      <c r="L248" s="72">
        <v>47.673000000000002</v>
      </c>
      <c r="M248" s="71">
        <f>ABS(FGE!Q27-L248)</f>
        <v>0</v>
      </c>
    </row>
    <row r="249" spans="12:13" x14ac:dyDescent="0.45">
      <c r="L249" s="72">
        <v>48.111791666666669</v>
      </c>
      <c r="M249" s="71">
        <f>ABS(FGE!E28-L249)</f>
        <v>0</v>
      </c>
    </row>
    <row r="250" spans="12:13" x14ac:dyDescent="0.45">
      <c r="L250" s="72">
        <v>48.10741562400699</v>
      </c>
      <c r="M250" s="71">
        <f>ABS(FGE!F28-L250)</f>
        <v>0</v>
      </c>
    </row>
    <row r="251" spans="12:13" x14ac:dyDescent="0.45">
      <c r="L251" s="72">
        <v>48.055890847434057</v>
      </c>
      <c r="M251" s="71">
        <f>ABS(FGE!G28-L251)</f>
        <v>7.1054273576010019E-15</v>
      </c>
    </row>
    <row r="252" spans="12:13" x14ac:dyDescent="0.45">
      <c r="L252" s="72">
        <v>48.004366070861138</v>
      </c>
      <c r="M252" s="71">
        <f>ABS(FGE!H28-L252)</f>
        <v>0</v>
      </c>
    </row>
    <row r="253" spans="12:13" x14ac:dyDescent="0.45">
      <c r="L253" s="72">
        <v>47.952841294288213</v>
      </c>
      <c r="M253" s="71">
        <f>ABS(FGE!I28-L253)</f>
        <v>0</v>
      </c>
    </row>
    <row r="254" spans="12:13" x14ac:dyDescent="0.45">
      <c r="L254" s="72">
        <v>47.901316517715287</v>
      </c>
      <c r="M254" s="71">
        <f>ABS(FGE!J28-L254)</f>
        <v>0</v>
      </c>
    </row>
    <row r="255" spans="12:13" x14ac:dyDescent="0.45">
      <c r="L255" s="72">
        <v>47.849791741142361</v>
      </c>
      <c r="M255" s="71">
        <f>ABS(FGE!K28-L255)</f>
        <v>0</v>
      </c>
    </row>
    <row r="256" spans="12:13" x14ac:dyDescent="0.45">
      <c r="L256" s="72">
        <v>47.798266964569443</v>
      </c>
      <c r="M256" s="71">
        <f>ABS(FGE!L28-L256)</f>
        <v>7.1054273576010019E-15</v>
      </c>
    </row>
    <row r="257" spans="12:13" x14ac:dyDescent="0.45">
      <c r="L257" s="72">
        <v>47.746742187996503</v>
      </c>
      <c r="M257" s="71">
        <f>ABS(FGE!M28-L257)</f>
        <v>0</v>
      </c>
    </row>
    <row r="258" spans="12:13" x14ac:dyDescent="0.45">
      <c r="L258" s="72">
        <v>47.695217411423577</v>
      </c>
      <c r="M258" s="71">
        <f>ABS(FGE!N28-L258)</f>
        <v>0</v>
      </c>
    </row>
    <row r="259" spans="12:13" x14ac:dyDescent="0.45">
      <c r="L259" s="72">
        <v>47.643692634850652</v>
      </c>
      <c r="M259" s="71">
        <f>ABS(FGE!O28-L259)</f>
        <v>0</v>
      </c>
    </row>
    <row r="260" spans="12:13" x14ac:dyDescent="0.45">
      <c r="L260" s="72">
        <v>47.592167858277733</v>
      </c>
      <c r="M260" s="71">
        <f>ABS(FGE!P28-L260)</f>
        <v>7.1054273576010019E-15</v>
      </c>
    </row>
    <row r="261" spans="12:13" x14ac:dyDescent="0.45">
      <c r="L261" s="72">
        <v>47.587166666666668</v>
      </c>
      <c r="M261" s="71">
        <f>ABS(FGE!Q28-L261)</f>
        <v>0</v>
      </c>
    </row>
    <row r="262" spans="12:13" x14ac:dyDescent="0.45">
      <c r="L262" s="72">
        <v>48.061791666666672</v>
      </c>
      <c r="M262" s="71">
        <f>ABS(FGE!E29-L262)</f>
        <v>0</v>
      </c>
    </row>
    <row r="263" spans="12:13" x14ac:dyDescent="0.45">
      <c r="L263" s="72">
        <v>48.057415624006993</v>
      </c>
      <c r="M263" s="71">
        <f>ABS(FGE!F29-L263)</f>
        <v>0</v>
      </c>
    </row>
    <row r="264" spans="12:13" x14ac:dyDescent="0.45">
      <c r="L264" s="72">
        <v>48.005890847434067</v>
      </c>
      <c r="M264" s="71">
        <f>ABS(FGE!G29-L264)</f>
        <v>0</v>
      </c>
    </row>
    <row r="265" spans="12:13" x14ac:dyDescent="0.45">
      <c r="L265" s="72">
        <v>47.954366070861141</v>
      </c>
      <c r="M265" s="71">
        <f>ABS(FGE!H29-L265)</f>
        <v>0</v>
      </c>
    </row>
    <row r="266" spans="12:13" x14ac:dyDescent="0.45">
      <c r="L266" s="72">
        <v>47.902841294288223</v>
      </c>
      <c r="M266" s="71">
        <f>ABS(FGE!I29-L266)</f>
        <v>7.1054273576010019E-15</v>
      </c>
    </row>
    <row r="267" spans="12:13" x14ac:dyDescent="0.45">
      <c r="L267" s="72">
        <v>47.85131651771529</v>
      </c>
      <c r="M267" s="71">
        <f>ABS(FGE!J29-L267)</f>
        <v>0</v>
      </c>
    </row>
    <row r="268" spans="12:13" x14ac:dyDescent="0.45">
      <c r="L268" s="72">
        <v>47.799791741142357</v>
      </c>
      <c r="M268" s="71">
        <f>ABS(FGE!K29-L268)</f>
        <v>7.1054273576010019E-15</v>
      </c>
    </row>
    <row r="269" spans="12:13" x14ac:dyDescent="0.45">
      <c r="L269" s="72">
        <v>47.748266964569439</v>
      </c>
      <c r="M269" s="71">
        <f>ABS(FGE!L29-L269)</f>
        <v>0</v>
      </c>
    </row>
    <row r="270" spans="12:13" x14ac:dyDescent="0.45">
      <c r="L270" s="72">
        <v>47.696742187996513</v>
      </c>
      <c r="M270" s="71">
        <f>ABS(FGE!M29-L270)</f>
        <v>7.1054273576010019E-15</v>
      </c>
    </row>
    <row r="271" spans="12:13" x14ac:dyDescent="0.45">
      <c r="L271" s="72">
        <v>47.64521741142358</v>
      </c>
      <c r="M271" s="71">
        <f>ABS(FGE!N29-L271)</f>
        <v>0</v>
      </c>
    </row>
    <row r="272" spans="12:13" x14ac:dyDescent="0.45">
      <c r="L272" s="72">
        <v>47.593692634850647</v>
      </c>
      <c r="M272" s="71">
        <f>ABS(FGE!O29-L272)</f>
        <v>7.1054273576010019E-15</v>
      </c>
    </row>
    <row r="273" spans="12:13" x14ac:dyDescent="0.45">
      <c r="L273" s="72">
        <v>47.542167858277729</v>
      </c>
      <c r="M273" s="71">
        <f>ABS(FGE!P29-L273)</f>
        <v>0</v>
      </c>
    </row>
    <row r="274" spans="12:13" x14ac:dyDescent="0.45">
      <c r="L274" s="72">
        <v>47.537166666666671</v>
      </c>
      <c r="M274" s="71">
        <f>ABS(FGE!Q29-L274)</f>
        <v>0</v>
      </c>
    </row>
  </sheetData>
  <conditionalFormatting sqref="G8:G164">
    <cfRule type="cellIs" dxfId="2" priority="1" operator="equal">
      <formula>"PASS"</formula>
    </cfRule>
    <cfRule type="cellIs" dxfId="1" priority="2" operator="equal">
      <formula>"FAIL"</formula>
    </cfRule>
    <cfRule type="cellIs" dxfId="0" priority="3" operator="equal">
      <formula>"CHECK"</formula>
    </cfRule>
  </conditionalFormatting>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8A96A3"/>
  </sheetPr>
  <dimension ref="B1:M27"/>
  <sheetViews>
    <sheetView showGridLines="0" workbookViewId="0"/>
  </sheetViews>
  <sheetFormatPr defaultRowHeight="14.25" x14ac:dyDescent="0.45"/>
  <cols>
    <col min="1" max="1" width="2" customWidth="1"/>
    <col min="2" max="13" width="11.46484375" customWidth="1"/>
  </cols>
  <sheetData>
    <row r="1" spans="2:13" ht="20.65" x14ac:dyDescent="0.6">
      <c r="B1" s="35" t="s">
        <v>1575</v>
      </c>
    </row>
    <row r="2" spans="2:13" x14ac:dyDescent="0.45">
      <c r="B2" s="8" t="s">
        <v>1576</v>
      </c>
    </row>
    <row r="4" spans="2:13" ht="16.25" customHeight="1" x14ac:dyDescent="0.45">
      <c r="B4" s="76" t="s">
        <v>1577</v>
      </c>
      <c r="C4" s="75"/>
      <c r="D4" s="75"/>
      <c r="E4" s="75"/>
      <c r="F4" s="75"/>
      <c r="G4" s="75"/>
      <c r="H4" s="75"/>
      <c r="I4" s="75"/>
      <c r="J4" s="75"/>
      <c r="K4" s="75"/>
      <c r="L4" s="75"/>
      <c r="M4" s="75"/>
    </row>
    <row r="5" spans="2:13" ht="15" customHeight="1" x14ac:dyDescent="0.45"/>
    <row r="6" spans="2:13" ht="15" customHeight="1" x14ac:dyDescent="0.45"/>
    <row r="7" spans="2:13" ht="15" customHeight="1" x14ac:dyDescent="0.45"/>
    <row r="8" spans="2:13" ht="15" customHeight="1" x14ac:dyDescent="0.45"/>
    <row r="9" spans="2:13" ht="15" customHeight="1" x14ac:dyDescent="0.45"/>
    <row r="10" spans="2:13" ht="15" customHeight="1" x14ac:dyDescent="0.45"/>
    <row r="11" spans="2:13" ht="15" customHeight="1" x14ac:dyDescent="0.45"/>
    <row r="12" spans="2:13" ht="15" customHeight="1" x14ac:dyDescent="0.45"/>
    <row r="13" spans="2:13" ht="15" customHeight="1" x14ac:dyDescent="0.45"/>
    <row r="14" spans="2:13" ht="15" customHeight="1" x14ac:dyDescent="0.45"/>
    <row r="15" spans="2:13" ht="15" customHeight="1" x14ac:dyDescent="0.45"/>
    <row r="16" spans="2:13" ht="15" customHeight="1" x14ac:dyDescent="0.45"/>
    <row r="17" spans="2:13" ht="15" customHeight="1" x14ac:dyDescent="0.45"/>
    <row r="18" spans="2:13" ht="15" customHeight="1" x14ac:dyDescent="0.45"/>
    <row r="19" spans="2:13" ht="15" customHeight="1" x14ac:dyDescent="0.45"/>
    <row r="20" spans="2:13" ht="15" customHeight="1" x14ac:dyDescent="0.45"/>
    <row r="21" spans="2:13" ht="16.25" customHeight="1" x14ac:dyDescent="0.45">
      <c r="B21" s="74" t="s">
        <v>1578</v>
      </c>
      <c r="C21" s="75"/>
      <c r="D21" s="75"/>
      <c r="E21" s="75"/>
      <c r="F21" s="75"/>
      <c r="G21" s="75"/>
      <c r="H21" s="75"/>
      <c r="I21" s="75"/>
      <c r="J21" s="75"/>
      <c r="K21" s="75"/>
      <c r="L21" s="75"/>
      <c r="M21" s="75"/>
    </row>
    <row r="22" spans="2:13" ht="29.45" customHeight="1" x14ac:dyDescent="0.45">
      <c r="B22" s="76" t="s">
        <v>1579</v>
      </c>
      <c r="C22" s="75"/>
      <c r="D22" s="75"/>
      <c r="E22" s="75"/>
      <c r="F22" s="75"/>
      <c r="G22" s="75"/>
      <c r="H22" s="75"/>
      <c r="I22" s="75"/>
      <c r="J22" s="75"/>
      <c r="K22" s="75"/>
      <c r="L22" s="75"/>
      <c r="M22" s="75"/>
    </row>
    <row r="23" spans="2:13" ht="29.45" customHeight="1" x14ac:dyDescent="0.45">
      <c r="B23" s="76" t="s">
        <v>1580</v>
      </c>
      <c r="C23" s="75"/>
      <c r="D23" s="75"/>
      <c r="E23" s="75"/>
      <c r="F23" s="75"/>
      <c r="G23" s="75"/>
      <c r="H23" s="75"/>
      <c r="I23" s="75"/>
      <c r="J23" s="75"/>
      <c r="K23" s="75"/>
      <c r="L23" s="75"/>
      <c r="M23" s="75"/>
    </row>
    <row r="24" spans="2:13" ht="16.25" customHeight="1" x14ac:dyDescent="0.45">
      <c r="B24" s="76" t="s">
        <v>1581</v>
      </c>
      <c r="C24" s="75"/>
      <c r="D24" s="75"/>
      <c r="E24" s="75"/>
      <c r="F24" s="75"/>
      <c r="G24" s="75"/>
      <c r="H24" s="75"/>
      <c r="I24" s="75"/>
      <c r="J24" s="75"/>
      <c r="K24" s="75"/>
      <c r="L24" s="75"/>
      <c r="M24" s="75"/>
    </row>
    <row r="25" spans="2:13" ht="29.45" customHeight="1" x14ac:dyDescent="0.45">
      <c r="B25" s="76" t="s">
        <v>1582</v>
      </c>
      <c r="C25" s="75"/>
      <c r="D25" s="75"/>
      <c r="E25" s="75"/>
      <c r="F25" s="75"/>
      <c r="G25" s="75"/>
      <c r="H25" s="75"/>
      <c r="I25" s="75"/>
      <c r="J25" s="75"/>
      <c r="K25" s="75"/>
      <c r="L25" s="75"/>
      <c r="M25" s="75"/>
    </row>
    <row r="26" spans="2:13" ht="29.45" customHeight="1" x14ac:dyDescent="0.45">
      <c r="B26" s="76" t="s">
        <v>1583</v>
      </c>
      <c r="C26" s="75"/>
      <c r="D26" s="75"/>
      <c r="E26" s="75"/>
      <c r="F26" s="75"/>
      <c r="G26" s="75"/>
      <c r="H26" s="75"/>
      <c r="I26" s="75"/>
      <c r="J26" s="75"/>
      <c r="K26" s="75"/>
      <c r="L26" s="75"/>
      <c r="M26" s="75"/>
    </row>
    <row r="27" spans="2:13" ht="16.25" customHeight="1" x14ac:dyDescent="0.45">
      <c r="B27" s="76" t="s">
        <v>1584</v>
      </c>
      <c r="C27" s="75"/>
      <c r="D27" s="75"/>
      <c r="E27" s="75"/>
      <c r="F27" s="75"/>
      <c r="G27" s="75"/>
      <c r="H27" s="75"/>
      <c r="I27" s="75"/>
      <c r="J27" s="75"/>
      <c r="K27" s="75"/>
      <c r="L27" s="75"/>
      <c r="M27" s="75"/>
    </row>
  </sheetData>
  <mergeCells count="8">
    <mergeCell ref="B26:M26"/>
    <mergeCell ref="B27:M27"/>
    <mergeCell ref="B4:M4"/>
    <mergeCell ref="B24:M24"/>
    <mergeCell ref="B25:M25"/>
    <mergeCell ref="B21:M21"/>
    <mergeCell ref="B23:M23"/>
    <mergeCell ref="B22:M2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302</vt:i4>
      </vt:variant>
    </vt:vector>
  </HeadingPairs>
  <TitlesOfParts>
    <vt:vector size="333" baseType="lpstr">
      <vt:lpstr>Cover</vt:lpstr>
      <vt:lpstr>Inputs</vt:lpstr>
      <vt:lpstr>Inputs Method</vt:lpstr>
      <vt:lpstr>Profile &amp; Deck</vt:lpstr>
      <vt:lpstr>Profile &amp; Deck Method</vt:lpstr>
      <vt:lpstr>Beam Geometry</vt:lpstr>
      <vt:lpstr>Beam Geometry Method</vt:lpstr>
      <vt:lpstr>Camber &amp; Haunch</vt:lpstr>
      <vt:lpstr>Camber &amp; Haunch Method</vt:lpstr>
      <vt:lpstr>FGE</vt:lpstr>
      <vt:lpstr>FGE Method</vt:lpstr>
      <vt:lpstr>Bearing Seats</vt:lpstr>
      <vt:lpstr>Bearing Seats Method</vt:lpstr>
      <vt:lpstr>Substructure</vt:lpstr>
      <vt:lpstr>Substructure Method</vt:lpstr>
      <vt:lpstr>Beam Data</vt:lpstr>
      <vt:lpstr>Beam Data Method</vt:lpstr>
      <vt:lpstr>Clearance</vt:lpstr>
      <vt:lpstr>Clearance Method</vt:lpstr>
      <vt:lpstr>CAD FGE</vt:lpstr>
      <vt:lpstr>CAD FGE Method</vt:lpstr>
      <vt:lpstr>CAD Build-Up</vt:lpstr>
      <vt:lpstr>CAD Build-Up Method</vt:lpstr>
      <vt:lpstr>CAD Beam Variables</vt:lpstr>
      <vt:lpstr>CAD Beam Variables Method</vt:lpstr>
      <vt:lpstr>CAD Bearing Plates</vt:lpstr>
      <vt:lpstr>CAD Bearing Plates Method</vt:lpstr>
      <vt:lpstr>CAD Pedestal Elevs</vt:lpstr>
      <vt:lpstr>CAD Pedestal Elevs Method</vt:lpstr>
      <vt:lpstr>QC</vt:lpstr>
      <vt:lpstr>QC Method</vt:lpstr>
      <vt:lpstr>Bar_C</vt:lpstr>
      <vt:lpstr>Bar_D3s</vt:lpstr>
      <vt:lpstr>Bar_DA</vt:lpstr>
      <vt:lpstr>Bar_DB</vt:lpstr>
      <vt:lpstr>Bar_MD</vt:lpstr>
      <vt:lpstr>Bar_Mk</vt:lpstr>
      <vt:lpstr>Bm_Area</vt:lpstr>
      <vt:lpstr>Bm_Bf</vt:lpstr>
      <vt:lpstr>Bm_D</vt:lpstr>
      <vt:lpstr>Bm_First</vt:lpstr>
      <vt:lpstr>Bm_Gap1</vt:lpstr>
      <vt:lpstr>Bm_Hmin</vt:lpstr>
      <vt:lpstr>Bm_N</vt:lpstr>
      <vt:lpstr>Bm_S</vt:lpstr>
      <vt:lpstr>Bm_Type</vt:lpstr>
      <vt:lpstr>Bm1_dCL</vt:lpstr>
      <vt:lpstr>Bm1_dMin</vt:lpstr>
      <vt:lpstr>Bm1_FL</vt:lpstr>
      <vt:lpstr>Bm1_FR</vt:lpstr>
      <vt:lpstr>Bm1_Off</vt:lpstr>
      <vt:lpstr>Bm1_Raise</vt:lpstr>
      <vt:lpstr>Bm2_dCL</vt:lpstr>
      <vt:lpstr>Bm2_dMin</vt:lpstr>
      <vt:lpstr>Bm2_FL</vt:lpstr>
      <vt:lpstr>Bm2_FR</vt:lpstr>
      <vt:lpstr>Bm2_Off</vt:lpstr>
      <vt:lpstr>Bm2_Raise</vt:lpstr>
      <vt:lpstr>Build_Fingerprint</vt:lpstr>
      <vt:lpstr>Clr_Cover</vt:lpstr>
      <vt:lpstr>Clr_Margin</vt:lpstr>
      <vt:lpstr>Clr_Min</vt:lpstr>
      <vt:lpstr>Clr_Sta</vt:lpstr>
      <vt:lpstr>Clr_Status</vt:lpstr>
      <vt:lpstr>Deck_C</vt:lpstr>
      <vt:lpstr>Deck_Crown</vt:lpstr>
      <vt:lpstr>Deck_dL</vt:lpstr>
      <vt:lpstr>Deck_dR</vt:lpstr>
      <vt:lpstr>Deck_Mode</vt:lpstr>
      <vt:lpstr>Deck_T</vt:lpstr>
      <vt:lpstr>Deck_Uni</vt:lpstr>
      <vt:lpstr>Deck_W</vt:lpstr>
      <vt:lpstr>Deck_YL</vt:lpstr>
      <vt:lpstr>Deck_YR</vt:lpstr>
      <vt:lpstr>Des_BevelLimit</vt:lpstr>
      <vt:lpstr>Des_ConcClass</vt:lpstr>
      <vt:lpstr>Des_DimP</vt:lpstr>
      <vt:lpstr>Des_FGEInc</vt:lpstr>
      <vt:lpstr>Des_PadType</vt:lpstr>
      <vt:lpstr>Des_Pattern</vt:lpstr>
      <vt:lpstr>Des_PlanCase</vt:lpstr>
      <vt:lpstr>EB1_BmBrg</vt:lpstr>
      <vt:lpstr>EB1_BmClr</vt:lpstr>
      <vt:lpstr>EB1_BW</vt:lpstr>
      <vt:lpstr>EB1_CapSta</vt:lpstr>
      <vt:lpstr>EB1_Chamf</vt:lpstr>
      <vt:lpstr>EB1_Ctr</vt:lpstr>
      <vt:lpstr>EB1_Depth</vt:lpstr>
      <vt:lpstr>EB1_Emb</vt:lpstr>
      <vt:lpstr>EB1_Inset</vt:lpstr>
      <vt:lpstr>EB1_Len</vt:lpstr>
      <vt:lpstr>EB1_LenFix</vt:lpstr>
      <vt:lpstr>EB1_NPile</vt:lpstr>
      <vt:lpstr>EB1_Pad</vt:lpstr>
      <vt:lpstr>EB1_PadL</vt:lpstr>
      <vt:lpstr>EB1_PadW</vt:lpstr>
      <vt:lpstr>EB1_PedL</vt:lpstr>
      <vt:lpstr>EB1_PedW</vt:lpstr>
      <vt:lpstr>EB1_PileClr</vt:lpstr>
      <vt:lpstr>EB1_PileSp</vt:lpstr>
      <vt:lpstr>EB1_PileSpFt</vt:lpstr>
      <vt:lpstr>EB1_PileW</vt:lpstr>
      <vt:lpstr>EB1_Reveal</vt:lpstr>
      <vt:lpstr>EB1_Slope</vt:lpstr>
      <vt:lpstr>EB1_Top</vt:lpstr>
      <vt:lpstr>EB1_TopFix</vt:lpstr>
      <vt:lpstr>EB1_Under</vt:lpstr>
      <vt:lpstr>EB1_Width</vt:lpstr>
      <vt:lpstr>EB2_BmBrg</vt:lpstr>
      <vt:lpstr>EB2_BmClr</vt:lpstr>
      <vt:lpstr>EB2_BW</vt:lpstr>
      <vt:lpstr>EB2_CapSta</vt:lpstr>
      <vt:lpstr>EB2_Chamf</vt:lpstr>
      <vt:lpstr>EB2_Ctr</vt:lpstr>
      <vt:lpstr>EB2_Depth</vt:lpstr>
      <vt:lpstr>EB2_Emb</vt:lpstr>
      <vt:lpstr>EB2_Inset</vt:lpstr>
      <vt:lpstr>EB2_Len</vt:lpstr>
      <vt:lpstr>EB2_LenFix</vt:lpstr>
      <vt:lpstr>EB2_NPile</vt:lpstr>
      <vt:lpstr>EB2_Pad</vt:lpstr>
      <vt:lpstr>EB2_PadL</vt:lpstr>
      <vt:lpstr>EB2_PadW</vt:lpstr>
      <vt:lpstr>EB2_PedL</vt:lpstr>
      <vt:lpstr>EB2_PedW</vt:lpstr>
      <vt:lpstr>EB2_PileClr</vt:lpstr>
      <vt:lpstr>EB2_PileSp</vt:lpstr>
      <vt:lpstr>EB2_PileSpFt</vt:lpstr>
      <vt:lpstr>EB2_PileW</vt:lpstr>
      <vt:lpstr>EB2_Reveal</vt:lpstr>
      <vt:lpstr>EB2_Slope</vt:lpstr>
      <vt:lpstr>EB2_Top</vt:lpstr>
      <vt:lpstr>EB2_TopFix</vt:lpstr>
      <vt:lpstr>EB2_Under</vt:lpstr>
      <vt:lpstr>EB2_Width</vt:lpstr>
      <vt:lpstr>Haunch_Min</vt:lpstr>
      <vt:lpstr>MC1_A1_A</vt:lpstr>
      <vt:lpstr>MC1_A1_n</vt:lpstr>
      <vt:lpstr>MC1_A1_s</vt:lpstr>
      <vt:lpstr>MC1_A2_A</vt:lpstr>
      <vt:lpstr>MC1_A2_n</vt:lpstr>
      <vt:lpstr>MC1_A2_s</vt:lpstr>
      <vt:lpstr>MC1_A3_A</vt:lpstr>
      <vt:lpstr>MC1_A3_n</vt:lpstr>
      <vt:lpstr>MC1_A3_s</vt:lpstr>
      <vt:lpstr>MC1_Astr</vt:lpstr>
      <vt:lpstr>MC1_BrgDist</vt:lpstr>
      <vt:lpstr>MC1_D120</vt:lpstr>
      <vt:lpstr>MC1_Dc</vt:lpstr>
      <vt:lpstr>MC1_Dnc</vt:lpstr>
      <vt:lpstr>MC1_Drel</vt:lpstr>
      <vt:lpstr>MC1_DTop</vt:lpstr>
      <vt:lpstr>MC1_Ec</vt:lpstr>
      <vt:lpstr>MC1_Eci</vt:lpstr>
      <vt:lpstr>MC1_EndSp</vt:lpstr>
      <vt:lpstr>MC1_Env</vt:lpstr>
      <vt:lpstr>MC1_Esh</vt:lpstr>
      <vt:lpstr>MC1_fc</vt:lpstr>
      <vt:lpstr>MC1_fci</vt:lpstr>
      <vt:lpstr>MC1_File</vt:lpstr>
      <vt:lpstr>MC1_H</vt:lpstr>
      <vt:lpstr>MC1_Hbu</vt:lpstr>
      <vt:lpstr>MC1_Lbeam</vt:lpstr>
      <vt:lpstr>MC1_NDeb</vt:lpstr>
      <vt:lpstr>MC1_Net</vt:lpstr>
      <vt:lpstr>MC1_NStr</vt:lpstr>
      <vt:lpstr>MC1_NTop</vt:lpstr>
      <vt:lpstr>MC1_PadW</vt:lpstr>
      <vt:lpstr>MC1_Pj</vt:lpstr>
      <vt:lpstr>MC1_Psi</vt:lpstr>
      <vt:lpstr>MC1_PTop</vt:lpstr>
      <vt:lpstr>MC1_S1_A</vt:lpstr>
      <vt:lpstr>MC1_S1_n</vt:lpstr>
      <vt:lpstr>MC1_S1_s</vt:lpstr>
      <vt:lpstr>MC1_S2_A</vt:lpstr>
      <vt:lpstr>MC1_S2_n</vt:lpstr>
      <vt:lpstr>MC1_S2_s</vt:lpstr>
      <vt:lpstr>MC1_S3_A</vt:lpstr>
      <vt:lpstr>MC1_S3_n</vt:lpstr>
      <vt:lpstr>MC1_S3_s</vt:lpstr>
      <vt:lpstr>MC1_S4_A</vt:lpstr>
      <vt:lpstr>MC1_S4_n</vt:lpstr>
      <vt:lpstr>MC1_S4_s</vt:lpstr>
      <vt:lpstr>MC1_Skew</vt:lpstr>
      <vt:lpstr>MC1_Spacing</vt:lpstr>
      <vt:lpstr>MC1_StrType</vt:lpstr>
      <vt:lpstr>MC1_Tdeck</vt:lpstr>
      <vt:lpstr>MC1_Type</vt:lpstr>
      <vt:lpstr>MC2_A1_A</vt:lpstr>
      <vt:lpstr>MC2_A1_n</vt:lpstr>
      <vt:lpstr>MC2_A1_s</vt:lpstr>
      <vt:lpstr>MC2_A2_A</vt:lpstr>
      <vt:lpstr>MC2_A2_n</vt:lpstr>
      <vt:lpstr>MC2_A2_s</vt:lpstr>
      <vt:lpstr>MC2_A3_A</vt:lpstr>
      <vt:lpstr>MC2_A3_n</vt:lpstr>
      <vt:lpstr>MC2_A3_s</vt:lpstr>
      <vt:lpstr>MC2_Astr</vt:lpstr>
      <vt:lpstr>MC2_BrgDist</vt:lpstr>
      <vt:lpstr>MC2_D120</vt:lpstr>
      <vt:lpstr>MC2_Dc</vt:lpstr>
      <vt:lpstr>MC2_Dnc</vt:lpstr>
      <vt:lpstr>MC2_Drel</vt:lpstr>
      <vt:lpstr>MC2_DTop</vt:lpstr>
      <vt:lpstr>MC2_Ec</vt:lpstr>
      <vt:lpstr>MC2_Eci</vt:lpstr>
      <vt:lpstr>MC2_EndSp</vt:lpstr>
      <vt:lpstr>MC2_Env</vt:lpstr>
      <vt:lpstr>MC2_Esh</vt:lpstr>
      <vt:lpstr>MC2_fc</vt:lpstr>
      <vt:lpstr>MC2_fci</vt:lpstr>
      <vt:lpstr>MC2_File</vt:lpstr>
      <vt:lpstr>MC2_H</vt:lpstr>
      <vt:lpstr>MC2_Hbu</vt:lpstr>
      <vt:lpstr>MC2_Lbeam</vt:lpstr>
      <vt:lpstr>MC2_NDeb</vt:lpstr>
      <vt:lpstr>MC2_Net</vt:lpstr>
      <vt:lpstr>MC2_NStr</vt:lpstr>
      <vt:lpstr>MC2_NTop</vt:lpstr>
      <vt:lpstr>MC2_PadW</vt:lpstr>
      <vt:lpstr>MC2_Pj</vt:lpstr>
      <vt:lpstr>MC2_Psi</vt:lpstr>
      <vt:lpstr>MC2_PTop</vt:lpstr>
      <vt:lpstr>MC2_S1_A</vt:lpstr>
      <vt:lpstr>MC2_S1_n</vt:lpstr>
      <vt:lpstr>MC2_S1_s</vt:lpstr>
      <vt:lpstr>MC2_S2_A</vt:lpstr>
      <vt:lpstr>MC2_S2_n</vt:lpstr>
      <vt:lpstr>MC2_S2_s</vt:lpstr>
      <vt:lpstr>MC2_S3_A</vt:lpstr>
      <vt:lpstr>MC2_S3_n</vt:lpstr>
      <vt:lpstr>MC2_S3_s</vt:lpstr>
      <vt:lpstr>MC2_S4_A</vt:lpstr>
      <vt:lpstr>MC2_S4_n</vt:lpstr>
      <vt:lpstr>MC2_S4_s</vt:lpstr>
      <vt:lpstr>MC2_Skew</vt:lpstr>
      <vt:lpstr>MC2_Spacing</vt:lpstr>
      <vt:lpstr>MC2_StrType</vt:lpstr>
      <vt:lpstr>MC2_Tdeck</vt:lpstr>
      <vt:lpstr>MC2_Type</vt:lpstr>
      <vt:lpstr>Pad_Table</vt:lpstr>
      <vt:lpstr>Phys_DeckClr</vt:lpstr>
      <vt:lpstr>Phys_EndClr</vt:lpstr>
      <vt:lpstr>Phys_PierGap</vt:lpstr>
      <vt:lpstr>Phys_Setback</vt:lpstr>
      <vt:lpstr>Phys_TrialPile</vt:lpstr>
      <vt:lpstr>Pier_CapSta</vt:lpstr>
      <vt:lpstr>Pier_Chamf</vt:lpstr>
      <vt:lpstr>Pier_Ctr</vt:lpstr>
      <vt:lpstr>Pier_Depth</vt:lpstr>
      <vt:lpstr>Pier_Emb</vt:lpstr>
      <vt:lpstr>Pier_Len</vt:lpstr>
      <vt:lpstr>Pier_LenFix</vt:lpstr>
      <vt:lpstr>Pier_NPile</vt:lpstr>
      <vt:lpstr>Pier_Pad</vt:lpstr>
      <vt:lpstr>Pier_PadL</vt:lpstr>
      <vt:lpstr>Pier_PadW</vt:lpstr>
      <vt:lpstr>Pier_PedL</vt:lpstr>
      <vt:lpstr>Pier_PedW</vt:lpstr>
      <vt:lpstr>Pier_PileClr</vt:lpstr>
      <vt:lpstr>Pier_PileD</vt:lpstr>
      <vt:lpstr>Pier_PileSpD</vt:lpstr>
      <vt:lpstr>Pier_PileSpFt</vt:lpstr>
      <vt:lpstr>Pier_PileWall</vt:lpstr>
      <vt:lpstr>Pier_Reveal</vt:lpstr>
      <vt:lpstr>Pier_Slope</vt:lpstr>
      <vt:lpstr>Pier_Sta</vt:lpstr>
      <vt:lpstr>Pier_Top</vt:lpstr>
      <vt:lpstr>Pier_TopFix</vt:lpstr>
      <vt:lpstr>Pier_Under</vt:lpstr>
      <vt:lpstr>Pier_Width</vt:lpstr>
      <vt:lpstr>Prof_dG</vt:lpstr>
      <vt:lpstr>Prof_G1</vt:lpstr>
      <vt:lpstr>Prof_G2</vt:lpstr>
      <vt:lpstr>Prof_Gnom</vt:lpstr>
      <vt:lpstr>Prof_Kq</vt:lpstr>
      <vt:lpstr>Prof_L</vt:lpstr>
      <vt:lpstr>Prof_Mode</vt:lpstr>
      <vt:lpstr>Prof_PISta</vt:lpstr>
      <vt:lpstr>Prof_PIZ</vt:lpstr>
      <vt:lpstr>Prof_Sta0</vt:lpstr>
      <vt:lpstr>Prof_Sta1</vt:lpstr>
      <vt:lpstr>Prof_Z0</vt:lpstr>
      <vt:lpstr>Prof_Z1</vt:lpstr>
      <vt:lpstr>QC_Counts</vt:lpstr>
      <vt:lpstr>QC_Overall</vt:lpstr>
      <vt:lpstr>Rd_File</vt:lpstr>
      <vt:lpstr>Rd_Req</vt:lpstr>
      <vt:lpstr>Rd_Shift</vt:lpstr>
      <vt:lpstr>Sp1_Bm0</vt:lpstr>
      <vt:lpstr>Sp1_Bm1</vt:lpstr>
      <vt:lpstr>Sp1_BrgA</vt:lpstr>
      <vt:lpstr>Sp1_BrgB</vt:lpstr>
      <vt:lpstr>Sp1_C</vt:lpstr>
      <vt:lpstr>Sp1_Chk</vt:lpstr>
      <vt:lpstr>Sp1_Dk0</vt:lpstr>
      <vt:lpstr>Sp1_Dk1</vt:lpstr>
      <vt:lpstr>Sp1_Gc</vt:lpstr>
      <vt:lpstr>Sp1_Lb</vt:lpstr>
      <vt:lpstr>Sp1_LBeam</vt:lpstr>
      <vt:lpstr>Sp1_m</vt:lpstr>
      <vt:lpstr>Sp1_Mid</vt:lpstr>
      <vt:lpstr>Sp1_Sta0</vt:lpstr>
      <vt:lpstr>Sp1_Sta1</vt:lpstr>
      <vt:lpstr>Sp1_W</vt:lpstr>
      <vt:lpstr>Sp1_ZA</vt:lpstr>
      <vt:lpstr>Sp1_ZB</vt:lpstr>
      <vt:lpstr>Sp2_Bm0</vt:lpstr>
      <vt:lpstr>Sp2_Bm1</vt:lpstr>
      <vt:lpstr>Sp2_BrgA</vt:lpstr>
      <vt:lpstr>Sp2_BrgB</vt:lpstr>
      <vt:lpstr>Sp2_C</vt:lpstr>
      <vt:lpstr>Sp2_Chk</vt:lpstr>
      <vt:lpstr>Sp2_Dk0</vt:lpstr>
      <vt:lpstr>Sp2_Dk1</vt:lpstr>
      <vt:lpstr>Sp2_Gc</vt:lpstr>
      <vt:lpstr>Sp2_Lb</vt:lpstr>
      <vt:lpstr>Sp2_LBeam</vt:lpstr>
      <vt:lpstr>Sp2_m</vt:lpstr>
      <vt:lpstr>Sp2_Mid</vt:lpstr>
      <vt:lpstr>Sp2_Sta0</vt:lpstr>
      <vt:lpstr>Sp2_Sta1</vt:lpstr>
      <vt:lpstr>Sp2_W</vt:lpstr>
      <vt:lpstr>Sp2_ZA</vt:lpstr>
      <vt:lpstr>Sp2_ZB</vt:lpstr>
      <vt:lpstr>Sup_Drop</vt:lpstr>
      <vt:lpstr>TB_CalcBy</vt:lpstr>
      <vt:lpstr>TB_CalcDate</vt:lpstr>
      <vt:lpstr>TB_CheckBy</vt:lpstr>
      <vt:lpstr>TB_CheckDate</vt:lpstr>
      <vt:lpstr>TB_JobNo</vt:lpstr>
      <vt:lpstr>TB_Project</vt:lpstr>
      <vt:lpstr>TB_Structure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Turley</cp:lastModifiedBy>
  <dcterms:created xsi:type="dcterms:W3CDTF">2026-10-16T13:32:29Z</dcterms:created>
  <dcterms:modified xsi:type="dcterms:W3CDTF">2026-10-16T13:32:40Z</dcterms:modified>
</cp:coreProperties>
</file>