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88" yWindow="324" windowWidth="22692" windowHeight="9276"/>
  </bookViews>
  <sheets>
    <sheet name="Pitches" sheetId="1" r:id="rId1"/>
    <sheet name="Durations" sheetId="4" r:id="rId2"/>
    <sheet name="Scalers and Multipliers" sheetId="6" r:id="rId3"/>
  </sheets>
  <definedNames>
    <definedName name="_xlnm.Print_Area" localSheetId="1">Durations!$A$1:$E$27</definedName>
    <definedName name="_xlnm.Print_Area" localSheetId="0">Pitches!$A$1:$O$32</definedName>
    <definedName name="_xlnm.Print_Area" localSheetId="2">'Scalers and Multipliers'!$A$1:$E$7</definedName>
  </definedNames>
  <calcPr calcId="145621"/>
</workbook>
</file>

<file path=xl/calcChain.xml><?xml version="1.0" encoding="utf-8"?>
<calcChain xmlns="http://schemas.openxmlformats.org/spreadsheetml/2006/main">
  <c r="C4" i="6" l="1"/>
  <c r="C5" i="6" s="1"/>
  <c r="C6" i="6" s="1"/>
  <c r="C7" i="6" s="1"/>
  <c r="E2" i="4"/>
  <c r="D4" i="4"/>
  <c r="D5" i="4"/>
  <c r="D6" i="4"/>
  <c r="D7" i="4"/>
  <c r="D8" i="4"/>
  <c r="D9" i="4"/>
  <c r="D10" i="4"/>
  <c r="D11" i="4"/>
  <c r="D12" i="4"/>
  <c r="D13" i="4"/>
  <c r="D14" i="4"/>
  <c r="D3" i="4"/>
  <c r="E3" i="4" s="1"/>
  <c r="E4" i="4"/>
  <c r="E5" i="4"/>
  <c r="E6" i="4"/>
  <c r="E7" i="4"/>
  <c r="E8" i="4"/>
  <c r="E9" i="4"/>
  <c r="E10" i="4"/>
  <c r="E11" i="4"/>
  <c r="E12" i="4"/>
  <c r="E13" i="4"/>
  <c r="E14" i="4"/>
  <c r="C4" i="4"/>
  <c r="C5" i="4"/>
  <c r="C6" i="4"/>
  <c r="C7" i="4"/>
  <c r="C8" i="4"/>
  <c r="C9" i="4"/>
  <c r="C10" i="4"/>
  <c r="C11" i="4"/>
  <c r="C12" i="4"/>
  <c r="C13" i="4"/>
  <c r="C14" i="4"/>
  <c r="C3" i="4"/>
  <c r="B14" i="4"/>
  <c r="B13" i="4"/>
  <c r="B12" i="4"/>
  <c r="B11" i="4"/>
  <c r="B10" i="4"/>
  <c r="B9" i="4"/>
  <c r="B8" i="4"/>
  <c r="B7" i="4"/>
  <c r="B6" i="4"/>
  <c r="B5" i="4"/>
  <c r="B4" i="4"/>
  <c r="B3" i="4"/>
  <c r="B19" i="4"/>
  <c r="C9" i="1"/>
  <c r="C11" i="1"/>
  <c r="C13" i="1"/>
  <c r="C15" i="1"/>
  <c r="C17" i="1"/>
  <c r="C19" i="1"/>
  <c r="C21" i="1"/>
  <c r="C23" i="1"/>
  <c r="C7" i="1"/>
  <c r="C3" i="6" l="1"/>
  <c r="C2" i="6" s="1"/>
  <c r="D2" i="1"/>
  <c r="D3" i="1" s="1"/>
  <c r="D4" i="1" s="1"/>
  <c r="D22" i="1" s="1"/>
  <c r="D23" i="1" s="1"/>
  <c r="E2" i="1"/>
  <c r="E3" i="1" s="1"/>
  <c r="E4" i="1" s="1"/>
  <c r="F2" i="1"/>
  <c r="F3" i="1" s="1"/>
  <c r="F4" i="1" s="1"/>
  <c r="G2" i="1"/>
  <c r="G3" i="1" s="1"/>
  <c r="G4" i="1" s="1"/>
  <c r="H2" i="1"/>
  <c r="H3" i="1" s="1"/>
  <c r="H4" i="1" s="1"/>
  <c r="I2" i="1"/>
  <c r="I3" i="1" s="1"/>
  <c r="I4" i="1" s="1"/>
  <c r="J2" i="1"/>
  <c r="J3" i="1" s="1"/>
  <c r="J4" i="1" s="1"/>
  <c r="K2" i="1"/>
  <c r="K3" i="1" s="1"/>
  <c r="K4" i="1" s="1"/>
  <c r="L2" i="1"/>
  <c r="L3" i="1" s="1"/>
  <c r="L4" i="1" s="1"/>
  <c r="L18" i="1" s="1"/>
  <c r="L19" i="1" s="1"/>
  <c r="O2" i="1"/>
  <c r="O3" i="1" s="1"/>
  <c r="O4" i="1" s="1"/>
  <c r="O12" i="1" s="1"/>
  <c r="N2" i="1"/>
  <c r="N3" i="1" s="1"/>
  <c r="N4" i="1" s="1"/>
  <c r="M3" i="1"/>
  <c r="M4" i="1" s="1"/>
  <c r="M12" i="1" s="1"/>
  <c r="M13" i="1" s="1"/>
  <c r="B27" i="1"/>
  <c r="M15" i="1" l="1"/>
  <c r="H22" i="1"/>
  <c r="H23" i="1" s="1"/>
  <c r="M6" i="1"/>
  <c r="M16" i="1"/>
  <c r="M17" i="1" s="1"/>
  <c r="M7" i="1"/>
  <c r="K14" i="1"/>
  <c r="K15" i="1" s="1"/>
  <c r="G14" i="1"/>
  <c r="G15" i="1" s="1"/>
  <c r="M8" i="1"/>
  <c r="M9" i="1" s="1"/>
  <c r="M18" i="1"/>
  <c r="M19" i="1" s="1"/>
  <c r="N20" i="1"/>
  <c r="N21" i="1" s="1"/>
  <c r="J16" i="1"/>
  <c r="J17" i="1" s="1"/>
  <c r="F16" i="1"/>
  <c r="F17" i="1" s="1"/>
  <c r="N12" i="1"/>
  <c r="M14" i="1"/>
  <c r="M22" i="1"/>
  <c r="M23" i="1" s="1"/>
  <c r="M10" i="1"/>
  <c r="M11" i="1" s="1"/>
  <c r="M20" i="1"/>
  <c r="M21" i="1" s="1"/>
  <c r="O14" i="1"/>
  <c r="O15" i="1" s="1"/>
  <c r="I18" i="1"/>
  <c r="I19" i="1" s="1"/>
  <c r="E18" i="1"/>
  <c r="E19" i="1" s="1"/>
  <c r="D12" i="1"/>
  <c r="D13" i="1" s="1"/>
  <c r="D20" i="1"/>
  <c r="D21" i="1" s="1"/>
  <c r="D6" i="1"/>
  <c r="D7" i="1" s="1"/>
  <c r="D8" i="1"/>
  <c r="D9" i="1" s="1"/>
  <c r="D16" i="1"/>
  <c r="D17" i="1" s="1"/>
  <c r="D10" i="1"/>
  <c r="D11" i="1" s="1"/>
  <c r="D14" i="1"/>
  <c r="D15" i="1" s="1"/>
  <c r="D18" i="1"/>
  <c r="D19" i="1" s="1"/>
  <c r="I6" i="1"/>
  <c r="I7" i="1" s="1"/>
  <c r="E6" i="1"/>
  <c r="E7" i="1" s="1"/>
  <c r="G8" i="1"/>
  <c r="G9" i="1" s="1"/>
  <c r="K8" i="1"/>
  <c r="K9" i="1" s="1"/>
  <c r="F10" i="1"/>
  <c r="F11" i="1" s="1"/>
  <c r="J10" i="1"/>
  <c r="J11" i="1" s="1"/>
  <c r="E12" i="1"/>
  <c r="E13" i="1" s="1"/>
  <c r="I12" i="1"/>
  <c r="I13" i="1" s="1"/>
  <c r="H14" i="1"/>
  <c r="H15" i="1" s="1"/>
  <c r="G16" i="1"/>
  <c r="G17" i="1" s="1"/>
  <c r="K16" i="1"/>
  <c r="K17" i="1" s="1"/>
  <c r="F18" i="1"/>
  <c r="F19" i="1" s="1"/>
  <c r="J18" i="1"/>
  <c r="J19" i="1" s="1"/>
  <c r="E20" i="1"/>
  <c r="E21" i="1" s="1"/>
  <c r="I20" i="1"/>
  <c r="I21" i="1" s="1"/>
  <c r="E22" i="1"/>
  <c r="E23" i="1" s="1"/>
  <c r="I22" i="1"/>
  <c r="I23" i="1" s="1"/>
  <c r="H6" i="1"/>
  <c r="H7" i="1" s="1"/>
  <c r="H8" i="1"/>
  <c r="H9" i="1" s="1"/>
  <c r="G10" i="1"/>
  <c r="G11" i="1" s="1"/>
  <c r="K10" i="1"/>
  <c r="K11" i="1" s="1"/>
  <c r="F12" i="1"/>
  <c r="F13" i="1" s="1"/>
  <c r="J12" i="1"/>
  <c r="J13" i="1" s="1"/>
  <c r="E14" i="1"/>
  <c r="E15" i="1" s="1"/>
  <c r="I14" i="1"/>
  <c r="I15" i="1" s="1"/>
  <c r="H16" i="1"/>
  <c r="H17" i="1" s="1"/>
  <c r="G18" i="1"/>
  <c r="G19" i="1" s="1"/>
  <c r="K18" i="1"/>
  <c r="K19" i="1" s="1"/>
  <c r="F20" i="1"/>
  <c r="F21" i="1" s="1"/>
  <c r="J20" i="1"/>
  <c r="J21" i="1" s="1"/>
  <c r="F22" i="1"/>
  <c r="F23" i="1" s="1"/>
  <c r="J22" i="1"/>
  <c r="J23" i="1" s="1"/>
  <c r="K6" i="1"/>
  <c r="K7" i="1" s="1"/>
  <c r="G6" i="1"/>
  <c r="G7" i="1" s="1"/>
  <c r="E8" i="1"/>
  <c r="E9" i="1" s="1"/>
  <c r="I8" i="1"/>
  <c r="I9" i="1" s="1"/>
  <c r="H10" i="1"/>
  <c r="H11" i="1" s="1"/>
  <c r="G12" i="1"/>
  <c r="G13" i="1" s="1"/>
  <c r="K12" i="1"/>
  <c r="K13" i="1" s="1"/>
  <c r="F14" i="1"/>
  <c r="F15" i="1" s="1"/>
  <c r="J14" i="1"/>
  <c r="J15" i="1" s="1"/>
  <c r="E16" i="1"/>
  <c r="E17" i="1" s="1"/>
  <c r="I16" i="1"/>
  <c r="I17" i="1" s="1"/>
  <c r="H18" i="1"/>
  <c r="H19" i="1" s="1"/>
  <c r="G20" i="1"/>
  <c r="G21" i="1" s="1"/>
  <c r="K20" i="1"/>
  <c r="K21" i="1" s="1"/>
  <c r="G22" i="1"/>
  <c r="G23" i="1" s="1"/>
  <c r="K22" i="1"/>
  <c r="K23" i="1" s="1"/>
  <c r="J6" i="1"/>
  <c r="J7" i="1" s="1"/>
  <c r="F6" i="1"/>
  <c r="F7" i="1" s="1"/>
  <c r="F8" i="1"/>
  <c r="F9" i="1" s="1"/>
  <c r="J8" i="1"/>
  <c r="J9" i="1" s="1"/>
  <c r="E10" i="1"/>
  <c r="E11" i="1" s="1"/>
  <c r="I10" i="1"/>
  <c r="I11" i="1" s="1"/>
  <c r="H12" i="1"/>
  <c r="H13" i="1" s="1"/>
  <c r="H20" i="1"/>
  <c r="H21" i="1" s="1"/>
  <c r="L8" i="1"/>
  <c r="L9" i="1" s="1"/>
  <c r="L16" i="1"/>
  <c r="L17" i="1" s="1"/>
  <c r="L22" i="1"/>
  <c r="L23" i="1" s="1"/>
  <c r="L6" i="1"/>
  <c r="L7" i="1" s="1"/>
  <c r="L12" i="1"/>
  <c r="L13" i="1" s="1"/>
  <c r="L20" i="1"/>
  <c r="L21" i="1" s="1"/>
  <c r="L10" i="1"/>
  <c r="L11" i="1" s="1"/>
  <c r="L14" i="1"/>
  <c r="L15" i="1" s="1"/>
  <c r="O13" i="1"/>
  <c r="O10" i="1"/>
  <c r="O11" i="1" s="1"/>
  <c r="O18" i="1"/>
  <c r="O19" i="1" s="1"/>
  <c r="O20" i="1"/>
  <c r="O21" i="1" s="1"/>
  <c r="O8" i="1"/>
  <c r="O9" i="1" s="1"/>
  <c r="O16" i="1"/>
  <c r="O17" i="1" s="1"/>
  <c r="O22" i="1"/>
  <c r="O23" i="1" s="1"/>
  <c r="O6" i="1"/>
  <c r="O7" i="1" s="1"/>
  <c r="N6" i="1"/>
  <c r="N7" i="1" s="1"/>
  <c r="N22" i="1"/>
  <c r="N23" i="1" s="1"/>
  <c r="N8" i="1"/>
  <c r="N9" i="1" s="1"/>
  <c r="N10" i="1"/>
  <c r="N11" i="1" s="1"/>
  <c r="N13" i="1"/>
  <c r="N14" i="1"/>
  <c r="N15" i="1" s="1"/>
  <c r="N16" i="1"/>
  <c r="N17" i="1" s="1"/>
  <c r="N18" i="1"/>
  <c r="N19" i="1" s="1"/>
</calcChain>
</file>

<file path=xl/sharedStrings.xml><?xml version="1.0" encoding="utf-8"?>
<sst xmlns="http://schemas.openxmlformats.org/spreadsheetml/2006/main" count="87" uniqueCount="58">
  <si>
    <t>C</t>
  </si>
  <si>
    <t>D</t>
  </si>
  <si>
    <t>E</t>
  </si>
  <si>
    <t>F</t>
  </si>
  <si>
    <t>G</t>
  </si>
  <si>
    <t>A</t>
  </si>
  <si>
    <t>B</t>
  </si>
  <si>
    <t>C♯/D♭</t>
  </si>
  <si>
    <t>E♭/D♯</t>
  </si>
  <si>
    <t>F♯/G♭</t>
  </si>
  <si>
    <t>A♭/G♯</t>
  </si>
  <si>
    <t>B♭/A♯</t>
  </si>
  <si>
    <t>Desired pitch (Hz)</t>
  </si>
  <si>
    <t>Desired Time period (s)</t>
  </si>
  <si>
    <t>Constants:</t>
  </si>
  <si>
    <t>Desired Half Time period (s)</t>
  </si>
  <si>
    <t>Percentage error from real value</t>
  </si>
  <si>
    <t>TMR0 Start value</t>
  </si>
  <si>
    <t>C2</t>
  </si>
  <si>
    <t>C4</t>
  </si>
  <si>
    <t>C3</t>
  </si>
  <si>
    <t>C1</t>
  </si>
  <si>
    <t>C5</t>
  </si>
  <si>
    <t>C6</t>
  </si>
  <si>
    <t>Middle C</t>
  </si>
  <si>
    <t>TMR0 Scaler</t>
  </si>
  <si>
    <t>Desired note (Octave of middle C)</t>
  </si>
  <si>
    <t>This workbook shows the initial TMR0 start values for all the notes in the octave of middle C, for different values of the TMR0 scaler.</t>
  </si>
  <si>
    <t xml:space="preserve">This works by calculating the number of increments of TMR0, at different scaler values, necessary to create a delay equal to a half period of a given note, then subtracting this from 256 (the overflow value of the TMR0 register) </t>
  </si>
  <si>
    <t>Negative values are impossible to implement, so are highlighted in red.</t>
  </si>
  <si>
    <t>The TMR0 scaler with smallest percentage errors (determined by the mean of (the modulus of each percentage error)) was chosen for the octave of middle C</t>
  </si>
  <si>
    <t>Therefore we use a TMR0 scaler of 8 and the corresponding initial TMR0 values for the octave of middle C</t>
  </si>
  <si>
    <t>Using these values initial TMR0 values for middle C with a TMR0 scaler of 8, sequential octaves can then be found by doubling (or halving) the TMR0 scaler</t>
  </si>
  <si>
    <t>E.g a scaler of 1:16 will give an octave below middle C, a scaler of 1:4 will give an octave above middle C</t>
  </si>
  <si>
    <t>1 Instruction execution time (s)</t>
  </si>
  <si>
    <t>Mean of [the modulus of each percentage error]</t>
  </si>
  <si>
    <t>Duation of a whole note (semibreve) at 120BPM (s)</t>
  </si>
  <si>
    <t>No. of half cycles in one second</t>
  </si>
  <si>
    <t>The duration value is equal to [the number of times the interrupt is called (i.e. the number of half cycles) in the duration of a semibreve] divided by [a constant]</t>
  </si>
  <si>
    <t>No. of half cycles in a whole note</t>
  </si>
  <si>
    <t>Dividing factor (referred to as "duration multiplier"</t>
  </si>
  <si>
    <t>This constant is referred to as the "duration multiplier"</t>
  </si>
  <si>
    <t>Therefore if the interrupt stops after [duration value]*[duration multiplier] toggles of the output, the note will be a semibreve long</t>
  </si>
  <si>
    <t>The duration multiplier has therefore been set as 8 (see constants table to the left), as this makes duration values of less than (2^8 -1 = 255), so will fit in one 8 bit register</t>
  </si>
  <si>
    <t>The duration multiplier can therefore be halved and doubled in the same manner as the TMR0 scaler (see "Pitches" sheet) to allow different notes in different octaves to be the same length</t>
  </si>
  <si>
    <t>Note</t>
  </si>
  <si>
    <t>Time period</t>
  </si>
  <si>
    <t>Duration value for a whole note (semibreve) at 120BPM, for the octave of middle C</t>
  </si>
  <si>
    <t>TMR0 scaler value</t>
  </si>
  <si>
    <t>Duration multiplier</t>
  </si>
  <si>
    <t>Desired TMR0 scaler</t>
  </si>
  <si>
    <t>Octave</t>
  </si>
  <si>
    <t>1:2</t>
  </si>
  <si>
    <t>1:4</t>
  </si>
  <si>
    <t>1:8</t>
  </si>
  <si>
    <t>1:16</t>
  </si>
  <si>
    <t>1:32</t>
  </si>
  <si>
    <t>1:64</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</si>
</sst>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
  </numFmts>
  <fonts count="1" x14ac:knownFonts="1">
    <font>
      <sz val="11"/>
      <color theme="1"/>
      <name val="Calibri"/>
      <family val="2"/>
      <scheme val="minor"/>
    </font>
  </fonts>
  <fills count="11">
    <fill>
      <patternFill patternType="none"/>
    </fill>
    <fill>
      <patternFill patternType="gray125"/>
    </fill>
    <fill>
      <patternFill patternType="solid">
        <fgColor theme="3" tint="0.59999389629810485"/>
        <bgColor indexed="64"/>
      </patternFill>
    </fill>
    <fill>
      <patternFill patternType="solid">
        <fgColor theme="6" tint="0.59999389629810485"/>
        <bgColor indexed="64"/>
      </patternFill>
    </fill>
    <fill>
      <patternFill patternType="solid">
        <fgColor theme="4" tint="0.39997558519241921"/>
        <bgColor indexed="64"/>
      </patternFill>
    </fill>
    <fill>
      <patternFill patternType="solid">
        <fgColor theme="6" tint="-0.249977111117893"/>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theme="3" tint="0.39997558519241921"/>
        <bgColor indexed="64"/>
      </patternFill>
    </fill>
    <fill>
      <patternFill patternType="solid">
        <fgColor theme="7"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35">
    <xf numFmtId="0" fontId="0" fillId="0" borderId="0" xfId="0"/>
    <xf numFmtId="49" fontId="0" fillId="0" borderId="0" xfId="0" applyNumberFormat="1" applyAlignment="1">
      <alignment horizontal="right"/>
    </xf>
    <xf numFmtId="0" fontId="0" fillId="8" borderId="0" xfId="0" applyFill="1"/>
    <xf numFmtId="11" fontId="0" fillId="8" borderId="0" xfId="0" applyNumberFormat="1" applyFill="1"/>
    <xf numFmtId="0" fontId="0" fillId="9" borderId="0" xfId="0" applyFill="1"/>
    <xf numFmtId="0" fontId="0" fillId="5" borderId="1" xfId="0" applyFill="1" applyBorder="1"/>
    <xf numFmtId="0" fontId="0" fillId="7" borderId="1" xfId="0" applyFill="1" applyBorder="1"/>
    <xf numFmtId="11" fontId="0" fillId="7" borderId="1" xfId="0" applyNumberFormat="1" applyFill="1" applyBorder="1"/>
    <xf numFmtId="1" fontId="0" fillId="7" borderId="1" xfId="0" applyNumberFormat="1" applyFill="1" applyBorder="1"/>
    <xf numFmtId="0" fontId="0" fillId="6" borderId="1" xfId="0" applyFill="1" applyBorder="1"/>
    <xf numFmtId="11" fontId="0" fillId="6" borderId="1" xfId="0" applyNumberFormat="1" applyFill="1" applyBorder="1"/>
    <xf numFmtId="1" fontId="0" fillId="6" borderId="1" xfId="0" applyNumberFormat="1" applyFill="1" applyBorder="1"/>
    <xf numFmtId="0" fontId="0" fillId="2" borderId="1" xfId="0" applyFill="1" applyBorder="1"/>
    <xf numFmtId="165" fontId="0" fillId="2" borderId="1" xfId="0" applyNumberFormat="1" applyFill="1" applyBorder="1"/>
    <xf numFmtId="2" fontId="0" fillId="2" borderId="1" xfId="0" applyNumberFormat="1" applyFill="1" applyBorder="1"/>
    <xf numFmtId="0" fontId="0" fillId="3" borderId="1" xfId="0" applyFill="1" applyBorder="1"/>
    <xf numFmtId="165" fontId="0" fillId="3" borderId="1" xfId="0" applyNumberFormat="1" applyFill="1" applyBorder="1"/>
    <xf numFmtId="2" fontId="0" fillId="3" borderId="1" xfId="0" applyNumberFormat="1" applyFill="1" applyBorder="1"/>
    <xf numFmtId="0" fontId="0" fillId="2" borderId="2" xfId="0" applyFill="1" applyBorder="1"/>
    <xf numFmtId="0" fontId="0" fillId="3" borderId="2" xfId="0" applyFill="1" applyBorder="1"/>
    <xf numFmtId="0" fontId="0" fillId="0" borderId="1" xfId="0" applyBorder="1"/>
    <xf numFmtId="164" fontId="0" fillId="0" borderId="1" xfId="0" applyNumberFormat="1" applyBorder="1"/>
    <xf numFmtId="11" fontId="0" fillId="0" borderId="1" xfId="0" applyNumberFormat="1" applyBorder="1"/>
    <xf numFmtId="0" fontId="0" fillId="4" borderId="1" xfId="0" applyFont="1" applyFill="1" applyBorder="1"/>
    <xf numFmtId="0" fontId="0" fillId="0" borderId="1" xfId="0" applyBorder="1" applyAlignment="1">
      <alignment horizontal="center"/>
    </xf>
    <xf numFmtId="0" fontId="0" fillId="8" borderId="1" xfId="0" applyFill="1" applyBorder="1"/>
    <xf numFmtId="49" fontId="0" fillId="0" borderId="1" xfId="0" applyNumberFormat="1" applyBorder="1" applyAlignment="1">
      <alignment horizontal="right"/>
    </xf>
    <xf numFmtId="49" fontId="0" fillId="8" borderId="1" xfId="0" applyNumberFormat="1" applyFill="1" applyBorder="1" applyAlignment="1">
      <alignment horizontal="right"/>
    </xf>
    <xf numFmtId="0" fontId="0" fillId="0" borderId="2" xfId="0" applyBorder="1" applyAlignment="1">
      <alignment horizontal="center"/>
    </xf>
    <xf numFmtId="0" fontId="0" fillId="0" borderId="0" xfId="0" applyFill="1"/>
    <xf numFmtId="0" fontId="0" fillId="0" borderId="0" xfId="0" applyFill="1" applyAlignment="1"/>
    <xf numFmtId="0" fontId="0" fillId="5" borderId="0" xfId="0" applyFill="1"/>
    <xf numFmtId="11" fontId="0" fillId="5" borderId="0" xfId="0" applyNumberFormat="1" applyFill="1"/>
    <xf numFmtId="0" fontId="0" fillId="10" borderId="0" xfId="0" applyFill="1" applyAlignment="1"/>
    <xf numFmtId="0" fontId="0" fillId="5" borderId="0" xfId="0" applyFill="1" applyAlignment="1">
      <alignment horizontal="center"/>
    </xf>
  </cellXfs>
  <cellStyles count="1">
    <cellStyle name="Normal" xfId="0" builtinId="0"/>
  </cellStyles>
  <dxfs count="1">
    <dxf>
      <font>
        <b/>
        <i val="0"/>
        <color rgb="FFFF0000"/>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37"/>
  <sheetViews>
    <sheetView tabSelected="1" zoomScale="70" zoomScaleNormal="70" workbookViewId="0">
      <selection activeCell="O32" sqref="A1:O32"/>
    </sheetView>
  </sheetViews>
  <sheetFormatPr defaultRowHeight="14.4" x14ac:dyDescent="0.3"/>
  <cols>
    <col min="1" max="1" width="29.33203125" customWidth="1"/>
    <col min="2" max="2" width="11.6640625" customWidth="1"/>
    <col min="3" max="3" width="41.6640625" customWidth="1"/>
    <col min="4" max="15" width="14" customWidth="1"/>
    <col min="18" max="18" width="22.109375" customWidth="1"/>
  </cols>
  <sheetData>
    <row r="1" spans="1:15" x14ac:dyDescent="0.3">
      <c r="C1" s="20" t="s">
        <v>26</v>
      </c>
      <c r="D1" s="20" t="s">
        <v>0</v>
      </c>
      <c r="E1" s="20" t="s">
        <v>7</v>
      </c>
      <c r="F1" s="20" t="s">
        <v>1</v>
      </c>
      <c r="G1" s="20" t="s">
        <v>8</v>
      </c>
      <c r="H1" s="20" t="s">
        <v>2</v>
      </c>
      <c r="I1" s="20" t="s">
        <v>3</v>
      </c>
      <c r="J1" s="20" t="s">
        <v>9</v>
      </c>
      <c r="K1" s="20" t="s">
        <v>4</v>
      </c>
      <c r="L1" s="20" t="s">
        <v>10</v>
      </c>
      <c r="M1" s="20" t="s">
        <v>5</v>
      </c>
      <c r="N1" s="20" t="s">
        <v>11</v>
      </c>
      <c r="O1" s="20" t="s">
        <v>6</v>
      </c>
    </row>
    <row r="2" spans="1:15" x14ac:dyDescent="0.3">
      <c r="C2" s="20" t="s">
        <v>12</v>
      </c>
      <c r="D2" s="21">
        <f>$M$2*(2^(1/12))^(-9)</f>
        <v>261.62556530059862</v>
      </c>
      <c r="E2" s="21">
        <f>$M$2*(2^(1/12))^(-8)</f>
        <v>277.18263097687208</v>
      </c>
      <c r="F2" s="21">
        <f>$M$2*(2^(1/12))^(-7)</f>
        <v>293.66476791740752</v>
      </c>
      <c r="G2" s="21">
        <f>$M$2*(2^(1/12))^(-6)</f>
        <v>311.12698372208087</v>
      </c>
      <c r="H2" s="21">
        <f>$M$2*(2^(1/12))^(-5)</f>
        <v>329.62755691286992</v>
      </c>
      <c r="I2" s="21">
        <f>$M$2*(2^(1/12))^(-4)</f>
        <v>349.22823143300388</v>
      </c>
      <c r="J2" s="21">
        <f>$M$2*(2^(1/12))^(-3)</f>
        <v>369.99442271163434</v>
      </c>
      <c r="K2" s="21">
        <f>$M$2*(2^(1/12))^(-2)</f>
        <v>391.99543598174927</v>
      </c>
      <c r="L2" s="21">
        <f>$M$2*(2^(1/12))^(-1)</f>
        <v>415.30469757994513</v>
      </c>
      <c r="M2" s="21">
        <v>440</v>
      </c>
      <c r="N2" s="21">
        <f>$M$2*(2^(1/12))^1</f>
        <v>466.16376151808993</v>
      </c>
      <c r="O2" s="21">
        <f>$M$2*(2^(1/12))^2</f>
        <v>493.88330125612413</v>
      </c>
    </row>
    <row r="3" spans="1:15" x14ac:dyDescent="0.3">
      <c r="C3" s="20" t="s">
        <v>13</v>
      </c>
      <c r="D3" s="22">
        <f t="shared" ref="D3:O3" si="0">1/D2</f>
        <v>3.82225643297143E-3</v>
      </c>
      <c r="E3" s="22">
        <f t="shared" si="0"/>
        <v>3.60772966356409E-3</v>
      </c>
      <c r="F3" s="22">
        <f t="shared" si="0"/>
        <v>3.405243356537913E-3</v>
      </c>
      <c r="G3" s="22">
        <f t="shared" si="0"/>
        <v>3.2141217326661256E-3</v>
      </c>
      <c r="H3" s="22">
        <f t="shared" si="0"/>
        <v>3.0337269412955329E-3</v>
      </c>
      <c r="I3" s="22">
        <f t="shared" si="0"/>
        <v>2.8634569315792572E-3</v>
      </c>
      <c r="J3" s="22">
        <f t="shared" si="0"/>
        <v>2.7027434431880029E-3</v>
      </c>
      <c r="K3" s="22">
        <f t="shared" si="0"/>
        <v>2.5510501097940298E-3</v>
      </c>
      <c r="L3" s="22">
        <f t="shared" si="0"/>
        <v>2.4078706689983982E-3</v>
      </c>
      <c r="M3" s="22">
        <f t="shared" si="0"/>
        <v>2.2727272727272726E-3</v>
      </c>
      <c r="N3" s="22">
        <f t="shared" si="0"/>
        <v>2.1451688924583943E-3</v>
      </c>
      <c r="O3" s="22">
        <f t="shared" si="0"/>
        <v>2.0247698139553164E-3</v>
      </c>
    </row>
    <row r="4" spans="1:15" x14ac:dyDescent="0.3">
      <c r="C4" s="20" t="s">
        <v>15</v>
      </c>
      <c r="D4" s="22">
        <f t="shared" ref="D4:O4" si="1">D3/2</f>
        <v>1.911128216485715E-3</v>
      </c>
      <c r="E4" s="22">
        <f t="shared" si="1"/>
        <v>1.803864831782045E-3</v>
      </c>
      <c r="F4" s="22">
        <f t="shared" si="1"/>
        <v>1.7026216782689565E-3</v>
      </c>
      <c r="G4" s="22">
        <f t="shared" si="1"/>
        <v>1.6070608663330628E-3</v>
      </c>
      <c r="H4" s="22">
        <f t="shared" si="1"/>
        <v>1.5168634706477664E-3</v>
      </c>
      <c r="I4" s="22">
        <f t="shared" si="1"/>
        <v>1.4317284657896286E-3</v>
      </c>
      <c r="J4" s="22">
        <f t="shared" si="1"/>
        <v>1.3513717215940014E-3</v>
      </c>
      <c r="K4" s="22">
        <f t="shared" si="1"/>
        <v>1.2755250548970149E-3</v>
      </c>
      <c r="L4" s="22">
        <f t="shared" si="1"/>
        <v>1.2039353344991991E-3</v>
      </c>
      <c r="M4" s="22">
        <f t="shared" si="1"/>
        <v>1.1363636363636363E-3</v>
      </c>
      <c r="N4" s="22">
        <f t="shared" si="1"/>
        <v>1.0725844462291972E-3</v>
      </c>
      <c r="O4" s="22">
        <f t="shared" si="1"/>
        <v>1.0123849069776582E-3</v>
      </c>
    </row>
    <row r="5" spans="1:15" x14ac:dyDescent="0.3">
      <c r="B5" s="23" t="s">
        <v>25</v>
      </c>
      <c r="C5" s="23" t="s">
        <v>35</v>
      </c>
      <c r="D5" s="22"/>
      <c r="E5" s="22"/>
      <c r="F5" s="22"/>
      <c r="G5" s="22"/>
      <c r="H5" s="22"/>
      <c r="I5" s="22"/>
      <c r="J5" s="22"/>
      <c r="K5" s="22"/>
      <c r="L5" s="22"/>
      <c r="M5" s="22"/>
      <c r="N5" s="22"/>
      <c r="O5" s="22"/>
    </row>
    <row r="6" spans="1:15" x14ac:dyDescent="0.3">
      <c r="A6" s="12" t="s">
        <v>17</v>
      </c>
      <c r="B6" s="18">
        <v>1</v>
      </c>
      <c r="C6" s="12"/>
      <c r="D6" s="12">
        <f t="shared" ref="D6:O6" si="2">ROUND(256-(D$4/($B$27*$B6)),0)</f>
        <v>-1655</v>
      </c>
      <c r="E6" s="12">
        <f t="shared" si="2"/>
        <v>-1548</v>
      </c>
      <c r="F6" s="12">
        <f t="shared" si="2"/>
        <v>-1447</v>
      </c>
      <c r="G6" s="12">
        <f t="shared" si="2"/>
        <v>-1351</v>
      </c>
      <c r="H6" s="12">
        <f t="shared" si="2"/>
        <v>-1261</v>
      </c>
      <c r="I6" s="12">
        <f t="shared" si="2"/>
        <v>-1176</v>
      </c>
      <c r="J6" s="12">
        <f t="shared" si="2"/>
        <v>-1095</v>
      </c>
      <c r="K6" s="12">
        <f t="shared" si="2"/>
        <v>-1020</v>
      </c>
      <c r="L6" s="12">
        <f t="shared" si="2"/>
        <v>-948</v>
      </c>
      <c r="M6" s="12">
        <f t="shared" si="2"/>
        <v>-880</v>
      </c>
      <c r="N6" s="12">
        <f t="shared" si="2"/>
        <v>-817</v>
      </c>
      <c r="O6" s="12">
        <f t="shared" si="2"/>
        <v>-756</v>
      </c>
    </row>
    <row r="7" spans="1:15" x14ac:dyDescent="0.3">
      <c r="A7" s="12" t="s">
        <v>16</v>
      </c>
      <c r="B7" s="18">
        <v>1</v>
      </c>
      <c r="C7" s="13">
        <f>AVERAGE(ABS(D7),ABS(E7),ABS(F7),ABS(G7),ABS(H7),ABS(I7),ABS(J7),ABS(K7),ABS(L7),ABS(M7),ABS(N7),ABS(O7))</f>
        <v>2.0587691949005456E-2</v>
      </c>
      <c r="D7" s="14">
        <f t="shared" ref="D7:O7" si="3">($B$27*$B7*(256-D6) - D$4 ) * (100/D$4)</f>
        <v>-6.7089421112113187E-3</v>
      </c>
      <c r="E7" s="14">
        <f t="shared" si="3"/>
        <v>7.493256455434587E-3</v>
      </c>
      <c r="F7" s="14">
        <f t="shared" si="3"/>
        <v>2.2219952668993181E-2</v>
      </c>
      <c r="G7" s="14">
        <f t="shared" si="3"/>
        <v>-3.7874317232151015E-3</v>
      </c>
      <c r="H7" s="14">
        <f t="shared" si="3"/>
        <v>9.0007673647224829E-3</v>
      </c>
      <c r="I7" s="14">
        <f t="shared" si="3"/>
        <v>1.8965482412304578E-2</v>
      </c>
      <c r="J7" s="14">
        <f t="shared" si="3"/>
        <v>-2.7506983316402535E-2</v>
      </c>
      <c r="K7" s="14">
        <f t="shared" si="3"/>
        <v>3.7235262542409206E-2</v>
      </c>
      <c r="L7" s="14">
        <f t="shared" si="3"/>
        <v>5.3711772507926128E-3</v>
      </c>
      <c r="M7" s="14">
        <f t="shared" si="3"/>
        <v>-3.2000000000007717E-2</v>
      </c>
      <c r="N7" s="14">
        <f t="shared" si="3"/>
        <v>3.8743221782090838E-2</v>
      </c>
      <c r="O7" s="14">
        <f t="shared" si="3"/>
        <v>-3.8019825760481289E-2</v>
      </c>
    </row>
    <row r="8" spans="1:15" x14ac:dyDescent="0.3">
      <c r="A8" s="15" t="s">
        <v>17</v>
      </c>
      <c r="B8" s="19">
        <v>2</v>
      </c>
      <c r="C8" s="15"/>
      <c r="D8" s="15">
        <f t="shared" ref="D8:O8" si="4">ROUND(256-(D$4/($B$27*$B8)),0)</f>
        <v>-700</v>
      </c>
      <c r="E8" s="15">
        <f t="shared" si="4"/>
        <v>-646</v>
      </c>
      <c r="F8" s="15">
        <f t="shared" si="4"/>
        <v>-595</v>
      </c>
      <c r="G8" s="15">
        <f t="shared" si="4"/>
        <v>-548</v>
      </c>
      <c r="H8" s="15">
        <f t="shared" si="4"/>
        <v>-502</v>
      </c>
      <c r="I8" s="15">
        <f t="shared" si="4"/>
        <v>-460</v>
      </c>
      <c r="J8" s="15">
        <f t="shared" si="4"/>
        <v>-420</v>
      </c>
      <c r="K8" s="15">
        <f t="shared" si="4"/>
        <v>-382</v>
      </c>
      <c r="L8" s="15">
        <f t="shared" si="4"/>
        <v>-346</v>
      </c>
      <c r="M8" s="15">
        <f t="shared" si="4"/>
        <v>-312</v>
      </c>
      <c r="N8" s="15">
        <f t="shared" si="4"/>
        <v>-280</v>
      </c>
      <c r="O8" s="15">
        <f t="shared" si="4"/>
        <v>-250</v>
      </c>
    </row>
    <row r="9" spans="1:15" x14ac:dyDescent="0.3">
      <c r="A9" s="15" t="s">
        <v>16</v>
      </c>
      <c r="B9" s="19">
        <v>2</v>
      </c>
      <c r="C9" s="16">
        <f t="shared" ref="C9:C23" si="5">AVERAGE(ABS(D9),ABS(E9),ABS(F9),ABS(G9),ABS(H9),ABS(I9),ABS(J9),ABS(K9),ABS(L9),ABS(M9),ABS(N9),ABS(O9))</f>
        <v>3.6463193089274717E-2</v>
      </c>
      <c r="D9" s="17">
        <f t="shared" ref="D9:O9" si="6">($B$27*$B9*(256-D8) - D$4 ) * (100/D$4)</f>
        <v>4.5616170948904002E-2</v>
      </c>
      <c r="E9" s="17">
        <f t="shared" si="6"/>
        <v>7.493256455434587E-3</v>
      </c>
      <c r="F9" s="17">
        <f t="shared" si="6"/>
        <v>-3.6513000914483382E-2</v>
      </c>
      <c r="G9" s="17">
        <f t="shared" si="6"/>
        <v>5.8437965021195838E-2</v>
      </c>
      <c r="H9" s="17">
        <f t="shared" si="6"/>
        <v>-5.6924744017845953E-2</v>
      </c>
      <c r="I9" s="17">
        <f t="shared" si="6"/>
        <v>1.8965482412304578E-2</v>
      </c>
      <c r="J9" s="17">
        <f t="shared" si="6"/>
        <v>4.6491901225918106E-2</v>
      </c>
      <c r="K9" s="17">
        <f t="shared" si="6"/>
        <v>3.7235262542409206E-2</v>
      </c>
      <c r="L9" s="17">
        <f t="shared" si="6"/>
        <v>5.3711772507926128E-3</v>
      </c>
      <c r="M9" s="17">
        <f t="shared" si="6"/>
        <v>-3.2000000000007717E-2</v>
      </c>
      <c r="N9" s="17">
        <f t="shared" si="6"/>
        <v>-5.4489530521519301E-2</v>
      </c>
      <c r="O9" s="17">
        <f t="shared" si="6"/>
        <v>-3.8019825760481289E-2</v>
      </c>
    </row>
    <row r="10" spans="1:15" x14ac:dyDescent="0.3">
      <c r="A10" s="12" t="s">
        <v>17</v>
      </c>
      <c r="B10" s="12">
        <v>4</v>
      </c>
      <c r="C10" s="12"/>
      <c r="D10" s="12">
        <f t="shared" ref="D10:O10" si="7">ROUND(256-(D$4/($B$27*$B10)),0)</f>
        <v>-222</v>
      </c>
      <c r="E10" s="12">
        <f t="shared" si="7"/>
        <v>-195</v>
      </c>
      <c r="F10" s="12">
        <f t="shared" si="7"/>
        <v>-170</v>
      </c>
      <c r="G10" s="12">
        <f t="shared" si="7"/>
        <v>-146</v>
      </c>
      <c r="H10" s="12">
        <f t="shared" si="7"/>
        <v>-123</v>
      </c>
      <c r="I10" s="12">
        <f t="shared" si="7"/>
        <v>-102</v>
      </c>
      <c r="J10" s="12">
        <f t="shared" si="7"/>
        <v>-82</v>
      </c>
      <c r="K10" s="12">
        <f t="shared" si="7"/>
        <v>-63</v>
      </c>
      <c r="L10" s="12">
        <f t="shared" si="7"/>
        <v>-45</v>
      </c>
      <c r="M10" s="12">
        <f t="shared" si="7"/>
        <v>-28</v>
      </c>
      <c r="N10" s="12">
        <f t="shared" si="7"/>
        <v>-12</v>
      </c>
      <c r="O10" s="12">
        <f t="shared" si="7"/>
        <v>3</v>
      </c>
    </row>
    <row r="11" spans="1:15" x14ac:dyDescent="0.3">
      <c r="A11" s="12" t="s">
        <v>16</v>
      </c>
      <c r="B11" s="12">
        <v>4</v>
      </c>
      <c r="C11" s="13">
        <f t="shared" si="5"/>
        <v>4.0166518534107971E-2</v>
      </c>
      <c r="D11" s="14">
        <f t="shared" ref="D11:O11" si="8">($B$27*$B11*(256-D10) - D$4 ) * (100/D$4)</f>
        <v>4.5616170948904002E-2</v>
      </c>
      <c r="E11" s="14">
        <f t="shared" si="8"/>
        <v>7.493256455434587E-3</v>
      </c>
      <c r="F11" s="14">
        <f t="shared" si="8"/>
        <v>8.0952906252482484E-2</v>
      </c>
      <c r="G11" s="14">
        <f t="shared" si="8"/>
        <v>5.8437965021195838E-2</v>
      </c>
      <c r="H11" s="14">
        <f t="shared" si="8"/>
        <v>-5.6924744017845953E-2</v>
      </c>
      <c r="I11" s="14">
        <f t="shared" si="8"/>
        <v>1.8965482412304578E-2</v>
      </c>
      <c r="J11" s="14">
        <f t="shared" si="8"/>
        <v>4.6491901225918106E-2</v>
      </c>
      <c r="K11" s="14">
        <f t="shared" si="8"/>
        <v>3.7235262542409206E-2</v>
      </c>
      <c r="L11" s="14">
        <f t="shared" si="8"/>
        <v>5.3711772507926128E-3</v>
      </c>
      <c r="M11" s="14">
        <f t="shared" si="8"/>
        <v>-3.2000000000007717E-2</v>
      </c>
      <c r="N11" s="14">
        <f t="shared" si="8"/>
        <v>-5.4489530521519301E-2</v>
      </c>
      <c r="O11" s="14">
        <f t="shared" si="8"/>
        <v>-3.8019825760481289E-2</v>
      </c>
    </row>
    <row r="12" spans="1:15" x14ac:dyDescent="0.3">
      <c r="A12" s="15" t="s">
        <v>17</v>
      </c>
      <c r="B12" s="15">
        <v>8</v>
      </c>
      <c r="C12" s="15"/>
      <c r="D12" s="15">
        <f t="shared" ref="D12:O12" si="9">ROUND(256-(D$4/($B$27*$B12)),0)</f>
        <v>17</v>
      </c>
      <c r="E12" s="15">
        <f t="shared" si="9"/>
        <v>31</v>
      </c>
      <c r="F12" s="15">
        <f t="shared" si="9"/>
        <v>43</v>
      </c>
      <c r="G12" s="15">
        <f t="shared" si="9"/>
        <v>55</v>
      </c>
      <c r="H12" s="15">
        <f t="shared" si="9"/>
        <v>66</v>
      </c>
      <c r="I12" s="15">
        <f t="shared" si="9"/>
        <v>77</v>
      </c>
      <c r="J12" s="15">
        <f t="shared" si="9"/>
        <v>87</v>
      </c>
      <c r="K12" s="15">
        <f t="shared" si="9"/>
        <v>97</v>
      </c>
      <c r="L12" s="15">
        <f t="shared" si="9"/>
        <v>106</v>
      </c>
      <c r="M12" s="15">
        <f t="shared" si="9"/>
        <v>114</v>
      </c>
      <c r="N12" s="15">
        <f t="shared" si="9"/>
        <v>122</v>
      </c>
      <c r="O12" s="15">
        <f t="shared" si="9"/>
        <v>129</v>
      </c>
    </row>
    <row r="13" spans="1:15" x14ac:dyDescent="0.3">
      <c r="A13" s="15" t="s">
        <v>16</v>
      </c>
      <c r="B13" s="15">
        <v>8</v>
      </c>
      <c r="C13" s="16">
        <f t="shared" si="5"/>
        <v>0.14319204904345231</v>
      </c>
      <c r="D13" s="17">
        <f t="shared" ref="D13:O13" si="10">($B$27*$B13*(256-D12) - D$4 ) * (100/D$4)</f>
        <v>4.5616170948904002E-2</v>
      </c>
      <c r="E13" s="17">
        <f t="shared" si="10"/>
        <v>-0.21425284832605643</v>
      </c>
      <c r="F13" s="17">
        <f t="shared" si="10"/>
        <v>8.0952906252482484E-2</v>
      </c>
      <c r="G13" s="17">
        <f t="shared" si="10"/>
        <v>5.8437965021195838E-2</v>
      </c>
      <c r="H13" s="17">
        <f t="shared" si="10"/>
        <v>0.20677730151244209</v>
      </c>
      <c r="I13" s="17">
        <f t="shared" si="10"/>
        <v>1.8965482412304578E-2</v>
      </c>
      <c r="J13" s="17">
        <f t="shared" si="10"/>
        <v>4.6491901225918106E-2</v>
      </c>
      <c r="K13" s="17">
        <f t="shared" si="10"/>
        <v>-0.27636108624299782</v>
      </c>
      <c r="L13" s="17">
        <f t="shared" si="10"/>
        <v>-0.32687258081317155</v>
      </c>
      <c r="M13" s="17">
        <f t="shared" si="10"/>
        <v>-3.2000000000007717E-2</v>
      </c>
      <c r="N13" s="17">
        <f t="shared" si="10"/>
        <v>-5.4489530521519301E-2</v>
      </c>
      <c r="O13" s="17">
        <f t="shared" si="10"/>
        <v>0.35708681524442765</v>
      </c>
    </row>
    <row r="14" spans="1:15" x14ac:dyDescent="0.3">
      <c r="A14" s="12" t="s">
        <v>17</v>
      </c>
      <c r="B14" s="12">
        <v>16</v>
      </c>
      <c r="C14" s="12"/>
      <c r="D14" s="12">
        <f t="shared" ref="D14:O14" si="11">ROUND(256-(D$4/($B$27*$B14)),0)</f>
        <v>137</v>
      </c>
      <c r="E14" s="12">
        <f t="shared" si="11"/>
        <v>143</v>
      </c>
      <c r="F14" s="12">
        <f t="shared" si="11"/>
        <v>150</v>
      </c>
      <c r="G14" s="12">
        <f t="shared" si="11"/>
        <v>156</v>
      </c>
      <c r="H14" s="12">
        <f t="shared" si="11"/>
        <v>161</v>
      </c>
      <c r="I14" s="12">
        <f t="shared" si="11"/>
        <v>167</v>
      </c>
      <c r="J14" s="12">
        <f t="shared" si="11"/>
        <v>172</v>
      </c>
      <c r="K14" s="12">
        <f t="shared" si="11"/>
        <v>176</v>
      </c>
      <c r="L14" s="12">
        <f t="shared" si="11"/>
        <v>181</v>
      </c>
      <c r="M14" s="12">
        <f t="shared" si="11"/>
        <v>185</v>
      </c>
      <c r="N14" s="12">
        <f t="shared" si="11"/>
        <v>189</v>
      </c>
      <c r="O14" s="12">
        <f t="shared" si="11"/>
        <v>193</v>
      </c>
    </row>
    <row r="15" spans="1:15" x14ac:dyDescent="0.3">
      <c r="A15" s="12" t="s">
        <v>16</v>
      </c>
      <c r="B15" s="12">
        <v>16</v>
      </c>
      <c r="C15" s="13">
        <f t="shared" si="5"/>
        <v>0.32665803167099955</v>
      </c>
      <c r="D15" s="14">
        <f t="shared" ref="D15:O15" si="12">($B$27*$B15*(256-D14) - D$4 ) * (100/D$4)</f>
        <v>-0.37298473353205258</v>
      </c>
      <c r="E15" s="14">
        <f t="shared" si="12"/>
        <v>0.22923936123693761</v>
      </c>
      <c r="F15" s="14">
        <f t="shared" si="12"/>
        <v>-0.38891072241536823</v>
      </c>
      <c r="G15" s="14">
        <f t="shared" si="12"/>
        <v>-0.43936520893413217</v>
      </c>
      <c r="H15" s="14">
        <f t="shared" si="12"/>
        <v>0.20677730151244209</v>
      </c>
      <c r="I15" s="14">
        <f t="shared" si="12"/>
        <v>-0.53979968788050003</v>
      </c>
      <c r="J15" s="14">
        <f t="shared" si="12"/>
        <v>-0.54549917511269519</v>
      </c>
      <c r="K15" s="14">
        <f t="shared" si="12"/>
        <v>0.35083161132779922</v>
      </c>
      <c r="L15" s="14">
        <f t="shared" si="12"/>
        <v>-0.32687258081317155</v>
      </c>
      <c r="M15" s="14">
        <f t="shared" si="12"/>
        <v>-3.2000000000007717E-2</v>
      </c>
      <c r="N15" s="14">
        <f t="shared" si="12"/>
        <v>-5.4489530521519301E-2</v>
      </c>
      <c r="O15" s="14">
        <f t="shared" si="12"/>
        <v>-0.43312646676536881</v>
      </c>
    </row>
    <row r="16" spans="1:15" x14ac:dyDescent="0.3">
      <c r="A16" s="15" t="s">
        <v>17</v>
      </c>
      <c r="B16" s="15">
        <v>32</v>
      </c>
      <c r="C16" s="15"/>
      <c r="D16" s="15">
        <f t="shared" ref="D16:O16" si="13">ROUND(256-(D$4/($B$27*$B16)),0)</f>
        <v>196</v>
      </c>
      <c r="E16" s="15">
        <f t="shared" si="13"/>
        <v>200</v>
      </c>
      <c r="F16" s="15">
        <f t="shared" si="13"/>
        <v>203</v>
      </c>
      <c r="G16" s="15">
        <f t="shared" si="13"/>
        <v>206</v>
      </c>
      <c r="H16" s="15">
        <f t="shared" si="13"/>
        <v>209</v>
      </c>
      <c r="I16" s="15">
        <f t="shared" si="13"/>
        <v>211</v>
      </c>
      <c r="J16" s="15">
        <f t="shared" si="13"/>
        <v>214</v>
      </c>
      <c r="K16" s="15">
        <f t="shared" si="13"/>
        <v>216</v>
      </c>
      <c r="L16" s="15">
        <f t="shared" si="13"/>
        <v>218</v>
      </c>
      <c r="M16" s="15">
        <f t="shared" si="13"/>
        <v>220</v>
      </c>
      <c r="N16" s="15">
        <f t="shared" si="13"/>
        <v>222</v>
      </c>
      <c r="O16" s="15">
        <f t="shared" si="13"/>
        <v>224</v>
      </c>
    </row>
    <row r="17" spans="1:15" x14ac:dyDescent="0.3">
      <c r="A17" s="15" t="s">
        <v>16</v>
      </c>
      <c r="B17" s="15">
        <v>32</v>
      </c>
      <c r="C17" s="16">
        <f t="shared" si="5"/>
        <v>0.76958061995466664</v>
      </c>
      <c r="D17" s="17">
        <f t="shared" ref="D17:O17" si="14">($B$27*$B17*(256-D16) - D$4 ) * (100/D$4)</f>
        <v>0.46421707542986063</v>
      </c>
      <c r="E17" s="17">
        <f t="shared" si="14"/>
        <v>-0.65774505788905047</v>
      </c>
      <c r="F17" s="17">
        <f t="shared" si="14"/>
        <v>-0.38891072241536823</v>
      </c>
      <c r="G17" s="17">
        <f t="shared" si="14"/>
        <v>-0.43936520893413217</v>
      </c>
      <c r="H17" s="17">
        <f t="shared" si="14"/>
        <v>-0.84803088060873866</v>
      </c>
      <c r="I17" s="17">
        <f t="shared" si="14"/>
        <v>0.57773065270510926</v>
      </c>
      <c r="J17" s="17">
        <f t="shared" si="14"/>
        <v>-0.54549917511269519</v>
      </c>
      <c r="K17" s="17">
        <f t="shared" si="14"/>
        <v>0.35083161132779922</v>
      </c>
      <c r="L17" s="17">
        <f t="shared" si="14"/>
        <v>1.0021024514426491</v>
      </c>
      <c r="M17" s="17">
        <f t="shared" si="14"/>
        <v>1.3760000000000074</v>
      </c>
      <c r="N17" s="17">
        <f t="shared" si="14"/>
        <v>1.4372345063363641</v>
      </c>
      <c r="O17" s="17">
        <f t="shared" si="14"/>
        <v>1.1473000972542242</v>
      </c>
    </row>
    <row r="18" spans="1:15" x14ac:dyDescent="0.3">
      <c r="A18" s="12" t="s">
        <v>17</v>
      </c>
      <c r="B18" s="12">
        <v>64</v>
      </c>
      <c r="C18" s="12"/>
      <c r="D18" s="12">
        <f t="shared" ref="D18:O18" si="15">ROUND(256-(D$4/($B$27*$B18)),0)</f>
        <v>226</v>
      </c>
      <c r="E18" s="12">
        <f t="shared" si="15"/>
        <v>228</v>
      </c>
      <c r="F18" s="12">
        <f t="shared" si="15"/>
        <v>229</v>
      </c>
      <c r="G18" s="12">
        <f t="shared" si="15"/>
        <v>231</v>
      </c>
      <c r="H18" s="12">
        <f t="shared" si="15"/>
        <v>232</v>
      </c>
      <c r="I18" s="12">
        <f t="shared" si="15"/>
        <v>234</v>
      </c>
      <c r="J18" s="12">
        <f t="shared" si="15"/>
        <v>235</v>
      </c>
      <c r="K18" s="12">
        <f t="shared" si="15"/>
        <v>236</v>
      </c>
      <c r="L18" s="12">
        <f t="shared" si="15"/>
        <v>237</v>
      </c>
      <c r="M18" s="12">
        <f t="shared" si="15"/>
        <v>238</v>
      </c>
      <c r="N18" s="12">
        <f t="shared" si="15"/>
        <v>239</v>
      </c>
      <c r="O18" s="12">
        <f t="shared" si="15"/>
        <v>240</v>
      </c>
    </row>
    <row r="19" spans="1:15" ht="13.2" customHeight="1" x14ac:dyDescent="0.3">
      <c r="A19" s="12" t="s">
        <v>16</v>
      </c>
      <c r="B19" s="12">
        <v>64</v>
      </c>
      <c r="C19" s="13">
        <f t="shared" si="5"/>
        <v>0.98581287400688034</v>
      </c>
      <c r="D19" s="14">
        <f t="shared" ref="D19:O19" si="16">($B$27*$B19*(256-D18) - D$4 ) * (100/D$4)</f>
        <v>0.46421707542986063</v>
      </c>
      <c r="E19" s="14">
        <f t="shared" si="16"/>
        <v>-0.65774505788905047</v>
      </c>
      <c r="F19" s="14">
        <f t="shared" si="16"/>
        <v>1.4905437922560345</v>
      </c>
      <c r="G19" s="14">
        <f t="shared" si="16"/>
        <v>-0.43936520893413217</v>
      </c>
      <c r="H19" s="14">
        <f t="shared" si="16"/>
        <v>1.2615854836336371</v>
      </c>
      <c r="I19" s="14">
        <f t="shared" si="16"/>
        <v>-1.6573300284661094</v>
      </c>
      <c r="J19" s="14">
        <f t="shared" si="16"/>
        <v>-0.54549917511269519</v>
      </c>
      <c r="K19" s="14">
        <f t="shared" si="16"/>
        <v>0.35083161132779922</v>
      </c>
      <c r="L19" s="14">
        <f t="shared" si="16"/>
        <v>1.0021024514426491</v>
      </c>
      <c r="M19" s="14">
        <f t="shared" si="16"/>
        <v>1.3760000000000074</v>
      </c>
      <c r="N19" s="14">
        <f t="shared" si="16"/>
        <v>1.4372345063363641</v>
      </c>
      <c r="O19" s="14">
        <f t="shared" si="16"/>
        <v>1.1473000972542242</v>
      </c>
    </row>
    <row r="20" spans="1:15" x14ac:dyDescent="0.3">
      <c r="A20" s="15" t="s">
        <v>17</v>
      </c>
      <c r="B20" s="15">
        <v>128</v>
      </c>
      <c r="C20" s="15"/>
      <c r="D20" s="15">
        <f t="shared" ref="D20:O20" si="17">ROUND(256-(D$4/($B$27*$B20)),0)</f>
        <v>241</v>
      </c>
      <c r="E20" s="15">
        <f t="shared" si="17"/>
        <v>242</v>
      </c>
      <c r="F20" s="15">
        <f t="shared" si="17"/>
        <v>243</v>
      </c>
      <c r="G20" s="15">
        <f t="shared" si="17"/>
        <v>243</v>
      </c>
      <c r="H20" s="15">
        <f t="shared" si="17"/>
        <v>244</v>
      </c>
      <c r="I20" s="15">
        <f t="shared" si="17"/>
        <v>245</v>
      </c>
      <c r="J20" s="15">
        <f t="shared" si="17"/>
        <v>245</v>
      </c>
      <c r="K20" s="15">
        <f t="shared" si="17"/>
        <v>246</v>
      </c>
      <c r="L20" s="15">
        <f t="shared" si="17"/>
        <v>247</v>
      </c>
      <c r="M20" s="15">
        <f t="shared" si="17"/>
        <v>247</v>
      </c>
      <c r="N20" s="15">
        <f t="shared" si="17"/>
        <v>248</v>
      </c>
      <c r="O20" s="15">
        <f t="shared" si="17"/>
        <v>248</v>
      </c>
    </row>
    <row r="21" spans="1:15" x14ac:dyDescent="0.3">
      <c r="A21" s="15" t="s">
        <v>16</v>
      </c>
      <c r="B21" s="15">
        <v>128</v>
      </c>
      <c r="C21" s="16">
        <f t="shared" si="5"/>
        <v>2.1466936273390025</v>
      </c>
      <c r="D21" s="17">
        <f t="shared" ref="D21:O21" si="18">($B$27*$B21*(256-D20) - D$4 ) * (100/D$4)</f>
        <v>0.46421707542986063</v>
      </c>
      <c r="E21" s="17">
        <f t="shared" si="18"/>
        <v>-0.65774505788905047</v>
      </c>
      <c r="F21" s="17">
        <f t="shared" si="18"/>
        <v>-2.2683652370867837</v>
      </c>
      <c r="G21" s="17">
        <f t="shared" si="18"/>
        <v>3.5430601827085053</v>
      </c>
      <c r="H21" s="17">
        <f t="shared" si="18"/>
        <v>1.2615854836336371</v>
      </c>
      <c r="I21" s="17">
        <f t="shared" si="18"/>
        <v>-1.6573300284661094</v>
      </c>
      <c r="J21" s="17">
        <f t="shared" si="18"/>
        <v>4.1904294355962266</v>
      </c>
      <c r="K21" s="17">
        <f t="shared" si="18"/>
        <v>0.35083161132779922</v>
      </c>
      <c r="L21" s="17">
        <f t="shared" si="18"/>
        <v>-4.3137976775806335</v>
      </c>
      <c r="M21" s="17">
        <f t="shared" si="18"/>
        <v>1.3760000000000074</v>
      </c>
      <c r="N21" s="17">
        <f t="shared" si="18"/>
        <v>-4.5296616410951902</v>
      </c>
      <c r="O21" s="17">
        <f t="shared" si="18"/>
        <v>1.1473000972542242</v>
      </c>
    </row>
    <row r="22" spans="1:15" x14ac:dyDescent="0.3">
      <c r="A22" s="12" t="s">
        <v>17</v>
      </c>
      <c r="B22" s="12">
        <v>256</v>
      </c>
      <c r="C22" s="12"/>
      <c r="D22" s="12">
        <f t="shared" ref="D22:O22" si="19">ROUND(256-(D$4/($B$27*$B22)),0)</f>
        <v>249</v>
      </c>
      <c r="E22" s="12">
        <f t="shared" si="19"/>
        <v>249</v>
      </c>
      <c r="F22" s="12">
        <f t="shared" si="19"/>
        <v>249</v>
      </c>
      <c r="G22" s="12">
        <f t="shared" si="19"/>
        <v>250</v>
      </c>
      <c r="H22" s="12">
        <f t="shared" si="19"/>
        <v>250</v>
      </c>
      <c r="I22" s="12">
        <f t="shared" si="19"/>
        <v>250</v>
      </c>
      <c r="J22" s="12">
        <f t="shared" si="19"/>
        <v>251</v>
      </c>
      <c r="K22" s="12">
        <f t="shared" si="19"/>
        <v>251</v>
      </c>
      <c r="L22" s="12">
        <f t="shared" si="19"/>
        <v>251</v>
      </c>
      <c r="M22" s="12">
        <f t="shared" si="19"/>
        <v>252</v>
      </c>
      <c r="N22" s="12">
        <f t="shared" si="19"/>
        <v>252</v>
      </c>
      <c r="O22" s="12">
        <f t="shared" si="19"/>
        <v>252</v>
      </c>
    </row>
    <row r="23" spans="1:15" x14ac:dyDescent="0.3">
      <c r="A23" s="12" t="s">
        <v>16</v>
      </c>
      <c r="B23" s="12">
        <v>256</v>
      </c>
      <c r="C23" s="13">
        <f t="shared" si="5"/>
        <v>4.3851756476789436</v>
      </c>
      <c r="D23" s="14">
        <f t="shared" ref="D23:O23" si="20">($B$27*$B23*(256-D22) - D$4 ) * (100/D$4)</f>
        <v>-6.2333973962654561</v>
      </c>
      <c r="E23" s="14">
        <f t="shared" si="20"/>
        <v>-0.65774505788905047</v>
      </c>
      <c r="F23" s="14">
        <f t="shared" si="20"/>
        <v>5.2494528215988527</v>
      </c>
      <c r="G23" s="14">
        <f t="shared" si="20"/>
        <v>-4.421790600576756</v>
      </c>
      <c r="H23" s="14">
        <f t="shared" si="20"/>
        <v>1.2615854836336371</v>
      </c>
      <c r="I23" s="14">
        <f t="shared" si="20"/>
        <v>7.2829126962187951</v>
      </c>
      <c r="J23" s="14">
        <f t="shared" si="20"/>
        <v>-5.2814277858216174</v>
      </c>
      <c r="K23" s="14">
        <f t="shared" si="20"/>
        <v>0.35083161132779922</v>
      </c>
      <c r="L23" s="14">
        <f t="shared" si="20"/>
        <v>6.3180025804659499</v>
      </c>
      <c r="M23" s="14">
        <f t="shared" si="20"/>
        <v>-9.8879999999999999</v>
      </c>
      <c r="N23" s="14">
        <f t="shared" si="20"/>
        <v>-4.5296616410951902</v>
      </c>
      <c r="O23" s="14">
        <f t="shared" si="20"/>
        <v>1.1473000972542242</v>
      </c>
    </row>
    <row r="26" spans="1:15" x14ac:dyDescent="0.3">
      <c r="A26" s="2" t="s">
        <v>14</v>
      </c>
      <c r="B26" s="2"/>
      <c r="C26" s="31" t="s">
        <v>27</v>
      </c>
      <c r="D26" s="31"/>
      <c r="E26" s="31"/>
      <c r="F26" s="31"/>
      <c r="G26" s="31"/>
      <c r="H26" s="31"/>
      <c r="I26" s="31"/>
      <c r="J26" s="31"/>
      <c r="K26" s="31"/>
      <c r="L26" s="31"/>
      <c r="M26" s="31"/>
      <c r="N26" s="31"/>
    </row>
    <row r="27" spans="1:15" x14ac:dyDescent="0.3">
      <c r="A27" s="2" t="s">
        <v>34</v>
      </c>
      <c r="B27" s="3">
        <f xml:space="preserve"> (1/(4*10^6))*4*B6</f>
        <v>9.9999999999999995E-7</v>
      </c>
      <c r="C27" s="32" t="s">
        <v>28</v>
      </c>
      <c r="D27" s="32"/>
      <c r="E27" s="32"/>
      <c r="F27" s="32"/>
      <c r="G27" s="32"/>
      <c r="H27" s="32"/>
      <c r="I27" s="32"/>
      <c r="J27" s="32"/>
      <c r="K27" s="32"/>
      <c r="L27" s="32"/>
      <c r="M27" s="32"/>
      <c r="N27" s="32"/>
    </row>
    <row r="28" spans="1:15" x14ac:dyDescent="0.3">
      <c r="C28" s="31" t="s">
        <v>29</v>
      </c>
      <c r="D28" s="31"/>
      <c r="E28" s="31"/>
      <c r="F28" s="31"/>
      <c r="G28" s="31"/>
      <c r="H28" s="31"/>
      <c r="I28" s="31"/>
      <c r="J28" s="31"/>
      <c r="K28" s="31"/>
      <c r="L28" s="31"/>
      <c r="M28" s="31"/>
      <c r="N28" s="31"/>
    </row>
    <row r="29" spans="1:15" x14ac:dyDescent="0.3">
      <c r="C29" s="31" t="s">
        <v>30</v>
      </c>
      <c r="D29" s="31"/>
      <c r="E29" s="31"/>
      <c r="F29" s="31"/>
      <c r="G29" s="31"/>
      <c r="H29" s="31"/>
      <c r="I29" s="31"/>
      <c r="J29" s="31"/>
      <c r="K29" s="31"/>
      <c r="L29" s="31"/>
      <c r="M29" s="31"/>
      <c r="N29" s="31"/>
    </row>
    <row r="30" spans="1:15" x14ac:dyDescent="0.3">
      <c r="C30" s="31" t="s">
        <v>31</v>
      </c>
      <c r="D30" s="31"/>
      <c r="E30" s="31"/>
      <c r="F30" s="31"/>
      <c r="G30" s="31"/>
      <c r="H30" s="31"/>
      <c r="I30" s="31"/>
      <c r="J30" s="31"/>
      <c r="K30" s="31"/>
      <c r="L30" s="31"/>
      <c r="M30" s="31"/>
      <c r="N30" s="31"/>
    </row>
    <row r="31" spans="1:15" x14ac:dyDescent="0.3">
      <c r="C31" s="31" t="s">
        <v>32</v>
      </c>
      <c r="D31" s="31"/>
      <c r="E31" s="31"/>
      <c r="F31" s="31"/>
      <c r="G31" s="31"/>
      <c r="H31" s="31"/>
      <c r="I31" s="31"/>
      <c r="J31" s="31"/>
      <c r="K31" s="31"/>
      <c r="L31" s="31"/>
      <c r="M31" s="31"/>
      <c r="N31" s="31"/>
    </row>
    <row r="32" spans="1:15" x14ac:dyDescent="0.3">
      <c r="C32" s="31" t="s">
        <v>33</v>
      </c>
      <c r="D32" s="31"/>
      <c r="E32" s="31"/>
      <c r="F32" s="31"/>
      <c r="G32" s="31"/>
      <c r="H32" s="31"/>
      <c r="I32" s="31"/>
      <c r="J32" s="31"/>
      <c r="K32" s="31"/>
      <c r="L32" s="31"/>
      <c r="M32" s="31"/>
      <c r="N32" s="31"/>
    </row>
    <row r="37" spans="10:10" x14ac:dyDescent="0.3">
      <c r="J37" s="29"/>
    </row>
  </sheetData>
  <mergeCells count="7">
    <mergeCell ref="C32:N32"/>
    <mergeCell ref="C26:N26"/>
    <mergeCell ref="C27:N27"/>
    <mergeCell ref="C28:N28"/>
    <mergeCell ref="C29:N29"/>
    <mergeCell ref="C30:N30"/>
    <mergeCell ref="C31:N31"/>
  </mergeCells>
  <conditionalFormatting sqref="D6:O6 D8:O8 D10:O10 D14:O14 D18:O18 D22:O22">
    <cfRule type="cellIs" dxfId="0" priority="1" operator="lessThanOrEqual">
      <formula>0</formula>
    </cfRule>
  </conditionalFormatting>
  <pageMargins left="0.25" right="0.25" top="0.75" bottom="0.75" header="0.3" footer="0.3"/>
  <pageSetup paperSize="9" scale="56"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7"/>
  <sheetViews>
    <sheetView zoomScale="85" zoomScaleNormal="85" workbookViewId="0">
      <selection activeCell="A27" sqref="A1:E27"/>
    </sheetView>
  </sheetViews>
  <sheetFormatPr defaultRowHeight="14.4" x14ac:dyDescent="0.3"/>
  <cols>
    <col min="1" max="1" width="44.109375" customWidth="1"/>
    <col min="2" max="2" width="10.77734375" customWidth="1"/>
    <col min="3" max="3" width="29.6640625" customWidth="1"/>
    <col min="4" max="4" width="30.21875" customWidth="1"/>
    <col min="5" max="5" width="48.21875" customWidth="1"/>
    <col min="6" max="6" width="13.109375" customWidth="1"/>
  </cols>
  <sheetData>
    <row r="1" spans="1:5" x14ac:dyDescent="0.3">
      <c r="A1" s="34" t="s">
        <v>47</v>
      </c>
      <c r="B1" s="34"/>
      <c r="C1" s="34"/>
      <c r="D1" s="34"/>
      <c r="E1" s="34"/>
    </row>
    <row r="2" spans="1:5" x14ac:dyDescent="0.3">
      <c r="A2" s="5" t="s">
        <v>45</v>
      </c>
      <c r="B2" s="5" t="s">
        <v>46</v>
      </c>
      <c r="C2" s="5" t="s">
        <v>37</v>
      </c>
      <c r="D2" s="5" t="s">
        <v>39</v>
      </c>
      <c r="E2" s="5" t="str">
        <f>"Duration Value = [No. of half cycles in a whole note]/ "&amp;B20</f>
        <v>Duration Value = [No. of half cycles in a whole note]/ 8</v>
      </c>
    </row>
    <row r="3" spans="1:5" x14ac:dyDescent="0.3">
      <c r="A3" s="6" t="s">
        <v>0</v>
      </c>
      <c r="B3" s="7">
        <f>Pitches!D3</f>
        <v>3.82225643297143E-3</v>
      </c>
      <c r="C3" s="7">
        <f>1/(B3/2)</f>
        <v>523.25113060119725</v>
      </c>
      <c r="D3" s="7">
        <f>C3*$B$19</f>
        <v>1046.5022612023945</v>
      </c>
      <c r="E3" s="8">
        <f>D3/$B$20</f>
        <v>130.81278265029931</v>
      </c>
    </row>
    <row r="4" spans="1:5" x14ac:dyDescent="0.3">
      <c r="A4" s="9" t="s">
        <v>7</v>
      </c>
      <c r="B4" s="10">
        <f>Pitches!E3</f>
        <v>3.60772966356409E-3</v>
      </c>
      <c r="C4" s="10">
        <f t="shared" ref="C4:C14" si="0">1/(B4/2)</f>
        <v>554.36526195374415</v>
      </c>
      <c r="D4" s="10">
        <f t="shared" ref="D4:D14" si="1">C4*$B$19</f>
        <v>1108.7305239074883</v>
      </c>
      <c r="E4" s="11">
        <f t="shared" ref="E4:E14" si="2">D4/$B$20</f>
        <v>138.59131548843604</v>
      </c>
    </row>
    <row r="5" spans="1:5" x14ac:dyDescent="0.3">
      <c r="A5" s="6" t="s">
        <v>1</v>
      </c>
      <c r="B5" s="7">
        <f>Pitches!F3</f>
        <v>3.405243356537913E-3</v>
      </c>
      <c r="C5" s="7">
        <f t="shared" si="0"/>
        <v>587.32953583481503</v>
      </c>
      <c r="D5" s="7">
        <f t="shared" si="1"/>
        <v>1174.6590716696301</v>
      </c>
      <c r="E5" s="8">
        <f t="shared" si="2"/>
        <v>146.83238395870376</v>
      </c>
    </row>
    <row r="6" spans="1:5" x14ac:dyDescent="0.3">
      <c r="A6" s="9" t="s">
        <v>8</v>
      </c>
      <c r="B6" s="10">
        <f>Pitches!G3</f>
        <v>3.2141217326661256E-3</v>
      </c>
      <c r="C6" s="10">
        <f t="shared" si="0"/>
        <v>622.25396744416173</v>
      </c>
      <c r="D6" s="10">
        <f t="shared" si="1"/>
        <v>1244.5079348883235</v>
      </c>
      <c r="E6" s="11">
        <f t="shared" si="2"/>
        <v>155.56349186104043</v>
      </c>
    </row>
    <row r="7" spans="1:5" x14ac:dyDescent="0.3">
      <c r="A7" s="6" t="s">
        <v>2</v>
      </c>
      <c r="B7" s="7">
        <f>Pitches!H3</f>
        <v>3.0337269412955329E-3</v>
      </c>
      <c r="C7" s="7">
        <f t="shared" si="0"/>
        <v>659.25511382573984</v>
      </c>
      <c r="D7" s="7">
        <f t="shared" si="1"/>
        <v>1318.5102276514797</v>
      </c>
      <c r="E7" s="8">
        <f t="shared" si="2"/>
        <v>164.81377845643496</v>
      </c>
    </row>
    <row r="8" spans="1:5" x14ac:dyDescent="0.3">
      <c r="A8" s="9" t="s">
        <v>3</v>
      </c>
      <c r="B8" s="10">
        <f>Pitches!I3</f>
        <v>2.8634569315792572E-3</v>
      </c>
      <c r="C8" s="10">
        <f t="shared" si="0"/>
        <v>698.45646286600777</v>
      </c>
      <c r="D8" s="10">
        <f t="shared" si="1"/>
        <v>1396.9129257320155</v>
      </c>
      <c r="E8" s="11">
        <f t="shared" si="2"/>
        <v>174.61411571650194</v>
      </c>
    </row>
    <row r="9" spans="1:5" x14ac:dyDescent="0.3">
      <c r="A9" s="6" t="s">
        <v>9</v>
      </c>
      <c r="B9" s="7">
        <f>Pitches!J3</f>
        <v>2.7027434431880029E-3</v>
      </c>
      <c r="C9" s="7">
        <f t="shared" si="0"/>
        <v>739.98884542326869</v>
      </c>
      <c r="D9" s="7">
        <f t="shared" si="1"/>
        <v>1479.9776908465374</v>
      </c>
      <c r="E9" s="8">
        <f t="shared" si="2"/>
        <v>184.99721135581717</v>
      </c>
    </row>
    <row r="10" spans="1:5" x14ac:dyDescent="0.3">
      <c r="A10" s="9" t="s">
        <v>4</v>
      </c>
      <c r="B10" s="10">
        <f>Pitches!K3</f>
        <v>2.5510501097940298E-3</v>
      </c>
      <c r="C10" s="10">
        <f t="shared" si="0"/>
        <v>783.99087196349853</v>
      </c>
      <c r="D10" s="10">
        <f t="shared" si="1"/>
        <v>1567.9817439269971</v>
      </c>
      <c r="E10" s="11">
        <f t="shared" si="2"/>
        <v>195.99771799087463</v>
      </c>
    </row>
    <row r="11" spans="1:5" x14ac:dyDescent="0.3">
      <c r="A11" s="6" t="s">
        <v>10</v>
      </c>
      <c r="B11" s="7">
        <f>Pitches!L3</f>
        <v>2.4078706689983982E-3</v>
      </c>
      <c r="C11" s="7">
        <f t="shared" si="0"/>
        <v>830.60939515989025</v>
      </c>
      <c r="D11" s="7">
        <f t="shared" si="1"/>
        <v>1661.2187903197805</v>
      </c>
      <c r="E11" s="8">
        <f t="shared" si="2"/>
        <v>207.65234878997256</v>
      </c>
    </row>
    <row r="12" spans="1:5" x14ac:dyDescent="0.3">
      <c r="A12" s="9" t="s">
        <v>5</v>
      </c>
      <c r="B12" s="10">
        <f>Pitches!M3</f>
        <v>2.2727272727272726E-3</v>
      </c>
      <c r="C12" s="10">
        <f t="shared" si="0"/>
        <v>880</v>
      </c>
      <c r="D12" s="10">
        <f t="shared" si="1"/>
        <v>1760</v>
      </c>
      <c r="E12" s="11">
        <f t="shared" si="2"/>
        <v>220</v>
      </c>
    </row>
    <row r="13" spans="1:5" x14ac:dyDescent="0.3">
      <c r="A13" s="6" t="s">
        <v>11</v>
      </c>
      <c r="B13" s="7">
        <f>Pitches!N3</f>
        <v>2.1451688924583943E-3</v>
      </c>
      <c r="C13" s="7">
        <f t="shared" si="0"/>
        <v>932.32752303617985</v>
      </c>
      <c r="D13" s="7">
        <f t="shared" si="1"/>
        <v>1864.6550460723597</v>
      </c>
      <c r="E13" s="8">
        <f t="shared" si="2"/>
        <v>233.08188075904496</v>
      </c>
    </row>
    <row r="14" spans="1:5" x14ac:dyDescent="0.3">
      <c r="A14" s="9" t="s">
        <v>6</v>
      </c>
      <c r="B14" s="10">
        <f>Pitches!O3</f>
        <v>2.0247698139553164E-3</v>
      </c>
      <c r="C14" s="10">
        <f t="shared" si="0"/>
        <v>987.76660251224837</v>
      </c>
      <c r="D14" s="10">
        <f t="shared" si="1"/>
        <v>1975.5332050244967</v>
      </c>
      <c r="E14" s="11">
        <f t="shared" si="2"/>
        <v>246.94165062806209</v>
      </c>
    </row>
    <row r="17" spans="1:13" x14ac:dyDescent="0.3">
      <c r="M17" s="29"/>
    </row>
    <row r="18" spans="1:13" x14ac:dyDescent="0.3">
      <c r="A18" s="4" t="s">
        <v>14</v>
      </c>
      <c r="B18" s="4"/>
      <c r="M18" s="30"/>
    </row>
    <row r="19" spans="1:13" x14ac:dyDescent="0.3">
      <c r="A19" s="4" t="s">
        <v>36</v>
      </c>
      <c r="B19" s="4">
        <f>(60/120)*4</f>
        <v>2</v>
      </c>
      <c r="M19" s="30"/>
    </row>
    <row r="20" spans="1:13" x14ac:dyDescent="0.3">
      <c r="A20" s="4" t="s">
        <v>40</v>
      </c>
      <c r="B20" s="4">
        <v>8</v>
      </c>
      <c r="M20" s="30"/>
    </row>
    <row r="21" spans="1:13" x14ac:dyDescent="0.3">
      <c r="M21" s="30"/>
    </row>
    <row r="22" spans="1:13" x14ac:dyDescent="0.3">
      <c r="M22" s="30"/>
    </row>
    <row r="23" spans="1:13" x14ac:dyDescent="0.3">
      <c r="A23" s="33" t="s">
        <v>38</v>
      </c>
      <c r="B23" s="33"/>
      <c r="C23" s="33"/>
      <c r="D23" s="33"/>
      <c r="E23" s="33"/>
      <c r="F23" s="30"/>
      <c r="G23" s="30"/>
      <c r="H23" s="30"/>
      <c r="I23" s="30"/>
      <c r="J23" s="30"/>
      <c r="M23" s="29"/>
    </row>
    <row r="24" spans="1:13" x14ac:dyDescent="0.3">
      <c r="A24" s="33" t="s">
        <v>41</v>
      </c>
      <c r="B24" s="33"/>
      <c r="C24" s="33"/>
      <c r="D24" s="33"/>
      <c r="E24" s="33"/>
      <c r="F24" s="30"/>
      <c r="G24" s="30"/>
      <c r="H24" s="30"/>
      <c r="I24" s="30"/>
      <c r="J24" s="30"/>
      <c r="M24" s="29"/>
    </row>
    <row r="25" spans="1:13" x14ac:dyDescent="0.3">
      <c r="A25" s="33" t="s">
        <v>42</v>
      </c>
      <c r="B25" s="33"/>
      <c r="C25" s="33"/>
      <c r="D25" s="33"/>
      <c r="E25" s="33"/>
      <c r="F25" s="30"/>
      <c r="G25" s="30"/>
      <c r="H25" s="30"/>
      <c r="I25" s="30"/>
      <c r="J25" s="30"/>
    </row>
    <row r="26" spans="1:13" x14ac:dyDescent="0.3">
      <c r="A26" s="33" t="s">
        <v>43</v>
      </c>
      <c r="B26" s="33"/>
      <c r="C26" s="33"/>
      <c r="D26" s="33"/>
      <c r="E26" s="33"/>
      <c r="F26" s="30"/>
      <c r="G26" s="30"/>
      <c r="H26" s="30"/>
      <c r="I26" s="30"/>
      <c r="J26" s="30"/>
    </row>
    <row r="27" spans="1:13" x14ac:dyDescent="0.3">
      <c r="A27" s="33" t="s">
        <v>44</v>
      </c>
      <c r="B27" s="33"/>
      <c r="C27" s="33"/>
      <c r="D27" s="33"/>
      <c r="E27" s="33"/>
      <c r="F27" s="30"/>
      <c r="G27" s="30"/>
      <c r="H27" s="30"/>
      <c r="I27" s="30"/>
      <c r="J27" s="30"/>
    </row>
  </sheetData>
  <mergeCells count="6">
    <mergeCell ref="A1:E1"/>
    <mergeCell ref="A23:E23"/>
    <mergeCell ref="A24:E24"/>
    <mergeCell ref="A25:E25"/>
    <mergeCell ref="A26:E26"/>
    <mergeCell ref="A27:E27"/>
  </mergeCells>
  <pageMargins left="0.25" right="0.25" top="0.75" bottom="0.75" header="0.3" footer="0.3"/>
  <pageSetup paperSize="9" scale="87"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activeCell="B32" sqref="B32"/>
    </sheetView>
  </sheetViews>
  <sheetFormatPr defaultRowHeight="14.4" x14ac:dyDescent="0.3"/>
  <cols>
    <col min="1" max="1" width="17.109375" style="1" customWidth="1"/>
    <col min="2" max="2" width="16.5546875" customWidth="1"/>
    <col min="3" max="3" width="16.21875" customWidth="1"/>
  </cols>
  <sheetData>
    <row r="1" spans="1:5" x14ac:dyDescent="0.3">
      <c r="A1" s="28" t="s">
        <v>50</v>
      </c>
      <c r="B1" s="24" t="s">
        <v>48</v>
      </c>
      <c r="C1" s="20" t="s">
        <v>49</v>
      </c>
      <c r="D1" s="20" t="s">
        <v>51</v>
      </c>
      <c r="E1" s="20"/>
    </row>
    <row r="2" spans="1:5" x14ac:dyDescent="0.3">
      <c r="A2" s="26" t="s">
        <v>52</v>
      </c>
      <c r="B2" s="20">
        <v>0</v>
      </c>
      <c r="C2" s="20">
        <f>C3*2</f>
        <v>32</v>
      </c>
      <c r="D2" s="20" t="s">
        <v>23</v>
      </c>
      <c r="E2" s="20"/>
    </row>
    <row r="3" spans="1:5" x14ac:dyDescent="0.3">
      <c r="A3" s="26" t="s">
        <v>53</v>
      </c>
      <c r="B3" s="20">
        <v>1</v>
      </c>
      <c r="C3" s="20">
        <f>C4*2</f>
        <v>16</v>
      </c>
      <c r="D3" s="20" t="s">
        <v>22</v>
      </c>
      <c r="E3" s="20"/>
    </row>
    <row r="4" spans="1:5" x14ac:dyDescent="0.3">
      <c r="A4" s="27" t="s">
        <v>54</v>
      </c>
      <c r="B4" s="25">
        <v>2</v>
      </c>
      <c r="C4" s="25">
        <f>Durations!B20</f>
        <v>8</v>
      </c>
      <c r="D4" s="25" t="s">
        <v>19</v>
      </c>
      <c r="E4" s="25" t="s">
        <v>24</v>
      </c>
    </row>
    <row r="5" spans="1:5" x14ac:dyDescent="0.3">
      <c r="A5" s="26" t="s">
        <v>55</v>
      </c>
      <c r="B5" s="20">
        <v>3</v>
      </c>
      <c r="C5" s="20">
        <f>C4/2</f>
        <v>4</v>
      </c>
      <c r="D5" s="20" t="s">
        <v>20</v>
      </c>
      <c r="E5" s="20"/>
    </row>
    <row r="6" spans="1:5" x14ac:dyDescent="0.3">
      <c r="A6" s="26" t="s">
        <v>56</v>
      </c>
      <c r="B6" s="20">
        <v>4</v>
      </c>
      <c r="C6" s="20">
        <f t="shared" ref="C6:C7" si="0">C5/2</f>
        <v>2</v>
      </c>
      <c r="D6" s="20" t="s">
        <v>18</v>
      </c>
      <c r="E6" s="20"/>
    </row>
    <row r="7" spans="1:5" x14ac:dyDescent="0.3">
      <c r="A7" s="26" t="s">
        <v>57</v>
      </c>
      <c r="B7" s="20">
        <v>5</v>
      </c>
      <c r="C7" s="20">
        <f t="shared" si="0"/>
        <v>1</v>
      </c>
      <c r="D7" s="20" t="s">
        <v>21</v>
      </c>
      <c r="E7" s="20"/>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Pitches</vt:lpstr>
      <vt:lpstr>Durations</vt:lpstr>
      <vt:lpstr>Scalers and Multipliers</vt:lpstr>
      <vt:lpstr>Durations!Print_Area</vt:lpstr>
      <vt:lpstr>Pitches!Print_Area</vt:lpstr>
      <vt:lpstr>'Scalers and Multipliers'!Print_Area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Joshua Tyler</dc:creator>
  <cp:lastModifiedBy>Joshua Tyler</cp:lastModifiedBy>
  <cp:lastPrinted>2014-01-07T16:08:08Z</cp:lastPrinted>
  <dcterms:created xsi:type="dcterms:W3CDTF">2013-11-02T14:39:24Z</dcterms:created>
  <dcterms:modified xsi:type="dcterms:W3CDTF">2014-01-14T16:26:23Z</dcterms:modified>
</cp:coreProperties>
</file>