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N:\Projects\SnoqualmieTribe\Snoqualmie_ResilientRiverCorridorPlan\Reports\Drafts\"/>
    </mc:Choice>
  </mc:AlternateContent>
  <xr:revisionPtr revIDLastSave="0" documentId="13_ncr:1_{4E8EDE59-40B5-48A0-8D38-80F7F3483F76}" xr6:coauthVersionLast="47" xr6:coauthVersionMax="47" xr10:uidLastSave="{00000000-0000-0000-0000-000000000000}"/>
  <bookViews>
    <workbookView xWindow="28680" yWindow="-120" windowWidth="29040" windowHeight="15840" xr2:uid="{AEE9473E-9B68-428D-91A4-171148A4FC9B}"/>
  </bookViews>
  <sheets>
    <sheet name="Summary" sheetId="4" r:id="rId1"/>
    <sheet name="Action_Item_Breakdown" sheetId="1" r:id="rId2"/>
    <sheet name="detailed construction estimate" sheetId="2" r:id="rId3"/>
  </sheets>
  <definedNames>
    <definedName name="_xlnm.Print_Area" localSheetId="1">Action_Item_Breakdown!$A$3:$U$30</definedName>
    <definedName name="_xlnm.Print_Area" localSheetId="0">Summary!$B$1:$D$18</definedName>
    <definedName name="_xlnm.Print_Titles" localSheetId="1">Action_Item_Breakdown!$A:$C,Action_Item_Breakdown!$1:$4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2" i="2" l="1"/>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 i="2"/>
  <c r="K18" i="1"/>
  <c r="K19" i="1"/>
  <c r="L19" i="1" s="1"/>
  <c r="K20" i="1"/>
  <c r="L20" i="1" s="1"/>
  <c r="K21" i="1"/>
  <c r="K22" i="1"/>
  <c r="L22" i="1" s="1"/>
  <c r="K23" i="1"/>
  <c r="K25" i="1"/>
  <c r="L25" i="1" s="1"/>
  <c r="K26" i="1"/>
  <c r="L26" i="1" s="1"/>
  <c r="K27" i="1"/>
  <c r="L27" i="1" s="1"/>
  <c r="K15" i="1"/>
  <c r="K14" i="1"/>
  <c r="K10" i="1"/>
  <c r="K11" i="1"/>
  <c r="K5" i="1"/>
  <c r="L5" i="1" s="1"/>
  <c r="B5" i="4"/>
  <c r="L11" i="1"/>
  <c r="L21" i="1"/>
  <c r="F25" i="2"/>
  <c r="G21" i="2"/>
  <c r="J21" i="2" s="1"/>
  <c r="F19" i="2"/>
  <c r="F30" i="2"/>
  <c r="D9" i="4" l="1"/>
  <c r="G10" i="2"/>
  <c r="G4" i="2"/>
  <c r="G5" i="2"/>
  <c r="G6" i="2"/>
  <c r="G7" i="2"/>
  <c r="G8" i="2"/>
  <c r="G9" i="2"/>
  <c r="G11" i="2"/>
  <c r="G12" i="2"/>
  <c r="F13" i="2"/>
  <c r="G13" i="2" s="1"/>
  <c r="G14" i="2"/>
  <c r="F15" i="2"/>
  <c r="G15" i="2" s="1"/>
  <c r="G16" i="2"/>
  <c r="G17" i="2"/>
  <c r="G18" i="2"/>
  <c r="G19" i="2"/>
  <c r="G20" i="2"/>
  <c r="F22" i="2"/>
  <c r="G22" i="2" s="1"/>
  <c r="G23" i="2"/>
  <c r="G24" i="2"/>
  <c r="G25" i="2"/>
  <c r="G26" i="2"/>
  <c r="F27" i="2"/>
  <c r="G27" i="2" s="1"/>
  <c r="F28" i="2"/>
  <c r="G28" i="2" s="1"/>
  <c r="G29" i="2"/>
  <c r="G30" i="2"/>
  <c r="F31" i="2"/>
  <c r="G31" i="2"/>
  <c r="F32" i="2"/>
  <c r="G32" i="2"/>
  <c r="G33" i="2"/>
  <c r="G34" i="2"/>
  <c r="F35" i="2"/>
  <c r="G35" i="2" s="1"/>
  <c r="F36" i="2"/>
  <c r="G36" i="2" s="1"/>
  <c r="G37" i="2"/>
  <c r="F38" i="2"/>
  <c r="G38" i="2" s="1"/>
  <c r="F39" i="2"/>
  <c r="G39" i="2" s="1"/>
  <c r="G40" i="2"/>
  <c r="G41" i="2"/>
  <c r="J16" i="2" l="1"/>
  <c r="J35" i="2"/>
  <c r="J34" i="2"/>
  <c r="J33" i="2"/>
  <c r="J18" i="2"/>
  <c r="J31" i="2"/>
  <c r="J32" i="2"/>
  <c r="J17" i="2"/>
  <c r="J30" i="2"/>
  <c r="J29" i="2"/>
  <c r="J41" i="2"/>
  <c r="J27" i="2"/>
  <c r="J9" i="2"/>
  <c r="J14" i="2"/>
  <c r="J28" i="2"/>
  <c r="J40" i="2"/>
  <c r="J39" i="2"/>
  <c r="J7" i="2"/>
  <c r="J15" i="2"/>
  <c r="J13" i="2"/>
  <c r="J12" i="2"/>
  <c r="J38" i="2"/>
  <c r="J6" i="2"/>
  <c r="J37" i="2"/>
  <c r="J23" i="2"/>
  <c r="J5" i="2"/>
  <c r="J36" i="2"/>
  <c r="J22" i="2"/>
  <c r="J4" i="2"/>
  <c r="J25" i="2"/>
  <c r="J24" i="2"/>
  <c r="J26" i="2"/>
  <c r="J20" i="2"/>
  <c r="J19" i="2"/>
  <c r="J10" i="2"/>
  <c r="J11" i="2"/>
  <c r="J8" i="2"/>
  <c r="H20" i="2"/>
  <c r="I20" i="2"/>
  <c r="H19" i="2"/>
  <c r="I19" i="2"/>
  <c r="I18" i="2"/>
  <c r="H18" i="2"/>
  <c r="I17" i="2"/>
  <c r="H17" i="2"/>
  <c r="I15" i="2"/>
  <c r="H15" i="2"/>
  <c r="I30" i="2"/>
  <c r="H30" i="2"/>
  <c r="I16" i="1" s="1"/>
  <c r="K16" i="1" s="1"/>
  <c r="I14" i="2"/>
  <c r="H14" i="2"/>
  <c r="I4" i="2"/>
  <c r="H4" i="2"/>
  <c r="I31" i="2"/>
  <c r="H31" i="2"/>
  <c r="H29" i="2"/>
  <c r="I29" i="2"/>
  <c r="H13" i="2"/>
  <c r="I13" i="2"/>
  <c r="H21" i="2"/>
  <c r="I21" i="2"/>
  <c r="I33" i="2"/>
  <c r="H33" i="2"/>
  <c r="H28" i="2"/>
  <c r="I28" i="2"/>
  <c r="I27" i="2"/>
  <c r="H27" i="2"/>
  <c r="I26" i="2"/>
  <c r="H26" i="2"/>
  <c r="H39" i="2"/>
  <c r="I39" i="2"/>
  <c r="I38" i="2"/>
  <c r="H38" i="2"/>
  <c r="I24" i="2"/>
  <c r="H24" i="2"/>
  <c r="I7" i="2"/>
  <c r="H7" i="2"/>
  <c r="I12" i="1" s="1"/>
  <c r="K12" i="1" s="1"/>
  <c r="H35" i="2"/>
  <c r="I35" i="2"/>
  <c r="H34" i="2"/>
  <c r="I34" i="2"/>
  <c r="I10" i="2"/>
  <c r="H10" i="2"/>
  <c r="I32" i="2"/>
  <c r="H32" i="2"/>
  <c r="I16" i="2"/>
  <c r="H16" i="2"/>
  <c r="I12" i="2"/>
  <c r="H12" i="2"/>
  <c r="I41" i="2"/>
  <c r="H41" i="2"/>
  <c r="I24" i="1" s="1"/>
  <c r="K24" i="1" s="1"/>
  <c r="I11" i="2"/>
  <c r="H11" i="2"/>
  <c r="H40" i="2"/>
  <c r="I40" i="2"/>
  <c r="I9" i="2"/>
  <c r="H9" i="2"/>
  <c r="I25" i="2"/>
  <c r="H25" i="2"/>
  <c r="H8" i="2"/>
  <c r="I8" i="2"/>
  <c r="I37" i="2"/>
  <c r="H37" i="2"/>
  <c r="H23" i="2"/>
  <c r="I23" i="2"/>
  <c r="H6" i="2"/>
  <c r="I6" i="2"/>
  <c r="H36" i="2"/>
  <c r="I18" i="1" s="1"/>
  <c r="I36" i="2"/>
  <c r="H22" i="2"/>
  <c r="I22" i="2"/>
  <c r="H5" i="2"/>
  <c r="I5" i="2"/>
  <c r="G42" i="2"/>
  <c r="J24" i="1" l="1"/>
  <c r="L24" i="1" s="1"/>
  <c r="I17" i="1"/>
  <c r="K17" i="1" s="1"/>
  <c r="I10" i="1"/>
  <c r="J10" i="1" s="1"/>
  <c r="L10" i="1" s="1"/>
  <c r="I23" i="1"/>
  <c r="J23" i="1" s="1"/>
  <c r="L23" i="1" s="1"/>
  <c r="I9" i="1"/>
  <c r="K9" i="1" s="1"/>
  <c r="I13" i="1"/>
  <c r="K13" i="1" s="1"/>
  <c r="I15" i="1"/>
  <c r="J18" i="1"/>
  <c r="L18" i="1" s="1"/>
  <c r="J16" i="1"/>
  <c r="L16" i="1" s="1"/>
  <c r="J12" i="1"/>
  <c r="L12" i="1" s="1"/>
  <c r="I8" i="1"/>
  <c r="K8" i="1" s="1"/>
  <c r="I7" i="1"/>
  <c r="K7" i="1" s="1"/>
  <c r="I6" i="1"/>
  <c r="K6" i="1" s="1"/>
  <c r="I14" i="1"/>
  <c r="P18" i="1"/>
  <c r="D8" i="4" l="1"/>
  <c r="J17" i="1"/>
  <c r="L17" i="1" s="1"/>
  <c r="D7" i="4" s="1"/>
  <c r="J9" i="1"/>
  <c r="L9" i="1" s="1"/>
  <c r="J15" i="1"/>
  <c r="L15" i="1" s="1"/>
  <c r="J14" i="1"/>
  <c r="L14" i="1" s="1"/>
  <c r="J6" i="1"/>
  <c r="L6" i="1" s="1"/>
  <c r="J7" i="1"/>
  <c r="L7" i="1" s="1"/>
  <c r="J8" i="1"/>
  <c r="L8" i="1" s="1"/>
  <c r="J13" i="1"/>
  <c r="D5" i="4" l="1"/>
  <c r="L13" i="1"/>
  <c r="D6" i="4" s="1"/>
  <c r="L28" i="1" l="1"/>
  <c r="D10" i="4"/>
</calcChain>
</file>

<file path=xl/sharedStrings.xml><?xml version="1.0" encoding="utf-8"?>
<sst xmlns="http://schemas.openxmlformats.org/spreadsheetml/2006/main" count="618" uniqueCount="389">
  <si>
    <t>Planning Level Estimate</t>
  </si>
  <si>
    <t>Reach</t>
  </si>
  <si>
    <t>Action Numbers</t>
  </si>
  <si>
    <t>Grand Total</t>
  </si>
  <si>
    <t>1-7</t>
  </si>
  <si>
    <t>Meadowbrook Reach</t>
  </si>
  <si>
    <t>8-10</t>
  </si>
  <si>
    <t>City Reach</t>
  </si>
  <si>
    <t>11-15</t>
  </si>
  <si>
    <t>Kimball Creek Reach</t>
  </si>
  <si>
    <t>16-20</t>
  </si>
  <si>
    <t>Project Area</t>
  </si>
  <si>
    <t>21-22</t>
  </si>
  <si>
    <t>Total</t>
  </si>
  <si>
    <t>Reach/Zone</t>
  </si>
  <si>
    <t>Opportunity/Description</t>
  </si>
  <si>
    <t>RM</t>
  </si>
  <si>
    <t>Project Type</t>
  </si>
  <si>
    <t>Next step and time frame</t>
  </si>
  <si>
    <t>Implementation time-frame (near-term (2-3 years), long-term (&gt;3 years))</t>
  </si>
  <si>
    <t>Benefit Time Frame (immediate, short delay, long delay)</t>
  </si>
  <si>
    <t>Rough Opinion of Cost  (2021 dollars)
Construction</t>
  </si>
  <si>
    <t>Assessment/ Design/ Permitting</t>
  </si>
  <si>
    <t>CLOMR, LOMR, No Rise, Possible Re-map</t>
  </si>
  <si>
    <t xml:space="preserve">No Rise Permitting Needed? </t>
  </si>
  <si>
    <t>Physical Benefits/What problem does this address</t>
  </si>
  <si>
    <t>Bank length Affected (feet)</t>
  </si>
  <si>
    <t>Floodplain Area  Affected (acres)</t>
  </si>
  <si>
    <t>Temperature Benefit (None to High)</t>
  </si>
  <si>
    <t>Aquatic Habitat Benefit (Low to High)</t>
  </si>
  <si>
    <t>Terrestrial Habitat Benefit (Low to High)</t>
  </si>
  <si>
    <t>How will this action affect climate change resiliency benefits?</t>
  </si>
  <si>
    <t>Risks/Issues?</t>
  </si>
  <si>
    <t>Included 10% Mobilization, 5% TESC, and 30% contingency. Costs rounded to nearest $10,000.</t>
  </si>
  <si>
    <t xml:space="preserve">Design and permitting of constructed projects were assumed to be 30%, 20% and 10% respectively, of construction cost. See Note 1. </t>
  </si>
  <si>
    <t xml:space="preserve">5% of Construction Cost for projects under $5,000,000; 2% for projects between $5,000,000-$10,000,000; 1% for projects greater than $10,000,000. Assume reach-based permitting (i.e. all confluence reach projects get analyzed together); cost increases if permitted separately. See Note 1. </t>
  </si>
  <si>
    <t>Low = possible reconnection to a colder water source or groundwater 
Medium = north side shading 
High = south side shading or connection to known cold water source</t>
  </si>
  <si>
    <t>Low = Improves aquatic habitat conditions (i.e. increases available cover) but does not initiate restored river and floodplain processes;
Medium = Initiates some restoration of river and floodplain processes but primarily focused on short term benefits such as improved cover or pools;
High = Initiates restored self sustaining river and floodplain processes</t>
  </si>
  <si>
    <t>Low = Improves terrestrial habitat conditions (i.e. increases forest cover) but does not initiate regenerative forest processes;
Medium = Initiates some restoration of forest  processes but primarily focused on short term benefits such as improved stem density;
High = Initiates restored self sustaining forest processes</t>
  </si>
  <si>
    <t>Low = little effect on human impact of increased peak flows
Medium = some effect on human impact of increased peak flows
High = significant effect on human impact of increased peak flows</t>
  </si>
  <si>
    <t>Confluence Reach</t>
  </si>
  <si>
    <t xml:space="preserve">Conduct assessment of river and floodplain crossings within the confluence reach to evaluate their impact on river and floodplain processes. The assessment should include the two bridges over the Middle and North Fork of the Snoqualmie River as well as any floodplain overflow channels and wetlands.  One potential outcome of the assessment could be proposing to improve the existing bridges. Develop alternatives for restoration and preferred restoration alternative (if any). </t>
  </si>
  <si>
    <t xml:space="preserve">Infrastructure </t>
  </si>
  <si>
    <t>Apply for grant to fund assessment, 1-2 years</t>
  </si>
  <si>
    <t xml:space="preserve">N/A </t>
  </si>
  <si>
    <t>Immediate benefit to river and floodplain processes if structures are improved</t>
  </si>
  <si>
    <t>N/A</t>
  </si>
  <si>
    <t>Increases in floodplain connectivity and SW/GW exchange. Improvement in floodplain forest health. Potential decreases in flood and erosion risk to infrastructure. Reduce constraints on channel migration.</t>
  </si>
  <si>
    <t>~15,000</t>
  </si>
  <si>
    <t>High (increase connectivity at known cool water source. Improve south side shading, especially of floodplain waterbodies)</t>
  </si>
  <si>
    <t>High (increased floodplain connectivity and restoration of unvegetated floodplain areas)</t>
  </si>
  <si>
    <t>High (improved quantity and quality of floodplain forest)</t>
  </si>
  <si>
    <t>-Improve flood attenuation and decrease flood/erosion risk to floodplain infrastructure.
-Increase groundwater storage and potentially Increase late summer stream flow.
-Improve connectivity to known cold water source</t>
  </si>
  <si>
    <t xml:space="preserve">Potential risks will be evaluated as part of the proposed assessment
</t>
  </si>
  <si>
    <t>2a</t>
  </si>
  <si>
    <t xml:space="preserve">Remove obsolete left bank riprap on NF (right at NF/MF confluence). Involves a hydraulic model, demolition plan, permitting and construction. </t>
  </si>
  <si>
    <t>NF 0</t>
  </si>
  <si>
    <t>Remove Armoring</t>
  </si>
  <si>
    <t>Apply for grant, 1-2 years</t>
  </si>
  <si>
    <t>Near-term</t>
  </si>
  <si>
    <t>Immediate</t>
  </si>
  <si>
    <t>Yes</t>
  </si>
  <si>
    <t>Increase floodplain connectivity with left floodplain, potential SW/GW connection to cool water source; restore natural bank migration process; improve bank habitat</t>
  </si>
  <si>
    <t>600 feet of bank restored</t>
  </si>
  <si>
    <t>11 acres</t>
  </si>
  <si>
    <t>Low</t>
  </si>
  <si>
    <t>Medium (increased floodplain connectivity and associated processes)</t>
  </si>
  <si>
    <t>Medium (improved floodplain forest)</t>
  </si>
  <si>
    <t>Low risk. Bank armoring not protecting any residences.</t>
  </si>
  <si>
    <t>2b</t>
  </si>
  <si>
    <t xml:space="preserve">Remove derelict right bank groin near RM 43.5.  Involves a hydraulic model, demolition plan, permitting and construction. </t>
  </si>
  <si>
    <t>RM 43.5</t>
  </si>
  <si>
    <t>Short delay (increased connectivity and channel migration potential to right bank floodplain)</t>
  </si>
  <si>
    <t>Improves floodplain connectivity and channel migration potential through constrained portion of channel</t>
  </si>
  <si>
    <t>90 (full right bank floodplain surface included)</t>
  </si>
  <si>
    <t>Medium (improved floodplain connectivity and processes. Improved wood recruitment potential and channel migration)</t>
  </si>
  <si>
    <t>-Improve flood attenuation within right bank floodplain surface</t>
  </si>
  <si>
    <t>Potential for increased flooding and erosion risk to private property</t>
  </si>
  <si>
    <t>Increase connectivity of mainstem to cool-water tributary through ELJ installation (tributary – 48 deg. F.; Mainstem – 56 deg. F. )
[Can be combined with bank armoring removal]</t>
  </si>
  <si>
    <t>ELJ</t>
  </si>
  <si>
    <t xml:space="preserve">Preliminary design work, 1 - 2 years. </t>
  </si>
  <si>
    <t>Short delay (increased complexity at confluence through sediment aggradation. Formation of deep pool through scour during high flows)</t>
  </si>
  <si>
    <t>Cooler temperatures within confluence</t>
  </si>
  <si>
    <t>~200 feet</t>
  </si>
  <si>
    <t>High (increase connectivity and pool frequency at known cool water source)</t>
  </si>
  <si>
    <t>Medium (isolated process restoration)</t>
  </si>
  <si>
    <t>The small scale of this action will have limited effects on climate resiliency. However, the limited influences include the creation of a cool-water refugia area for aquatic species.</t>
  </si>
  <si>
    <t>Benefit may be limited by small scale of actions. Potential mixing with larger river may dampen benefits.</t>
  </si>
  <si>
    <t xml:space="preserve">Channel and floodplain restoration of the Confluence Reach to encourage a multi-threaded anabranching channel morphology and restore the floodplain large wood cycle
Actions:
Create forested islands within mainstem upstream of SF confluence through ELJ installation
</t>
  </si>
  <si>
    <t>RM 44.2 to  44.9</t>
  </si>
  <si>
    <t>ELJ
Forest Management</t>
  </si>
  <si>
    <t>Apply for design and implementation funds, 1-2 years</t>
  </si>
  <si>
    <t>Channel restoration could be implemented in a near-term timeframe to maximize time for channel to respond and vegetation to establish on forested islands
Reforestation efforts are ongoing, this is a near term and long term action</t>
  </si>
  <si>
    <t>Shade and root cohesion benefits will be seen in a few years. Large wood supply will take decades to realize. 
Immediate (pools, cover) and short-term (channel narrowing)</t>
  </si>
  <si>
    <r>
      <rPr>
        <u/>
        <sz val="11"/>
        <color theme="1"/>
        <rFont val="Calibri"/>
        <family val="2"/>
        <scheme val="minor"/>
      </rPr>
      <t>ELJs</t>
    </r>
    <r>
      <rPr>
        <sz val="11"/>
        <color theme="1"/>
        <rFont val="Calibri"/>
        <family val="2"/>
        <scheme val="minor"/>
      </rPr>
      <t xml:space="preserve">: Long-term restoration of anabranching plan form, to increase shade (to decrease water temp), increase pool frequency, and increase complexity of aquatic habitat
</t>
    </r>
    <r>
      <rPr>
        <u/>
        <sz val="11"/>
        <color theme="1"/>
        <rFont val="Calibri"/>
        <family val="2"/>
        <scheme val="minor"/>
      </rPr>
      <t>Reforestation:</t>
    </r>
    <r>
      <rPr>
        <sz val="11"/>
        <color theme="1"/>
        <rFont val="Calibri"/>
        <family val="2"/>
        <scheme val="minor"/>
      </rPr>
      <t xml:space="preserve"> Improves over-water shade and provides source of large wood for river. Also provides terrestrial habitat and healthy forest structure. </t>
    </r>
  </si>
  <si>
    <t>~280</t>
  </si>
  <si>
    <t>High (south side shading, channel narrowing, transition from braided to anabranching morphology)</t>
  </si>
  <si>
    <t>High (restoration of floodplain large wood cycle processes)</t>
  </si>
  <si>
    <t>-Improved resiliency to increases in peak flows through increased roughness and floodplain connectivity
-Improved resiliency to summer drought conditions by creating narrower and deeper channels and increasing SW/GW exchange</t>
  </si>
  <si>
    <t xml:space="preserve">Recreation risk due to ELJs in commonly utilized area
</t>
  </si>
  <si>
    <t>Reinforce emerging forested island at RM 43.5 by constructing ELJs</t>
  </si>
  <si>
    <t>Channel restoration could be implemented in a near-term timeframe to maximize time for channel to respond and vegetation to establish on forested island</t>
  </si>
  <si>
    <t>Immediate (pools, cover) and short-term (channel narrowing)</t>
  </si>
  <si>
    <t>Long-term restoration of anabranching plan form, to increase shade (to decrease water temp), increase pool frequency, and increase complexity of aquatic habitat</t>
  </si>
  <si>
    <t>High (increased south and north side shading)</t>
  </si>
  <si>
    <t>Medium (establish forested island)</t>
  </si>
  <si>
    <t>-Improve flood attenuation through increases in roughness
-Increase stream shading by narrowing channel and establishing riparian vegetation</t>
  </si>
  <si>
    <t>Potential risk to recreation due to ELJs being constructed in heavily used area</t>
  </si>
  <si>
    <t xml:space="preserve">Riparian reforestation on south banks (left bank) in a minimum 100-ft wide buffer from the channel bank.
Remove Scot's broom and blackberry on gravel bars, plant with cottonwood and willow.
Supplemental planting with conifers or early seral deciduous species (cottonwood, big leaf maple) as indicated by existing conditions in stand.
</t>
  </si>
  <si>
    <t>RM 43.5 to  44.9</t>
  </si>
  <si>
    <t>Forest Management</t>
  </si>
  <si>
    <t xml:space="preserve">Develop restoration plan, including identifying and working with land owners, identifying a funding source, and plant sources. </t>
  </si>
  <si>
    <t>Near term and long term</t>
  </si>
  <si>
    <t>Immediate (invasive removal), short-to-long term (reforestation)</t>
  </si>
  <si>
    <t>Improves over-water shade and provides source of large wood for river. Also provides terrestrial habitat and healthy forest structure</t>
  </si>
  <si>
    <t xml:space="preserve">~70 </t>
  </si>
  <si>
    <t>High (increased south side shading)</t>
  </si>
  <si>
    <t>High (initiates self-sustaining forest processes)</t>
  </si>
  <si>
    <t>-Improved flood attenuation through increases in roughness
-Improved resiliency to summer drought conditions by increasing shade</t>
  </si>
  <si>
    <t>Plan and analysis regarding conservation/protection of well-connected left bank floodplain. Landowner outreach and potential land acquisition.</t>
  </si>
  <si>
    <t>RM 43.5 to 44.9</t>
  </si>
  <si>
    <t>Coordinate with current landowners. Potentially apply for conservation easement/ acquisition funding</t>
  </si>
  <si>
    <t>Near term</t>
  </si>
  <si>
    <t>Immediate (reducing development pressure in planning area)</t>
  </si>
  <si>
    <t>Conserves well functioning floodplain forest</t>
  </si>
  <si>
    <t>~10,000</t>
  </si>
  <si>
    <t>~400</t>
  </si>
  <si>
    <t>High (preservation of shaded and well connected floodplain will allow for continued shade and hyporheic processes)</t>
  </si>
  <si>
    <t>High (preservation of well connected floodplain)</t>
  </si>
  <si>
    <t>High (floodplain habitat preserved)</t>
  </si>
  <si>
    <t>-Maintain existing flood attenuation properties of floodplain
'-Maintain shade function of floodplain forest will maintain existing resiliency towards summer drought.</t>
  </si>
  <si>
    <t xml:space="preserve">Restoration of floodplain processes within Meadowbrook Slough and adjacent floodplain.
Specific actions include:
A) Removal of left bank revetment to increase connectivity with Meadowbrook Slough
B) Revegetation and invasive species removal in left bank floodplain within Meadowbrook Slough dog park
C) Re-routing of Snoqualmie Valley trail and removal of elevated rail-road berm from Meadowbrook Slough to the trestle bridge
D) Construction of flood and erosion control measures on edge of floodplain to protect local residents, city property, and infrastructure
E) Removal of Trestle bridge to improve flood conveyance and safety
</t>
  </si>
  <si>
    <t>RM 42.6-43.5</t>
  </si>
  <si>
    <t>Infrastructure</t>
  </si>
  <si>
    <t>Apply for grant to conduct feasibility and benefits assessment, 1-2 years</t>
  </si>
  <si>
    <t>N/A - Implementation timeframe will be assessed following completion of feasibility assessment</t>
  </si>
  <si>
    <r>
      <t xml:space="preserve">Upon implementation:
</t>
    </r>
    <r>
      <rPr>
        <b/>
        <sz val="11"/>
        <color theme="1"/>
        <rFont val="Calibri"/>
        <family val="2"/>
        <scheme val="minor"/>
      </rPr>
      <t>Immediate:</t>
    </r>
    <r>
      <rPr>
        <sz val="11"/>
        <color theme="1"/>
        <rFont val="Calibri"/>
        <family val="2"/>
        <scheme val="minor"/>
      </rPr>
      <t xml:space="preserve"> Increase in floodplain connectivity and wood recruitment potential. Flood and erosion risk reduction
Short-delay: Reduce downstream flood risk and improve aquatic habitat by increasing floodplain connectivity
</t>
    </r>
    <r>
      <rPr>
        <b/>
        <sz val="11"/>
        <color theme="1"/>
        <rFont val="Calibri"/>
        <family val="2"/>
        <scheme val="minor"/>
      </rPr>
      <t>Long-delay:</t>
    </r>
    <r>
      <rPr>
        <sz val="11"/>
        <color theme="1"/>
        <rFont val="Calibri"/>
        <family val="2"/>
        <scheme val="minor"/>
      </rPr>
      <t xml:space="preserve"> Increased south side shading and riparian forest health once forest establishes and matures</t>
    </r>
  </si>
  <si>
    <t>Improve floodplain connectivity by allowing additional flow into Meadowbrook slough during floods. Improve channel migration potential and subsequent floodplain formation/large wood recruitment processes. Increase shade, bank cohesion and wood recruitment through forest restoration. Reduce flood/erosion risk by moving infrastructure (trail) out of floodplain.</t>
  </si>
  <si>
    <t>High (south side shading and increased floodplain connectivity and subsequent SW/GW exchange. Increased shading of floodplain waterbodies)</t>
  </si>
  <si>
    <t>High (restore floodplain large wood cycle and floodplain formation processes)</t>
  </si>
  <si>
    <t>High (restore currently un-forested areas in floodplain. Improve quality of existing habitat)</t>
  </si>
  <si>
    <t>-Improve flood attenuation through increases in floodplain connectivity, removal of infrastructure, and improvements of flood defenses will potentially help mitigate increases in peak flow. 
-Potential increases in late summer stream flow through increased SW/GW exchange
-Increased south side shading will help mitigate temperature increases</t>
  </si>
  <si>
    <t xml:space="preserve">Potential risks will be evaluated as part of the proposed assessment. Potential risks include:
-Impact on flooding and erosion of private and public property
-Impacts on recreation (trail and dog park)
</t>
  </si>
  <si>
    <t xml:space="preserve">Revegetation of left bank at dog park area - wide buffer for shade, resilience to erosion, and ultimately large wood recruitment. Existing forest nearest the river requires conifer underplanting and  invasive plant species control. </t>
  </si>
  <si>
    <t xml:space="preserve">Talk to landowners and figure out what is feasible. Apply for grant once feasibility is figured out. </t>
  </si>
  <si>
    <t>Reforestation efforts are ongoing, this is a near term and long term action</t>
  </si>
  <si>
    <t xml:space="preserve">Benefits to the river will take decades to realize, immediate terrestrial habitat benefits. </t>
  </si>
  <si>
    <t>No</t>
  </si>
  <si>
    <t>Increase shade.  Increase bank cohesion.  Increase wood recruitment</t>
  </si>
  <si>
    <t>N/A - Floodplain area</t>
  </si>
  <si>
    <t>300 acres</t>
  </si>
  <si>
    <t>High</t>
  </si>
  <si>
    <t xml:space="preserve">High </t>
  </si>
  <si>
    <t>-Improved flood attenuation through increases in floodplain roughness
'-Improved resiliency to high summer stream temperatures through increased shading of floodplain waterbodies</t>
  </si>
  <si>
    <t>Reduction in open space may not be well received by dog park users?</t>
  </si>
  <si>
    <t xml:space="preserve">Relocate powerlines and convert to forested buffer. If powerlines cannot be moved, convert blackberry acreage to native shrub community and plant trees along riverbank. </t>
  </si>
  <si>
    <t>Evaluate feasibility of powerline re-location through assessment and coordination with stakeholders</t>
  </si>
  <si>
    <t>Short-term: Feasibility evaluation
Long-term: Powerline relocation</t>
  </si>
  <si>
    <t>Short-delay (benefits not realized until native vegetation is established)</t>
  </si>
  <si>
    <t>Increased shade. Increase bank cohesion. Increase wood recruitment. Remove invasives.</t>
  </si>
  <si>
    <t>~200</t>
  </si>
  <si>
    <t>~2</t>
  </si>
  <si>
    <t>Low - minimal bank length effected</t>
  </si>
  <si>
    <t>High  (Initiates restored self sustaining forest processes)</t>
  </si>
  <si>
    <t>-This action will have low influence on climate resiliency because of the small bank length and area affected</t>
  </si>
  <si>
    <t>Add more wood to LB timber revetment to increase structural integrity and improve fish habitat along bank</t>
  </si>
  <si>
    <t>RM 41.9</t>
  </si>
  <si>
    <t>Coordinate with on-going City/County efforts  to improve revetment, 1-2 years
Apply for design and implementation funds, 2-5 years</t>
  </si>
  <si>
    <t xml:space="preserve">Immediate (pools, cover) </t>
  </si>
  <si>
    <t>Immediate benefits to aquatic habitat through increased cover and pool habitat. Increased erosion protection benefits for City due to repairing failing revetment</t>
  </si>
  <si>
    <t>Low (minor temperature impacts related to creation of pools)</t>
  </si>
  <si>
    <t>Low to Medium (improved aquatic habitat (cover/pools) but processes not restored)</t>
  </si>
  <si>
    <t>None (actions will not impact terrestrial habitat)</t>
  </si>
  <si>
    <t>-Minor influence on flood attenuation through increases in roughness
-Minor influence on temperature through increased pool frequency</t>
  </si>
  <si>
    <t>Potential risk to recreation due to added wood in heavily used area</t>
  </si>
  <si>
    <t xml:space="preserve">Build mid-channel ELJ on bar adjacent to Sandy Cove park to establish flow split, increase shade, and increase pool frequency and complex cover. Enhance side channel habitat along right bank floodplain to increase channel length and shade, provide slow velocity habitat, increase cover, and potentially add additional flood storage. </t>
  </si>
  <si>
    <t>RM 41.6</t>
  </si>
  <si>
    <t>Immediate benefits to aquatic habitat through increased cover and pool habitat. Increased shading by narrowing existing channels and encouraging establishment of mature riparian vegetation</t>
  </si>
  <si>
    <t>High (increased north and south side shading)</t>
  </si>
  <si>
    <t>Medium (increased cover, pool formation, floodplain area)</t>
  </si>
  <si>
    <t>Medium (increased quantity and quality of riparian forest)</t>
  </si>
  <si>
    <t>-Minor improvements to flood attenuation through increases in roughness
-Minor improvements to summer drought resiliency by creating narrower and deeper channel segments and increasing shade</t>
  </si>
  <si>
    <t>Potential risk to recreation due to ELJs being constructed in heavily used area
Potential increases in flooding due to added roughness and obstructions</t>
  </si>
  <si>
    <t>Vegetation - inside of 100' riparian buffer, control invasives (knotweed, blackberry), plant conifers, willow, dogwood, plant 2 currently unvegetated bars</t>
  </si>
  <si>
    <t>RM 41 ish</t>
  </si>
  <si>
    <t xml:space="preserve">Develop forest stewardship plan with City and County, with implementable steps and funding sources identified. Consider applying for a grant to support this planning process. </t>
  </si>
  <si>
    <t>Near and long-term</t>
  </si>
  <si>
    <t>Short delay</t>
  </si>
  <si>
    <t>-Minor improvements to flood attenuation through increases in bank roughness and cohesion
-Increased resiliency to high summer stream temperatures through increased shading</t>
  </si>
  <si>
    <t xml:space="preserve">Some conflict with current uses? </t>
  </si>
  <si>
    <t xml:space="preserve">Conduct Mill Pond water quality, environmental cleanup, recreational and river connectivity assessment to evaluate potential risks to environmental quality and develop solutions to improve conditions. Consider road removal or enhancing side channel connectivity under road. Wetland restoration opportunities. </t>
  </si>
  <si>
    <t>RM 41-42.6</t>
  </si>
  <si>
    <t>Assessment</t>
  </si>
  <si>
    <t>Apply for grant to conduct assessment, 1-2 years</t>
  </si>
  <si>
    <t>Benefit time frame will be evaluated as part of proposed assessment</t>
  </si>
  <si>
    <t>Department of Ecology or EPA? This will likely cost millions.</t>
  </si>
  <si>
    <t>Improve water and ecosystem quality by cleaning up contaminated area. Increase connectivity to large floodplain area if remediation is conducted.</t>
  </si>
  <si>
    <t>Temperature benefit will be evaluated as part of assessment. (Temperature of Mill Pond relative to river is current data gap)</t>
  </si>
  <si>
    <t>High (restoration of floodplain processes and reconnection to historical floodplain landform)</t>
  </si>
  <si>
    <t>High (improve water quality and environmental conditions at Mill Pond site through remediation actions)</t>
  </si>
  <si>
    <t>-Improve flood attenuation by re-connecting historical floodplain landform
-Potential positive impacts to late summer temperature and stream flow through increased connectivity with Mill Pond</t>
  </si>
  <si>
    <t xml:space="preserve">Improve tribal access to top and bottom of Snoqualmie Falls. </t>
  </si>
  <si>
    <t>Access</t>
  </si>
  <si>
    <t xml:space="preserve">Develop plan for improving access with utility and others. </t>
  </si>
  <si>
    <t>TBD</t>
  </si>
  <si>
    <t xml:space="preserve">Removes access barriers to significant cultural landscape. </t>
  </si>
  <si>
    <t xml:space="preserve">No obvious risks but it will take many conversations to achieve well. </t>
  </si>
  <si>
    <t xml:space="preserve">Initiate development of protection strategy and implement to protect Coal and Fisher Creeks, which are providing colder, higher DO water to mainstem Kimball Creek.  Much of these watersheds is currently forested, but with extensive private property ownership there could be clearing and development actions. Start with plan for property acquisition. </t>
  </si>
  <si>
    <t>Protection</t>
  </si>
  <si>
    <t>Develop protection strategy and identify opportunities, 1-2 years</t>
  </si>
  <si>
    <t>Implement acquisitions, easements, or incentives for properties identified in the protection strategy, 3-20 years</t>
  </si>
  <si>
    <t>immediate</t>
  </si>
  <si>
    <t>temperature, DO</t>
  </si>
  <si>
    <t>Varies</t>
  </si>
  <si>
    <t>High.</t>
  </si>
  <si>
    <t xml:space="preserve">High   </t>
  </si>
  <si>
    <t>-Increased resiliency to summer drought through protection of forested tributary areas</t>
  </si>
  <si>
    <t>Sensitivity to private property rights.</t>
  </si>
  <si>
    <t xml:space="preserve">Possible riparian reforestation around Coal Creek where it avulsed into an unforested channel at a location referenced in Baerwalde (2011, p. 10).  Exact location and current riparian status need to be assessed. Start with assessment. </t>
  </si>
  <si>
    <t>Identify and assess referenced location, 1 year</t>
  </si>
  <si>
    <t>Coordinate with landowners and implement reforestation, 1-2 years</t>
  </si>
  <si>
    <t>Short to medium delay for effective  shading of an approximately 30 ft channel</t>
  </si>
  <si>
    <t>temperature (shading)</t>
  </si>
  <si>
    <t>Unknown; need to identify exact location.</t>
  </si>
  <si>
    <t>Unknown.  Need to identify exact location. Baerwalde (2011) notes that a narrow buffer would be sufficient.</t>
  </si>
  <si>
    <t>Low.  The main benefit is to water temperature with secondary benefits related to having forested banks (e.g., root cohesion, organic matter)</t>
  </si>
  <si>
    <t xml:space="preserve">Low  </t>
  </si>
  <si>
    <t>-Increased resiliency to high summer temperatures through increased shading</t>
  </si>
  <si>
    <t>Need to assess current status first.</t>
  </si>
  <si>
    <t>Riparian reforestation along the Meadowbrook reach of Kimball Creek, see maps showing low canopy cover and high reed canarygrass grass, and description in Baerwalde (2011, p. 11).</t>
  </si>
  <si>
    <t>Reforestation</t>
  </si>
  <si>
    <t>Coordinate with landowners and begin reforestation, 1-5 years</t>
  </si>
  <si>
    <t>Same.</t>
  </si>
  <si>
    <t>Medium delay - need substantial growth for shading of wide channel (approximately 250 ft) and water bodies (approximately 200-500 ft wide) in this area.</t>
  </si>
  <si>
    <t>no</t>
  </si>
  <si>
    <t>8000 ft of north-side shading enhancement possible; 3000 ft of south-side shading enhancement possible.</t>
  </si>
  <si>
    <t>Assuming 50 ft of buffer, could be up to approximately 13 acres</t>
  </si>
  <si>
    <t>High for south-side shading; medium for north-side shading</t>
  </si>
  <si>
    <t>Low.</t>
  </si>
  <si>
    <t>-Increased peak flow attenuation through increases in roughness
-Increased resiliency to high summer temperatures through increased shading</t>
  </si>
  <si>
    <t>Much of this reach is wetland with open water and wide channel areas, which makes riparian shading less effective. Private buildings are located very close to Kimball Creek at the Williams Addition (i.e., along 381st Place SE)</t>
  </si>
  <si>
    <t>Stream restoration in previously  dredged section of Kimball Creek, which could include regrading over-steepened banks, instream wood placements to add complexity and retain gravels that are coming in from Coal and Fisher Creeks.</t>
  </si>
  <si>
    <t>In-Stream Restoration</t>
  </si>
  <si>
    <t>Assessment and design, 1-2 years</t>
  </si>
  <si>
    <t>Coordinate with landowners and implement restoration actions, 3-6 years</t>
  </si>
  <si>
    <t>short delay</t>
  </si>
  <si>
    <t>Habitat complexity; pool creation; gravel retention</t>
  </si>
  <si>
    <t>At least 4000 ft to assess for possible stream restoration actions</t>
  </si>
  <si>
    <t>Unknown.  Stream restoration actions such as adding large wood or re-grading the banks may affect the frequency and duration of floodplain inundation.</t>
  </si>
  <si>
    <t xml:space="preserve">Low. </t>
  </si>
  <si>
    <t>Medium.</t>
  </si>
  <si>
    <t>-Minor benefits to peak flow attenuation
'-Increased resiliency to high summer stream temperatures through increased roughness and sinuosity which will encourage hyporheic function</t>
  </si>
  <si>
    <t>Raising WSE may be unwelcome in this highly developed area; could also attract more beaver usage.  What is the community perception of the existing beaver populations?</t>
  </si>
  <si>
    <t>If not already implemented, use best management practices (BMPs) recommended in Baerwalde (2011) at Casino detention pond and in application of salts to road.  Casino detention pond was identified as a source of high pH and warm effluent to tributary "KT", which ultimately flows into Kimball Creek.</t>
  </si>
  <si>
    <t>BMPs</t>
  </si>
  <si>
    <t>Assess current status of BMP implementation, 1 year</t>
  </si>
  <si>
    <t>Coordinate with Casino leadership to implement BMPs if necessary, 1-2 years</t>
  </si>
  <si>
    <t>Improve water quality by lowering salinity, lowering pollution, lowering temperature</t>
  </si>
  <si>
    <t xml:space="preserve">Low.  </t>
  </si>
  <si>
    <t>None.</t>
  </si>
  <si>
    <t>What is the current status of implementation and effectiveness since Baerwalde (2011)?</t>
  </si>
  <si>
    <t xml:space="preserve">Create Forest Stewardship Program </t>
  </si>
  <si>
    <t>Strategy and Implementation Plan</t>
  </si>
  <si>
    <t xml:space="preserve">Develop forest stewardship plan with City, with implementable steps and funding sources identified. Consider applying for a grant to support this planning process. </t>
  </si>
  <si>
    <t>mid-term</t>
  </si>
  <si>
    <t xml:space="preserve">Solves problem of forest decline and supports future source of woody debris, habitat logs, biodiversity, and other benefits. </t>
  </si>
  <si>
    <t>Several miles</t>
  </si>
  <si>
    <t>Thousands of acres</t>
  </si>
  <si>
    <t>-Increased resiliency to peak flows through improvement of floodplain forest 
'-Increased resiliency to summer drought through improved forest function</t>
  </si>
  <si>
    <t xml:space="preserve">Needs public and political support, patience, and money. </t>
  </si>
  <si>
    <t xml:space="preserve">Flood and erosion risk analysis with climate change and river resiliency actions </t>
  </si>
  <si>
    <t xml:space="preserve">Conduct climate change flood and erosion risk analysis in conjunction with future resilient river corridor action analysis. Consider applying for a grant to support this planning process. </t>
  </si>
  <si>
    <t>Solves problem of addressing questions about flood and erosion risk with river resiliency actions and climate change.</t>
  </si>
  <si>
    <t>many acres</t>
  </si>
  <si>
    <t>n/a</t>
  </si>
  <si>
    <t>-Increased resiliency to peak flows through identifying and addressing high risk areas and infrastructure.</t>
  </si>
  <si>
    <t>Key Assumptions and Notes</t>
  </si>
  <si>
    <t xml:space="preserve">Note 1. Costs which are based off of a percentage of the construction costs may be overestimated for expensive projects and underestimated for smaller projects. Goal of this approach was consistency and affording range of low and high estimates for decision making and grant writing purposes. </t>
  </si>
  <si>
    <t>Site</t>
  </si>
  <si>
    <t>Item</t>
  </si>
  <si>
    <t>Unit</t>
  </si>
  <si>
    <t>Unit Cost</t>
  </si>
  <si>
    <t>Quantity</t>
  </si>
  <si>
    <t xml:space="preserve">Subtotal </t>
  </si>
  <si>
    <t>Mobilization (10%)</t>
  </si>
  <si>
    <t>TESC (5%)</t>
  </si>
  <si>
    <t>Contingency (30%)</t>
  </si>
  <si>
    <t>Notes and Assumptions</t>
  </si>
  <si>
    <t>Reference</t>
  </si>
  <si>
    <t>Confluence</t>
  </si>
  <si>
    <t>Riprap removal</t>
  </si>
  <si>
    <t>CY</t>
  </si>
  <si>
    <t>435 FT X 20 FT X 3 FT = 26100 CF = 1000 CY</t>
  </si>
  <si>
    <t>RS Means CSI Spec. 02 41 13.70 (0200)</t>
  </si>
  <si>
    <t>Planting - PSIPE planting bareroot</t>
  </si>
  <si>
    <t>EA</t>
  </si>
  <si>
    <t>Assume 1-acre of disturbance. Assume no imported soil. PSIPE for bare root seedling, planted 3' on-center or 4840 plants per acre.</t>
  </si>
  <si>
    <t>Minimum PSIPE cost from2021 WSDOT standard bid item report.</t>
  </si>
  <si>
    <t>Mulch</t>
  </si>
  <si>
    <t>AC</t>
  </si>
  <si>
    <t xml:space="preserve">Occurs in same area as riprap removal &amp; access. Assume 3" - 4" depth. </t>
  </si>
  <si>
    <t>WSDOT bid tab item 65797</t>
  </si>
  <si>
    <t>Aggregate removal</t>
  </si>
  <si>
    <t>340 FT X 20 FT X 3 FT = 20400 CF = 755 CY</t>
  </si>
  <si>
    <t>RS Means 02 41 13.70 (0400)</t>
  </si>
  <si>
    <t>Maple Creek type 1</t>
  </si>
  <si>
    <t>North Fork Nooksack project</t>
  </si>
  <si>
    <t>450 X 20 FT X 3 FT = 27000 CF = 1000 CY</t>
  </si>
  <si>
    <t>02 41 13.70 (0200)</t>
  </si>
  <si>
    <t>Maple Creek type 1 , assume planting included</t>
  </si>
  <si>
    <t>Riparian reforestation - weed control</t>
  </si>
  <si>
    <t>Assume 70 acre floodplain/bank is 50% invaded. Of that 35 acre area, assume 20% hand removal of ivy ($5000/ac), 10% chemical control of knotweed ($300/ac), and 70% is mechanical clearing ($2000/ac)</t>
  </si>
  <si>
    <t>Green Seattle Partnership; Pers. Comm.</t>
  </si>
  <si>
    <t>Riparian reforestation - PSIPE Planting - bareroot</t>
  </si>
  <si>
    <t>Planting 35 acre invasive species removal. Assume no imported soil. PSIPE for bare root seedling, planted 3' on-center or 4840 plants per acre.</t>
  </si>
  <si>
    <t xml:space="preserve">Occurs in 35 acre invasive species removal. Assume 3" - 4" depth. </t>
  </si>
  <si>
    <t>Meadowbrook</t>
  </si>
  <si>
    <t>1215 FT X 25 FT X 20 FT = 607500 CF = 22500 CY</t>
  </si>
  <si>
    <t xml:space="preserve">Invasive removal </t>
  </si>
  <si>
    <t>Assume 300 acre floodplain is 50% invaded, treating 150 acres. Of that area, 20% hand removal of ivy ($5000/ac), 10% chemical control of knotweed ($300/ac), and 70% is mechanical clearing ($2000/ac)</t>
  </si>
  <si>
    <t>Revegetation - PSIPE planting - bareroot</t>
  </si>
  <si>
    <t>Planting 150 acres invasive species removal area. Assume no imported soil. PSIPE for bare root seedling, planted 3' on-center or 4840 plants per acre.</t>
  </si>
  <si>
    <t>Arborist wood chip mulch</t>
  </si>
  <si>
    <t xml:space="preserve">Mulching 150 acres invasive species removal area.. Assume 3" - 4" depth. </t>
  </si>
  <si>
    <t>Berm removal</t>
  </si>
  <si>
    <t>200000 SF (GIS) X 15 FT = 3000000 CF= 111111 CY</t>
  </si>
  <si>
    <t>02 41 13.70 (0100)</t>
  </si>
  <si>
    <t>Flood and erosion control measures</t>
  </si>
  <si>
    <t>Maple Creek type 1 - surrogate for revetment</t>
  </si>
  <si>
    <t>Trestle bridge removal</t>
  </si>
  <si>
    <t>SF</t>
  </si>
  <si>
    <t>300 FT X 20 FT = 6000 FT</t>
  </si>
  <si>
    <t>02 41 19.13 (0100)</t>
  </si>
  <si>
    <t>Revegetation of left bank, including conifer underplanting - PSIPE</t>
  </si>
  <si>
    <t>Plant 150 acre invasive species removal area. Assume no imported soil. PSIPE for bare root seedling, planted 3' on-center or 4840 plants per acre.</t>
  </si>
  <si>
    <t>Invasive species removal</t>
  </si>
  <si>
    <t>Assume 300 acre floodplain/bank is 50% invaded. Of that 150 acre area, assume 20% hand removal of ivy ($5000/ac), 10% chemical control of knotweed ($300/ac), and 70% is mechanical clearing ($2000/ac)</t>
  </si>
  <si>
    <t>Invasive species removal in powerline corridor</t>
  </si>
  <si>
    <r>
      <t xml:space="preserve">Assume 1 acre floodplain/bank is </t>
    </r>
    <r>
      <rPr>
        <b/>
        <sz val="11"/>
        <rFont val="Calibri"/>
        <family val="2"/>
      </rPr>
      <t>100% i</t>
    </r>
    <r>
      <rPr>
        <sz val="11"/>
        <rFont val="Calibri"/>
        <family val="2"/>
      </rPr>
      <t>nvaded. Of that area, assume 20% hand removal of ivy ($5000/ac), 10% chemical control of knotweed ($300/ac), and 70% is mechanical clearing ($2000/ac)</t>
    </r>
  </si>
  <si>
    <t>Revegetation in powerline corridor</t>
  </si>
  <si>
    <t>Plant 1-acre as invasive species removal. Assume no imported soil. PSIPE for bare root seedling, planted 3' on-center or 4840 plants per acre.</t>
  </si>
  <si>
    <t>Mulching revegetated powerline corridor</t>
  </si>
  <si>
    <t>Right bank invasive species removal</t>
  </si>
  <si>
    <t>100% 0.5-acre invaded area.  Of that area, assume 20% hand removal of ivy ($5000/ac), 10% chemical control of knotweed ($300/ac), and 70% is mechanical clearing ($2000/ac). 200' long bank , 100' wide buffer</t>
  </si>
  <si>
    <t>Revegetation of right bank - PSIPE planting bareroot</t>
  </si>
  <si>
    <t>Occurs in 0.5-acre invasive species removal. Assume no imported soil. PSIPE for bare root seedling, planted 3' on-center or 4840 plants per acre.</t>
  </si>
  <si>
    <t xml:space="preserve">Occurs in 0.5 acre invasive species removal area. Assume 3" - 4" depth. </t>
  </si>
  <si>
    <t>City</t>
  </si>
  <si>
    <t>Re-inforce existing timber revetment with additional wood</t>
  </si>
  <si>
    <t>4000 ft long bank, assume 80' long dolo timber structure at $80000 ea.</t>
  </si>
  <si>
    <t>Lower White River</t>
  </si>
  <si>
    <t>Side channel invasive species removal</t>
  </si>
  <si>
    <t xml:space="preserve">Assume 16 acre floodplain/bank is 50% invaded. Of that area, assume 20% hand removal of ivy ($5000/ac), 10% chemical control of knotweed ($300/ac), and 70% is mechanical clearing ($2000/ac). Side channel approximately 3400 ft long. Clear inv. spp. from 100' to either side. </t>
  </si>
  <si>
    <t>Side channel planting - PSIPE planting bareroot</t>
  </si>
  <si>
    <t>Occurs in 8-acre invasive species removal. Assume no imported soil. PSIPE for bare root seedling, planted 3' on-center or 4840 plants per acre.</t>
  </si>
  <si>
    <t xml:space="preserve">Occurs in 8-acre invasive species removal area. Assume 3" - 4" depth. </t>
  </si>
  <si>
    <t xml:space="preserve">Right bank and left bank, 100' buffer - Invasive species removal within vegetated areas. </t>
  </si>
  <si>
    <t xml:space="preserve">Assume 110 acre floodplain/bank is 50% invaded, treating 55 acres. Of that area, assume 20% hand removal of ivy ($5000/ac), 10% chemical control of knotweed ($300/ac), and 70% is mechanical clearing ($2000/ac). Right bank about 12,000 ft long, assume same for left bank. Some double counting may occur along restored side channel (see action 12). Left as is for now. </t>
  </si>
  <si>
    <t>Right bank and left bank, 100' buffer - PSIPE planting bareroot</t>
  </si>
  <si>
    <t>Occurs in 55 acre invasive species removal. Assume no imported soil. PSIPE for bare root seedling, planted 3' on-center or 4840 plants per acre.</t>
  </si>
  <si>
    <t>Right bank and left bank, 100' buffer - mulch</t>
  </si>
  <si>
    <t>Kimball</t>
  </si>
  <si>
    <t>Invasive species removal along Kimball Creek</t>
  </si>
  <si>
    <t>Estimated for 100' buffer along Kimball Creek, both sides, totaling approximately 170 acres. Assume floodplain/bank is 100% invaded. Of that area, assume 20% hand removal of ivy ($5000/ac), 10% chemical control of knotweed ($300/ac), and 70% is mechanical clearing ($2000/ac). Creek is about 37,000 ft long from golf course to confluence with Snoqualmie River.</t>
  </si>
  <si>
    <t>Planting of invasive species removal area - PSIPE planting bareroot</t>
  </si>
  <si>
    <t>Plant 160 acre invasive species removal area. Assume no imported soil. PSIPE for bare root seedling, planted 3' on-center or 4840 plants per acre.</t>
  </si>
  <si>
    <t>Creek restoration</t>
  </si>
  <si>
    <t>per mile</t>
  </si>
  <si>
    <t xml:space="preserve">West Cemetery - all alts minus outfalls. Assume includes earthwork. </t>
  </si>
  <si>
    <t>West Cemetery Restoration, City of Bellingham; Best professional judgement</t>
  </si>
  <si>
    <t>sum</t>
  </si>
  <si>
    <t>Grand Total (Rounded up to nearest $10k)</t>
  </si>
  <si>
    <t xml:space="preserve">Arborist wood chip mulch1-acre invasive species removal area. Assume 3" - 4" depth. </t>
  </si>
  <si>
    <t xml:space="preserve">Arborist wood chip mulch170 acre invasive species removal area. Assume 3" - 4" depth. </t>
  </si>
  <si>
    <t xml:space="preserve">Arborist wood chip mulch 55 acre invasive species removal. Assume 3" - 4" depth. </t>
  </si>
  <si>
    <t>Riparian reforestation - Arborist wood chip mulch</t>
  </si>
  <si>
    <t>Arborist wood chip mulch right bank</t>
  </si>
  <si>
    <t>Side channel Arborist wood chip mulch</t>
  </si>
  <si>
    <t>Arborist wood chip mulch invasive species removal area</t>
  </si>
  <si>
    <t xml:space="preserve">General Workbook Notes: </t>
  </si>
  <si>
    <t xml:space="preserve">1. Detailed values for each reach-action are provided in the action item breakdown tab. </t>
  </si>
  <si>
    <t xml:space="preserve">2. The detailed construction estimate tab provides more information for proposed restoration projects. </t>
  </si>
  <si>
    <t xml:space="preserve">3. The costs in the detailed construction estimate tab are provided on a per-unit basis, as opposed to lump sum, to allow for future scaling-up or scaling-down of restoration work as more information becomes available and decisions are made. </t>
  </si>
  <si>
    <t>Grand Total 
(Rounded Up to Nearest $10k)</t>
  </si>
  <si>
    <t>Action Number (see Map)</t>
  </si>
  <si>
    <t xml:space="preserve">Upper Snoqualmie Resilient River Corridor Management Plan </t>
  </si>
  <si>
    <t xml:space="preserve">List of Restoration Opportunities and Actions. </t>
  </si>
  <si>
    <t xml:space="preserve">For Internal Tribal Use Only. July 2022 version. </t>
  </si>
  <si>
    <t>Planning Level Cost Estimate of Restoration Opportunities and Actions.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</si>
</sst>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0.0"/>
    <numFmt numFmtId="165" formatCode="_(&quot;$&quot;* #,##0_);_(&quot;$&quot;* \(#,##0\);_(&quot;$&quot;* &quot;-&quot;??_);_(@_)"/>
  </numFmts>
  <fonts count="20" x14ac:knownFonts="1">
    <font>
      <sz val="11"/>
      <color theme="1"/>
      <name val="Calibri"/>
      <family val="2"/>
      <scheme val="minor"/>
    </font>
    <font>
      <b/>
      <sz val="11"/>
      <color theme="1"/>
      <name val="Calibri"/>
      <family val="2"/>
      <scheme val="minor"/>
    </font>
    <font>
      <sz val="9"/>
      <color theme="1"/>
      <name val="Calibri"/>
      <family val="2"/>
      <scheme val="minor"/>
    </font>
    <font>
      <u/>
      <sz val="11"/>
      <color theme="1"/>
      <name val="Calibri"/>
      <family val="2"/>
      <scheme val="minor"/>
    </font>
    <font>
      <b/>
      <sz val="26"/>
      <color theme="1"/>
      <name val="Calibri"/>
      <family val="2"/>
      <scheme val="minor"/>
    </font>
    <font>
      <sz val="26"/>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name val="Calibri"/>
      <family val="2"/>
    </font>
    <font>
      <sz val="11"/>
      <name val="Calibri"/>
      <family val="2"/>
    </font>
    <font>
      <i/>
      <sz val="11"/>
      <name val="Calibri"/>
      <family val="2"/>
      <scheme val="minor"/>
    </font>
    <font>
      <b/>
      <i/>
      <sz val="11"/>
      <name val="Calibri"/>
      <family val="2"/>
      <scheme val="minor"/>
    </font>
    <font>
      <sz val="16"/>
      <color theme="1"/>
      <name val="Calibri"/>
      <family val="2"/>
      <scheme val="minor"/>
    </font>
    <font>
      <sz val="9"/>
      <name val="Calibri"/>
      <family val="2"/>
      <scheme val="minor"/>
    </font>
    <font>
      <b/>
      <u/>
      <sz val="11"/>
      <color theme="1"/>
      <name val="Calibri"/>
      <family val="2"/>
      <scheme val="minor"/>
    </font>
    <font>
      <sz val="18"/>
      <color rgb="FFC00000"/>
      <name val="Calibri"/>
      <family val="2"/>
      <scheme val="minor"/>
    </font>
    <font>
      <sz val="12"/>
      <color rgb="FFC00000"/>
      <name val="Calibri"/>
      <family val="2"/>
      <scheme val="minor"/>
    </font>
    <font>
      <sz val="11"/>
      <color rgb="FFC00000"/>
      <name val="Calibri"/>
      <family val="2"/>
      <scheme val="minor"/>
    </font>
  </fonts>
  <fills count="5">
    <fill>
      <patternFill patternType="none"/>
    </fill>
    <fill>
      <patternFill patternType="gray125"/>
    </fill>
    <fill>
      <patternFill patternType="solid">
        <fgColor rgb="FFE7E6E6"/>
        <bgColor indexed="64"/>
      </patternFill>
    </fill>
    <fill>
      <patternFill patternType="solid">
        <fgColor theme="7"/>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44" fontId="6" fillId="0" borderId="0" applyFont="0" applyFill="0" applyBorder="0" applyAlignment="0" applyProtection="0"/>
    <xf numFmtId="43" fontId="6" fillId="0" borderId="0" applyFont="0" applyFill="0" applyBorder="0" applyAlignment="0" applyProtection="0"/>
    <xf numFmtId="0" fontId="7" fillId="3" borderId="0" applyNumberFormat="0" applyBorder="0" applyAlignment="0" applyProtection="0"/>
  </cellStyleXfs>
  <cellXfs count="102">
    <xf numFmtId="0" fontId="0" fillId="0" borderId="0" xfId="0"/>
    <xf numFmtId="0" fontId="0" fillId="0" borderId="0" xfId="0" applyAlignment="1">
      <alignment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1" fillId="0" borderId="0" xfId="0" quotePrefix="1" applyFont="1" applyAlignment="1">
      <alignment horizontal="center" vertical="center" wrapText="1"/>
    </xf>
    <xf numFmtId="0" fontId="9" fillId="0" borderId="0" xfId="0" applyFont="1" applyAlignment="1">
      <alignment horizontal="right"/>
    </xf>
    <xf numFmtId="0" fontId="8" fillId="0" borderId="0" xfId="0" applyFont="1"/>
    <xf numFmtId="44" fontId="8" fillId="0" borderId="0" xfId="1" applyFont="1"/>
    <xf numFmtId="1" fontId="8" fillId="0" borderId="0" xfId="0" applyNumberFormat="1" applyFont="1"/>
    <xf numFmtId="0" fontId="8" fillId="0" borderId="0" xfId="0" applyFont="1" applyAlignment="1">
      <alignment wrapText="1"/>
    </xf>
    <xf numFmtId="0" fontId="8" fillId="0" borderId="1" xfId="0" applyFont="1" applyBorder="1" applyAlignment="1">
      <alignment wrapText="1"/>
    </xf>
    <xf numFmtId="0" fontId="8" fillId="0" borderId="1" xfId="0" applyFont="1" applyBorder="1"/>
    <xf numFmtId="44" fontId="8" fillId="0" borderId="1" xfId="1" applyFont="1" applyBorder="1"/>
    <xf numFmtId="1" fontId="8" fillId="0" borderId="1" xfId="0" applyNumberFormat="1" applyFont="1" applyBorder="1"/>
    <xf numFmtId="44" fontId="8" fillId="0" borderId="1" xfId="3" applyNumberFormat="1" applyFont="1" applyFill="1" applyBorder="1"/>
    <xf numFmtId="44" fontId="8" fillId="0" borderId="1" xfId="1" applyFont="1" applyFill="1" applyBorder="1"/>
    <xf numFmtId="43" fontId="8" fillId="0" borderId="1" xfId="2" applyFont="1" applyFill="1" applyBorder="1"/>
    <xf numFmtId="164" fontId="8" fillId="0" borderId="1" xfId="0" applyNumberFormat="1" applyFont="1" applyBorder="1"/>
    <xf numFmtId="0" fontId="9" fillId="0" borderId="1" xfId="0" applyFont="1" applyBorder="1" applyAlignment="1">
      <alignment horizontal="right"/>
    </xf>
    <xf numFmtId="44" fontId="12" fillId="0" borderId="1" xfId="1" applyFont="1" applyBorder="1"/>
    <xf numFmtId="6" fontId="0" fillId="0" borderId="0" xfId="0" applyNumberFormat="1"/>
    <xf numFmtId="0" fontId="9" fillId="0" borderId="2" xfId="0" applyFont="1" applyBorder="1" applyAlignment="1">
      <alignment horizontal="right"/>
    </xf>
    <xf numFmtId="0" fontId="9" fillId="0" borderId="3" xfId="0" applyFont="1" applyBorder="1" applyAlignment="1">
      <alignment horizontal="center"/>
    </xf>
    <xf numFmtId="0" fontId="9" fillId="0" borderId="3" xfId="0" applyFont="1" applyBorder="1"/>
    <xf numFmtId="44" fontId="9" fillId="0" borderId="3" xfId="1" applyFont="1" applyBorder="1"/>
    <xf numFmtId="1" fontId="9" fillId="0" borderId="3" xfId="0" applyNumberFormat="1" applyFont="1" applyBorder="1"/>
    <xf numFmtId="44" fontId="13" fillId="0" borderId="3" xfId="1" applyFont="1" applyBorder="1"/>
    <xf numFmtId="0" fontId="9" fillId="0" borderId="3" xfId="0" applyFont="1" applyBorder="1" applyAlignment="1">
      <alignment wrapText="1"/>
    </xf>
    <xf numFmtId="0" fontId="9" fillId="0" borderId="4" xfId="0" applyFont="1" applyBorder="1"/>
    <xf numFmtId="0" fontId="9" fillId="0" borderId="5" xfId="0" applyFont="1" applyBorder="1" applyAlignment="1">
      <alignment horizontal="right"/>
    </xf>
    <xf numFmtId="0" fontId="8" fillId="0" borderId="6" xfId="0" applyFont="1" applyBorder="1" applyAlignment="1">
      <alignment wrapText="1"/>
    </xf>
    <xf numFmtId="0" fontId="9" fillId="0" borderId="7" xfId="0" applyFont="1" applyBorder="1"/>
    <xf numFmtId="0" fontId="9" fillId="0" borderId="8" xfId="0" applyFont="1" applyBorder="1" applyAlignment="1">
      <alignment horizontal="right"/>
    </xf>
    <xf numFmtId="0" fontId="8" fillId="0" borderId="8" xfId="0" applyFont="1" applyBorder="1"/>
    <xf numFmtId="1" fontId="8" fillId="0" borderId="8" xfId="0" applyNumberFormat="1" applyFont="1" applyBorder="1"/>
    <xf numFmtId="44" fontId="8" fillId="0" borderId="8" xfId="1" applyFont="1" applyBorder="1"/>
    <xf numFmtId="44" fontId="12" fillId="0" borderId="8" xfId="1" applyFont="1" applyBorder="1"/>
    <xf numFmtId="0" fontId="8" fillId="0" borderId="8" xfId="0" applyFont="1" applyBorder="1" applyAlignment="1">
      <alignment wrapText="1"/>
    </xf>
    <xf numFmtId="0" fontId="8" fillId="0" borderId="9" xfId="0" applyFont="1" applyBorder="1" applyAlignment="1">
      <alignment wrapText="1"/>
    </xf>
    <xf numFmtId="0" fontId="9" fillId="0" borderId="0" xfId="0" applyFont="1" applyAlignment="1">
      <alignment vertical="center" wrapText="1"/>
    </xf>
    <xf numFmtId="165" fontId="8" fillId="0" borderId="0" xfId="1" applyNumberFormat="1" applyFont="1"/>
    <xf numFmtId="165" fontId="9" fillId="0" borderId="3" xfId="1" applyNumberFormat="1" applyFont="1" applyBorder="1" applyAlignment="1">
      <alignment wrapText="1"/>
    </xf>
    <xf numFmtId="165" fontId="9" fillId="0" borderId="1" xfId="1" applyNumberFormat="1" applyFont="1" applyBorder="1"/>
    <xf numFmtId="165" fontId="9" fillId="0" borderId="0" xfId="1" applyNumberFormat="1" applyFont="1"/>
    <xf numFmtId="165" fontId="0" fillId="0" borderId="0" xfId="0" applyNumberFormat="1"/>
    <xf numFmtId="0" fontId="0" fillId="0" borderId="13" xfId="0" applyBorder="1" applyAlignment="1">
      <alignment horizontal="left"/>
    </xf>
    <xf numFmtId="6" fontId="0" fillId="0" borderId="14" xfId="0" applyNumberFormat="1" applyBorder="1" applyAlignment="1">
      <alignment horizontal="left"/>
    </xf>
    <xf numFmtId="0" fontId="0" fillId="0" borderId="0" xfId="0" quotePrefix="1" applyBorder="1"/>
    <xf numFmtId="0" fontId="0" fillId="0" borderId="13" xfId="0" applyBorder="1" applyAlignment="1">
      <alignment horizontal="left" vertical="center" wrapText="1"/>
    </xf>
    <xf numFmtId="0" fontId="0" fillId="0" borderId="15" xfId="0" applyBorder="1"/>
    <xf numFmtId="0" fontId="1" fillId="0" borderId="16" xfId="0" applyFont="1" applyBorder="1"/>
    <xf numFmtId="6" fontId="1" fillId="0" borderId="17" xfId="0" applyNumberFormat="1" applyFont="1" applyBorder="1" applyAlignment="1">
      <alignment horizontal="left"/>
    </xf>
    <xf numFmtId="0" fontId="0" fillId="0" borderId="18" xfId="0" applyBorder="1"/>
    <xf numFmtId="0" fontId="0" fillId="0" borderId="19" xfId="0" quotePrefix="1" applyBorder="1"/>
    <xf numFmtId="6" fontId="0" fillId="0" borderId="20" xfId="0" applyNumberFormat="1" applyBorder="1" applyAlignment="1">
      <alignment horizontal="left"/>
    </xf>
    <xf numFmtId="0" fontId="0" fillId="0" borderId="21" xfId="0" applyBorder="1" applyAlignment="1">
      <alignment horizontal="left"/>
    </xf>
    <xf numFmtId="16" fontId="0" fillId="0" borderId="22" xfId="0" quotePrefix="1" applyNumberFormat="1" applyBorder="1"/>
    <xf numFmtId="6" fontId="0" fillId="0" borderId="23" xfId="0" applyNumberFormat="1" applyBorder="1" applyAlignment="1">
      <alignment horizontal="left"/>
    </xf>
    <xf numFmtId="0" fontId="1" fillId="0" borderId="24" xfId="0" applyFont="1" applyBorder="1"/>
    <xf numFmtId="0" fontId="1" fillId="0" borderId="25" xfId="0" applyFont="1" applyBorder="1"/>
    <xf numFmtId="0" fontId="1" fillId="0" borderId="26" xfId="0" applyFont="1" applyBorder="1" applyAlignment="1">
      <alignment horizontal="left" wrapText="1"/>
    </xf>
    <xf numFmtId="0" fontId="16" fillId="0" borderId="10" xfId="0" applyFont="1" applyBorder="1"/>
    <xf numFmtId="0" fontId="0" fillId="0" borderId="11" xfId="0" applyBorder="1"/>
    <xf numFmtId="0" fontId="0" fillId="0" borderId="12" xfId="0" applyBorder="1"/>
    <xf numFmtId="0" fontId="0" fillId="0" borderId="13" xfId="0" applyBorder="1" applyAlignment="1">
      <alignment horizontal="left" wrapText="1"/>
    </xf>
    <xf numFmtId="0" fontId="0" fillId="0" borderId="0" xfId="0" applyBorder="1" applyAlignment="1">
      <alignment horizontal="left" wrapText="1"/>
    </xf>
    <xf numFmtId="0" fontId="0" fillId="0" borderId="14" xfId="0" applyBorder="1" applyAlignment="1">
      <alignment horizontal="lef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9" fillId="0" borderId="5" xfId="0" applyFont="1" applyBorder="1" applyAlignment="1">
      <alignment horizontal="right"/>
    </xf>
    <xf numFmtId="0" fontId="17" fillId="0" borderId="0" xfId="0" applyFont="1" applyAlignment="1">
      <alignment horizontal="left" vertical="top"/>
    </xf>
    <xf numFmtId="0" fontId="1" fillId="2" borderId="0" xfId="0" applyFont="1" applyFill="1" applyAlignment="1">
      <alignment vertical="center" wrapText="1"/>
    </xf>
    <xf numFmtId="0" fontId="2" fillId="2" borderId="0" xfId="0" applyFont="1" applyFill="1" applyAlignment="1">
      <alignment vertical="center" wrapText="1"/>
    </xf>
    <xf numFmtId="0" fontId="15" fillId="2" borderId="0" xfId="0" applyFont="1" applyFill="1"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6" fontId="8" fillId="0" borderId="0" xfId="0" applyNumberFormat="1" applyFont="1" applyAlignment="1">
      <alignment horizontal="center" vertical="center" wrapText="1"/>
    </xf>
    <xf numFmtId="6" fontId="8" fillId="0" borderId="0" xfId="0" applyNumberFormat="1" applyFont="1" applyAlignment="1">
      <alignment vertical="center" wrapText="1"/>
    </xf>
    <xf numFmtId="0" fontId="0" fillId="0" borderId="0" xfId="0" quotePrefix="1" applyAlignment="1">
      <alignment vertical="center" wrapText="1"/>
    </xf>
    <xf numFmtId="44" fontId="8" fillId="0" borderId="0" xfId="0" applyNumberFormat="1" applyFont="1" applyAlignment="1">
      <alignment horizontal="center" vertical="center" wrapText="1"/>
    </xf>
    <xf numFmtId="3" fontId="0" fillId="0" borderId="0" xfId="0" applyNumberFormat="1" applyAlignment="1">
      <alignment vertical="center" wrapText="1"/>
    </xf>
    <xf numFmtId="0" fontId="8" fillId="0" borderId="0" xfId="0" applyFont="1" applyAlignment="1">
      <alignment vertical="center" wrapText="1"/>
    </xf>
    <xf numFmtId="44" fontId="8" fillId="0" borderId="0" xfId="1" applyFont="1" applyFill="1" applyBorder="1" applyAlignment="1">
      <alignment vertical="center" wrapText="1"/>
    </xf>
    <xf numFmtId="1" fontId="0" fillId="0" borderId="0" xfId="0" applyNumberFormat="1" applyAlignment="1">
      <alignment vertical="center" wrapText="1"/>
    </xf>
    <xf numFmtId="44" fontId="8" fillId="0" borderId="0" xfId="1" applyFont="1" applyFill="1" applyAlignment="1">
      <alignment vertical="center" wrapText="1"/>
    </xf>
    <xf numFmtId="6" fontId="0" fillId="0" borderId="0" xfId="0" applyNumberFormat="1" applyAlignment="1">
      <alignment vertical="center" wrapText="1"/>
    </xf>
    <xf numFmtId="0" fontId="5" fillId="0" borderId="0" xfId="0" applyFont="1" applyAlignment="1">
      <alignment vertical="center"/>
    </xf>
    <xf numFmtId="0" fontId="14" fillId="0" borderId="0" xfId="0" applyFont="1" applyAlignment="1">
      <alignment vertical="center"/>
    </xf>
    <xf numFmtId="0" fontId="0" fillId="4" borderId="0" xfId="0" applyFill="1" applyBorder="1" applyAlignment="1">
      <alignment horizontal="center" vertical="center" wrapText="1"/>
    </xf>
    <xf numFmtId="0" fontId="0" fillId="4" borderId="0" xfId="0" applyFill="1" applyBorder="1" applyAlignment="1">
      <alignment wrapText="1"/>
    </xf>
    <xf numFmtId="0" fontId="8" fillId="4" borderId="0" xfId="0" applyFont="1" applyFill="1" applyBorder="1" applyAlignment="1">
      <alignment wrapText="1"/>
    </xf>
    <xf numFmtId="0" fontId="17" fillId="0" borderId="0" xfId="0" applyFont="1" applyBorder="1" applyAlignment="1">
      <alignment horizontal="left" vertical="top"/>
    </xf>
    <xf numFmtId="0" fontId="19" fillId="0" borderId="0" xfId="0" applyFont="1" applyAlignment="1">
      <alignment horizontal="center"/>
    </xf>
    <xf numFmtId="0" fontId="18" fillId="0" borderId="0" xfId="0" applyFont="1" applyAlignment="1">
      <alignment horizontal="center" vertical="top"/>
    </xf>
    <xf numFmtId="0" fontId="18" fillId="0" borderId="16" xfId="0" applyFont="1" applyBorder="1" applyAlignment="1">
      <alignment horizontal="center" vertical="top" wrapText="1"/>
    </xf>
  </cellXfs>
  <cellStyles count="4">
    <cellStyle name="Accent4" xfId="3" builtinId="41"/>
    <cellStyle name="Comma" xfId="2" builtinId="3"/>
    <cellStyle name="Currency" xfId="1" builtinId="4"/>
    <cellStyle name="Normal" xfId="0" builtinId="0"/>
  </cellStyles>
  <dxfs count="2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26"/>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60943C"/>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39CD0E-3F74-4BB2-AE3F-F947EB4BDEB3}" name="Table3" displayName="Table3" ref="A3:U30" totalsRowShown="0" headerRowDxfId="22" dataDxfId="0">
  <autoFilter ref="A3:U30" xr:uid="{7339CD0E-3F74-4BB2-AE3F-F947EB4BDEB3}"/>
  <tableColumns count="21">
    <tableColumn id="1" xr3:uid="{2A3BFD8D-1446-4809-A382-8976520318CF}" name="Action Number (see Map)" dataDxfId="21"/>
    <tableColumn id="2" xr3:uid="{EAD9721E-8F7A-4BB6-B0B2-25673FAF559E}" name="Reach/Zone" dataDxfId="20"/>
    <tableColumn id="3" xr3:uid="{B8491F4D-6013-4226-BC86-DD4D4483F0CD}" name="Opportunity/Description" dataDxfId="19"/>
    <tableColumn id="4" xr3:uid="{52BEA7FD-4FE7-446C-89DA-E71C6932F242}" name="RM" dataDxfId="18"/>
    <tableColumn id="5" xr3:uid="{DA0F5C5E-D119-46BF-9F30-C3AFE8B14401}" name="Project Type" dataDxfId="17"/>
    <tableColumn id="6" xr3:uid="{8EA4266D-39A0-436A-8B59-D2C9FDBB5FBE}" name="Next step and time frame" dataDxfId="16"/>
    <tableColumn id="7" xr3:uid="{49CCC901-C440-4E1E-B6C4-6518CE44FABD}" name="Implementation time-frame (near-term (2-3 years), long-term (&gt;3 years))" dataDxfId="15"/>
    <tableColumn id="8" xr3:uid="{60D06066-3CCC-4BB6-9403-93C3FBBF5051}" name="Benefit Time Frame (immediate, short delay, long delay)" dataDxfId="14"/>
    <tableColumn id="9" xr3:uid="{225D85E7-FB97-4080-879A-29A21B119F1A}" name="Rough Opinion of Cost  (2021 dollars)_x000a_Construction" dataDxfId="13"/>
    <tableColumn id="10" xr3:uid="{BABC87A0-669B-436E-A52D-84ABAC5DA48E}" name="Assessment/ Design/ Permitting" dataDxfId="12"/>
    <tableColumn id="11" xr3:uid="{429BBF2F-DC72-4EB9-8101-A3F98DDF5DDA}" name="CLOMR, LOMR, No Rise, Possible Re-map" dataDxfId="11"/>
    <tableColumn id="12" xr3:uid="{D9EED7AB-A89D-484E-B545-26EE8E150A0E}" name="Grand Total" dataDxfId="10"/>
    <tableColumn id="13" xr3:uid="{4CE78C03-0593-4BDF-80C6-AEC9137E7D95}" name="No Rise Permitting Needed? " dataDxfId="9"/>
    <tableColumn id="14" xr3:uid="{69E5327E-E381-4E66-ADD1-18A5FE76C735}" name="Physical Benefits/What problem does this address" dataDxfId="8"/>
    <tableColumn id="15" xr3:uid="{55F992AF-7D4A-4713-A8F2-B4FD54D283C1}" name="Bank length Affected (feet)" dataDxfId="7"/>
    <tableColumn id="16" xr3:uid="{4544DD81-5C63-496F-904B-7829DCF6D51B}" name="Floodplain Area  Affected (acres)" dataDxfId="6"/>
    <tableColumn id="17" xr3:uid="{3DD6BB0C-9B1B-492C-AA05-7ED98C79F6F2}" name="Temperature Benefit (None to High)" dataDxfId="5"/>
    <tableColumn id="18" xr3:uid="{8B7089DB-1355-40F8-AA44-50DEBDCA9F93}" name="Aquatic Habitat Benefit (Low to High)" dataDxfId="4"/>
    <tableColumn id="19" xr3:uid="{EE0B10D8-041B-4703-8003-29D1556385E6}" name="Terrestrial Habitat Benefit (Low to High)" dataDxfId="3"/>
    <tableColumn id="20" xr3:uid="{5ED94F58-5861-4802-A6AD-FD5F9CF39241}" name="How will this action affect climate change resiliency benefits?" dataDxfId="2"/>
    <tableColumn id="21" xr3:uid="{4767D0B6-3052-4F02-BAEB-CA17BB92E2AD}" name="Risks/Issues?" dataDxfId="1"/>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DD65-1C52-48DA-A90A-0B6B4EE94226}">
  <dimension ref="B1:E22"/>
  <sheetViews>
    <sheetView tabSelected="1" workbookViewId="0">
      <selection activeCell="G9" sqref="G9"/>
    </sheetView>
  </sheetViews>
  <sheetFormatPr defaultRowHeight="14.4" x14ac:dyDescent="0.3"/>
  <cols>
    <col min="2" max="2" width="21.33203125" customWidth="1"/>
    <col min="3" max="3" width="15.44140625" bestFit="1" customWidth="1"/>
    <col min="4" max="4" width="28" customWidth="1"/>
    <col min="5" max="5" width="12.33203125" bestFit="1" customWidth="1"/>
  </cols>
  <sheetData>
    <row r="1" spans="2:5" ht="15.6" x14ac:dyDescent="0.3">
      <c r="B1" s="100" t="s">
        <v>385</v>
      </c>
      <c r="C1" s="100"/>
      <c r="D1" s="100"/>
    </row>
    <row r="2" spans="2:5" ht="32.4" customHeight="1" thickBot="1" x14ac:dyDescent="0.35">
      <c r="B2" s="101" t="s">
        <v>388</v>
      </c>
      <c r="C2" s="101"/>
      <c r="D2" s="101"/>
    </row>
    <row r="3" spans="2:5" x14ac:dyDescent="0.3">
      <c r="B3" s="73" t="s">
        <v>0</v>
      </c>
      <c r="C3" s="74"/>
      <c r="D3" s="75"/>
    </row>
    <row r="4" spans="2:5" ht="28.8" x14ac:dyDescent="0.3">
      <c r="B4" s="61" t="s">
        <v>1</v>
      </c>
      <c r="C4" s="62" t="s">
        <v>2</v>
      </c>
      <c r="D4" s="63" t="s">
        <v>383</v>
      </c>
    </row>
    <row r="5" spans="2:5" x14ac:dyDescent="0.3">
      <c r="B5" s="58" t="str">
        <f>Action_Item_Breakdown!B5</f>
        <v>Confluence Reach</v>
      </c>
      <c r="C5" s="59" t="s">
        <v>4</v>
      </c>
      <c r="D5" s="60">
        <f>ROUNDUP(SUMIF(Action_Item_Breakdown!$B$5:$B$27,Summary!B5,Action_Item_Breakdown!$L$5:$L$27),-4)</f>
        <v>6090000</v>
      </c>
      <c r="E5" s="23"/>
    </row>
    <row r="6" spans="2:5" x14ac:dyDescent="0.3">
      <c r="B6" s="48" t="s">
        <v>5</v>
      </c>
      <c r="C6" s="50" t="s">
        <v>6</v>
      </c>
      <c r="D6" s="49">
        <f>ROUNDUP(SUMIF(Action_Item_Breakdown!$B$5:$B$27,Summary!B6,Action_Item_Breakdown!$L$5:$L$27),-4)</f>
        <v>40490000</v>
      </c>
      <c r="E6" s="23"/>
    </row>
    <row r="7" spans="2:5" x14ac:dyDescent="0.3">
      <c r="B7" s="51" t="s">
        <v>7</v>
      </c>
      <c r="C7" s="50" t="s">
        <v>8</v>
      </c>
      <c r="D7" s="49">
        <f>ROUNDUP(SUMIF(Action_Item_Breakdown!$B$5:$B$27,Summary!B7,Action_Item_Breakdown!$L$5:$L$27),-4)</f>
        <v>13430000</v>
      </c>
      <c r="E7" s="23"/>
    </row>
    <row r="8" spans="2:5" x14ac:dyDescent="0.3">
      <c r="B8" s="51" t="s">
        <v>9</v>
      </c>
      <c r="C8" s="50" t="s">
        <v>10</v>
      </c>
      <c r="D8" s="49">
        <f>ROUNDUP(SUMIF(Action_Item_Breakdown!$B$5:$B$27,Summary!B8,Action_Item_Breakdown!$L$5:$L$27),-4)</f>
        <v>16780000</v>
      </c>
      <c r="E8" s="23"/>
    </row>
    <row r="9" spans="2:5" x14ac:dyDescent="0.3">
      <c r="B9" s="55" t="s">
        <v>11</v>
      </c>
      <c r="C9" s="56" t="s">
        <v>12</v>
      </c>
      <c r="D9" s="57">
        <f>ROUNDUP(SUMIF(Action_Item_Breakdown!$B$5:$B$27,Summary!B9,Action_Item_Breakdown!$L$5:$L$27),-4)</f>
        <v>260000</v>
      </c>
    </row>
    <row r="10" spans="2:5" ht="15" thickBot="1" x14ac:dyDescent="0.35">
      <c r="B10" s="52"/>
      <c r="C10" s="53" t="s">
        <v>13</v>
      </c>
      <c r="D10" s="54">
        <f>SUM(D5:D9)</f>
        <v>77050000</v>
      </c>
    </row>
    <row r="12" spans="2:5" ht="15" thickBot="1" x14ac:dyDescent="0.35"/>
    <row r="13" spans="2:5" x14ac:dyDescent="0.3">
      <c r="B13" s="64" t="s">
        <v>379</v>
      </c>
      <c r="C13" s="65"/>
      <c r="D13" s="66"/>
    </row>
    <row r="14" spans="2:5" ht="33.75" customHeight="1" x14ac:dyDescent="0.3">
      <c r="B14" s="67" t="s">
        <v>380</v>
      </c>
      <c r="C14" s="68"/>
      <c r="D14" s="69"/>
    </row>
    <row r="15" spans="2:5" ht="27.75" customHeight="1" x14ac:dyDescent="0.3">
      <c r="B15" s="67" t="s">
        <v>381</v>
      </c>
      <c r="C15" s="68"/>
      <c r="D15" s="69"/>
    </row>
    <row r="16" spans="2:5" ht="62.25" customHeight="1" thickBot="1" x14ac:dyDescent="0.35">
      <c r="B16" s="70" t="s">
        <v>382</v>
      </c>
      <c r="C16" s="71"/>
      <c r="D16" s="72"/>
    </row>
    <row r="18" spans="2:4" x14ac:dyDescent="0.3">
      <c r="B18" s="99" t="s">
        <v>387</v>
      </c>
      <c r="C18" s="99"/>
      <c r="D18" s="99"/>
    </row>
    <row r="21" spans="2:4" ht="23.4" x14ac:dyDescent="0.3">
      <c r="B21" s="77"/>
    </row>
    <row r="22" spans="2:4" ht="23.4" x14ac:dyDescent="0.3">
      <c r="B22" s="98"/>
    </row>
  </sheetData>
  <mergeCells count="7">
    <mergeCell ref="B2:D2"/>
    <mergeCell ref="B1:D1"/>
    <mergeCell ref="B14:D14"/>
    <mergeCell ref="B15:D15"/>
    <mergeCell ref="B16:D16"/>
    <mergeCell ref="B3:D3"/>
    <mergeCell ref="B18:D1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2077-30DE-4CC6-85FF-4C6C202B9F22}">
  <sheetPr>
    <pageSetUpPr fitToPage="1"/>
  </sheetPr>
  <dimension ref="A1:U30"/>
  <sheetViews>
    <sheetView zoomScale="70" zoomScaleNormal="70" workbookViewId="0">
      <pane xSplit="5" ySplit="4" topLeftCell="F5" activePane="bottomRight" state="frozen"/>
      <selection pane="topRight" activeCell="F1" sqref="F1"/>
      <selection pane="bottomLeft" activeCell="A3" sqref="A3"/>
      <selection pane="bottomRight" sqref="A1:A2"/>
    </sheetView>
  </sheetViews>
  <sheetFormatPr defaultColWidth="9.109375" defaultRowHeight="33.6" x14ac:dyDescent="0.3"/>
  <cols>
    <col min="1" max="1" width="14.33203125" style="4" customWidth="1"/>
    <col min="2" max="2" width="26.5546875" style="6" customWidth="1"/>
    <col min="3" max="3" width="59" style="1" customWidth="1"/>
    <col min="4" max="4" width="8.5546875" style="1" customWidth="1"/>
    <col min="5" max="5" width="17.6640625" style="1" customWidth="1"/>
    <col min="6" max="6" width="30.109375" style="1" customWidth="1"/>
    <col min="7" max="7" width="81.77734375" style="1" customWidth="1"/>
    <col min="8" max="8" width="63.77734375" style="1" customWidth="1"/>
    <col min="9" max="9" width="49" style="1" bestFit="1" customWidth="1"/>
    <col min="10" max="10" width="37.6640625" style="12" customWidth="1"/>
    <col min="11" max="11" width="49" style="1" customWidth="1"/>
    <col min="12" max="12" width="30.6640625" style="1" customWidth="1"/>
    <col min="13" max="13" width="34.33203125" style="1" customWidth="1"/>
    <col min="14" max="14" width="57.77734375" style="1" customWidth="1"/>
    <col min="15" max="15" width="32.88671875" style="1" customWidth="1"/>
    <col min="16" max="16" width="39.44140625" style="1" customWidth="1"/>
    <col min="17" max="17" width="41.77734375" style="1" customWidth="1"/>
    <col min="18" max="18" width="43.6640625" style="1" customWidth="1"/>
    <col min="19" max="19" width="48.33203125" style="1" customWidth="1"/>
    <col min="20" max="20" width="70.44140625" style="1" customWidth="1"/>
    <col min="21" max="21" width="42.109375" style="1" customWidth="1"/>
    <col min="22" max="16384" width="9.109375" style="1"/>
  </cols>
  <sheetData>
    <row r="1" spans="1:21" ht="23.4" x14ac:dyDescent="0.3">
      <c r="A1" s="77" t="s">
        <v>385</v>
      </c>
      <c r="B1" s="95"/>
      <c r="C1" s="96"/>
      <c r="D1" s="96"/>
      <c r="E1" s="96"/>
      <c r="F1" s="96"/>
      <c r="G1" s="96"/>
      <c r="H1" s="96"/>
      <c r="I1" s="96"/>
      <c r="J1" s="97"/>
      <c r="K1" s="96"/>
      <c r="L1" s="96"/>
      <c r="M1" s="96"/>
      <c r="N1" s="96"/>
      <c r="O1" s="96"/>
      <c r="P1" s="96"/>
      <c r="Q1" s="96"/>
      <c r="R1" s="96"/>
      <c r="S1" s="96"/>
      <c r="T1" s="96"/>
      <c r="U1" s="96"/>
    </row>
    <row r="2" spans="1:21" ht="23.4" x14ac:dyDescent="0.3">
      <c r="A2" s="98" t="s">
        <v>386</v>
      </c>
      <c r="B2" s="95"/>
      <c r="C2" s="96"/>
      <c r="D2" s="96"/>
      <c r="E2" s="96"/>
      <c r="F2" s="96"/>
      <c r="G2" s="96"/>
      <c r="H2" s="96"/>
      <c r="I2" s="96"/>
      <c r="J2" s="97"/>
      <c r="K2" s="96"/>
      <c r="L2" s="96"/>
      <c r="M2" s="96"/>
      <c r="N2" s="96"/>
      <c r="O2" s="96"/>
      <c r="P2" s="96"/>
      <c r="Q2" s="96"/>
      <c r="R2" s="96"/>
      <c r="S2" s="96"/>
      <c r="T2" s="96"/>
      <c r="U2" s="96"/>
    </row>
    <row r="3" spans="1:21" s="2" customFormat="1" ht="43.8" customHeight="1" x14ac:dyDescent="0.3">
      <c r="A3" s="7" t="s">
        <v>384</v>
      </c>
      <c r="B3" s="2" t="s">
        <v>14</v>
      </c>
      <c r="C3" s="2" t="s">
        <v>15</v>
      </c>
      <c r="D3" s="2" t="s">
        <v>16</v>
      </c>
      <c r="E3" s="7" t="s">
        <v>17</v>
      </c>
      <c r="F3" s="2" t="s">
        <v>18</v>
      </c>
      <c r="G3" s="2" t="s">
        <v>19</v>
      </c>
      <c r="H3" s="2" t="s">
        <v>20</v>
      </c>
      <c r="I3" s="2" t="s">
        <v>21</v>
      </c>
      <c r="J3" s="42" t="s">
        <v>22</v>
      </c>
      <c r="K3" s="2" t="s">
        <v>23</v>
      </c>
      <c r="L3" s="2" t="s">
        <v>3</v>
      </c>
      <c r="M3" s="2" t="s">
        <v>24</v>
      </c>
      <c r="N3" s="2" t="s">
        <v>25</v>
      </c>
      <c r="O3" s="2" t="s">
        <v>26</v>
      </c>
      <c r="P3" s="2" t="s">
        <v>27</v>
      </c>
      <c r="Q3" s="2" t="s">
        <v>28</v>
      </c>
      <c r="R3" s="2" t="s">
        <v>29</v>
      </c>
      <c r="S3" s="2" t="s">
        <v>30</v>
      </c>
      <c r="T3" s="2" t="s">
        <v>31</v>
      </c>
      <c r="U3" s="2" t="s">
        <v>32</v>
      </c>
    </row>
    <row r="4" spans="1:21" s="81" customFormat="1" ht="120" x14ac:dyDescent="0.3">
      <c r="A4" s="3"/>
      <c r="B4" s="5"/>
      <c r="C4" s="78"/>
      <c r="D4" s="78"/>
      <c r="E4" s="78"/>
      <c r="F4" s="78"/>
      <c r="G4" s="78"/>
      <c r="H4" s="78"/>
      <c r="I4" s="79" t="s">
        <v>33</v>
      </c>
      <c r="J4" s="80" t="s">
        <v>34</v>
      </c>
      <c r="K4" s="79" t="s">
        <v>35</v>
      </c>
      <c r="L4" s="79"/>
      <c r="M4" s="79"/>
      <c r="N4" s="78"/>
      <c r="O4" s="78"/>
      <c r="P4" s="78"/>
      <c r="Q4" s="79" t="s">
        <v>36</v>
      </c>
      <c r="R4" s="79" t="s">
        <v>37</v>
      </c>
      <c r="S4" s="79" t="s">
        <v>38</v>
      </c>
      <c r="T4" s="79" t="s">
        <v>39</v>
      </c>
      <c r="U4" s="79"/>
    </row>
    <row r="5" spans="1:21" s="82" customFormat="1" ht="115.2" x14ac:dyDescent="0.3">
      <c r="A5" s="4">
        <v>1</v>
      </c>
      <c r="B5" s="6" t="s">
        <v>40</v>
      </c>
      <c r="C5" s="82" t="s">
        <v>41</v>
      </c>
      <c r="E5" s="82" t="s">
        <v>42</v>
      </c>
      <c r="F5" s="82" t="s">
        <v>43</v>
      </c>
      <c r="G5" s="82" t="s">
        <v>44</v>
      </c>
      <c r="H5" s="82" t="s">
        <v>45</v>
      </c>
      <c r="I5" s="83" t="s">
        <v>46</v>
      </c>
      <c r="J5" s="84">
        <v>150000</v>
      </c>
      <c r="K5" s="83" t="str">
        <f>IF(M5="Yes",I5*0.05,"N/A")</f>
        <v>N/A</v>
      </c>
      <c r="L5" s="83">
        <f t="shared" ref="L5:L27" si="0">SUM(I5:K5)</f>
        <v>150000</v>
      </c>
      <c r="M5" s="83" t="s">
        <v>46</v>
      </c>
      <c r="N5" s="82" t="s">
        <v>47</v>
      </c>
      <c r="O5" s="82" t="s">
        <v>48</v>
      </c>
      <c r="P5" s="82">
        <v>800</v>
      </c>
      <c r="Q5" s="82" t="s">
        <v>49</v>
      </c>
      <c r="R5" s="82" t="s">
        <v>50</v>
      </c>
      <c r="S5" s="82" t="s">
        <v>51</v>
      </c>
      <c r="T5" s="85" t="s">
        <v>52</v>
      </c>
      <c r="U5" s="82" t="s">
        <v>53</v>
      </c>
    </row>
    <row r="6" spans="1:21" s="82" customFormat="1" ht="43.2" x14ac:dyDescent="0.3">
      <c r="A6" s="4" t="s">
        <v>54</v>
      </c>
      <c r="B6" s="6" t="s">
        <v>40</v>
      </c>
      <c r="C6" s="82" t="s">
        <v>55</v>
      </c>
      <c r="D6" s="82" t="s">
        <v>56</v>
      </c>
      <c r="E6" s="82" t="s">
        <v>57</v>
      </c>
      <c r="F6" s="82" t="s">
        <v>58</v>
      </c>
      <c r="G6" s="82" t="s">
        <v>59</v>
      </c>
      <c r="H6" s="82" t="s">
        <v>60</v>
      </c>
      <c r="I6" s="86">
        <f>ROUNDUP(SUM('detailed construction estimate'!K4:K6),-4)</f>
        <v>180000</v>
      </c>
      <c r="J6" s="84">
        <f t="shared" ref="J6:J10" si="1">0.3*I6</f>
        <v>54000</v>
      </c>
      <c r="K6" s="83">
        <f t="shared" ref="K6:K11" si="2">IF(M6="Yes",I6*0.05,"N/A")</f>
        <v>9000</v>
      </c>
      <c r="L6" s="83">
        <f t="shared" si="0"/>
        <v>243000</v>
      </c>
      <c r="M6" s="84" t="s">
        <v>61</v>
      </c>
      <c r="N6" s="82" t="s">
        <v>62</v>
      </c>
      <c r="O6" s="82" t="s">
        <v>63</v>
      </c>
      <c r="P6" s="82" t="s">
        <v>64</v>
      </c>
      <c r="Q6" s="82" t="s">
        <v>65</v>
      </c>
      <c r="R6" s="82" t="s">
        <v>66</v>
      </c>
      <c r="S6" s="82" t="s">
        <v>67</v>
      </c>
      <c r="U6" s="82" t="s">
        <v>68</v>
      </c>
    </row>
    <row r="7" spans="1:21" s="82" customFormat="1" ht="57.6" x14ac:dyDescent="0.3">
      <c r="A7" s="4">
        <v>3</v>
      </c>
      <c r="B7" s="6" t="s">
        <v>40</v>
      </c>
      <c r="C7" s="82" t="s">
        <v>78</v>
      </c>
      <c r="D7" s="82" t="s">
        <v>56</v>
      </c>
      <c r="E7" s="82" t="s">
        <v>79</v>
      </c>
      <c r="F7" s="82" t="s">
        <v>80</v>
      </c>
      <c r="G7" s="82" t="s">
        <v>59</v>
      </c>
      <c r="H7" s="82" t="s">
        <v>81</v>
      </c>
      <c r="I7" s="86">
        <f>ROUNDUP(SUM('detailed construction estimate'!K8:K9),-4)</f>
        <v>270000</v>
      </c>
      <c r="J7" s="84">
        <f t="shared" si="1"/>
        <v>81000</v>
      </c>
      <c r="K7" s="83">
        <f t="shared" si="2"/>
        <v>13500</v>
      </c>
      <c r="L7" s="83">
        <f t="shared" si="0"/>
        <v>364500</v>
      </c>
      <c r="M7" s="84" t="s">
        <v>61</v>
      </c>
      <c r="N7" s="82" t="s">
        <v>82</v>
      </c>
      <c r="O7" s="82" t="s">
        <v>83</v>
      </c>
      <c r="P7" s="82" t="s">
        <v>46</v>
      </c>
      <c r="Q7" s="82" t="s">
        <v>84</v>
      </c>
      <c r="R7" s="82" t="s">
        <v>85</v>
      </c>
      <c r="S7" s="82" t="s">
        <v>65</v>
      </c>
      <c r="T7" s="82" t="s">
        <v>86</v>
      </c>
      <c r="U7" s="82" t="s">
        <v>87</v>
      </c>
    </row>
    <row r="8" spans="1:21" s="82" customFormat="1" ht="115.2" x14ac:dyDescent="0.3">
      <c r="A8" s="4">
        <v>4</v>
      </c>
      <c r="B8" s="6" t="s">
        <v>40</v>
      </c>
      <c r="C8" s="82" t="s">
        <v>88</v>
      </c>
      <c r="D8" s="82" t="s">
        <v>89</v>
      </c>
      <c r="E8" s="82" t="s">
        <v>90</v>
      </c>
      <c r="F8" s="82" t="s">
        <v>91</v>
      </c>
      <c r="G8" s="82" t="s">
        <v>92</v>
      </c>
      <c r="H8" s="82" t="s">
        <v>93</v>
      </c>
      <c r="I8" s="86">
        <f>ROUNDUP(SUM('detailed construction estimate'!K10),-4)</f>
        <v>1270000</v>
      </c>
      <c r="J8" s="84">
        <f t="shared" si="1"/>
        <v>381000</v>
      </c>
      <c r="K8" s="83">
        <f t="shared" si="2"/>
        <v>63500</v>
      </c>
      <c r="L8" s="83">
        <f t="shared" si="0"/>
        <v>1714500</v>
      </c>
      <c r="M8" s="84" t="s">
        <v>61</v>
      </c>
      <c r="N8" s="82" t="s">
        <v>94</v>
      </c>
      <c r="O8" s="87">
        <v>13000</v>
      </c>
      <c r="P8" s="82" t="s">
        <v>95</v>
      </c>
      <c r="Q8" s="82" t="s">
        <v>96</v>
      </c>
      <c r="R8" s="82" t="s">
        <v>97</v>
      </c>
      <c r="S8" s="82" t="s">
        <v>51</v>
      </c>
      <c r="T8" s="85" t="s">
        <v>98</v>
      </c>
      <c r="U8" s="82" t="s">
        <v>99</v>
      </c>
    </row>
    <row r="9" spans="1:21" s="82" customFormat="1" ht="57.6" x14ac:dyDescent="0.3">
      <c r="A9" s="4">
        <v>5</v>
      </c>
      <c r="B9" s="6" t="s">
        <v>40</v>
      </c>
      <c r="C9" s="82" t="s">
        <v>100</v>
      </c>
      <c r="D9" s="82" t="s">
        <v>71</v>
      </c>
      <c r="E9" s="82" t="s">
        <v>79</v>
      </c>
      <c r="F9" s="82" t="s">
        <v>91</v>
      </c>
      <c r="G9" s="82" t="s">
        <v>101</v>
      </c>
      <c r="H9" s="82" t="s">
        <v>102</v>
      </c>
      <c r="I9" s="86">
        <f>ROUNDUP(SUM('detailed construction estimate'!K11),-4)</f>
        <v>310000</v>
      </c>
      <c r="J9" s="84">
        <f t="shared" si="1"/>
        <v>93000</v>
      </c>
      <c r="K9" s="83">
        <f t="shared" si="2"/>
        <v>15500</v>
      </c>
      <c r="L9" s="83">
        <f t="shared" si="0"/>
        <v>418500</v>
      </c>
      <c r="M9" s="84" t="s">
        <v>61</v>
      </c>
      <c r="N9" s="82" t="s">
        <v>103</v>
      </c>
      <c r="O9" s="87">
        <v>2800</v>
      </c>
      <c r="P9" s="82">
        <v>8.5</v>
      </c>
      <c r="Q9" s="82" t="s">
        <v>104</v>
      </c>
      <c r="R9" s="82" t="s">
        <v>97</v>
      </c>
      <c r="S9" s="82" t="s">
        <v>105</v>
      </c>
      <c r="T9" s="85" t="s">
        <v>106</v>
      </c>
      <c r="U9" s="82" t="s">
        <v>107</v>
      </c>
    </row>
    <row r="10" spans="1:21" s="82" customFormat="1" ht="115.2" x14ac:dyDescent="0.3">
      <c r="A10" s="4">
        <v>6</v>
      </c>
      <c r="B10" s="6" t="s">
        <v>40</v>
      </c>
      <c r="C10" s="82" t="s">
        <v>108</v>
      </c>
      <c r="D10" s="82" t="s">
        <v>109</v>
      </c>
      <c r="E10" s="82" t="s">
        <v>110</v>
      </c>
      <c r="F10" s="82" t="s">
        <v>111</v>
      </c>
      <c r="G10" s="82" t="s">
        <v>112</v>
      </c>
      <c r="H10" s="82" t="s">
        <v>113</v>
      </c>
      <c r="I10" s="86">
        <f>ROUNDUP(SUM('detailed construction estimate'!K12:K14),-4)</f>
        <v>2390000</v>
      </c>
      <c r="J10" s="84">
        <f t="shared" si="1"/>
        <v>717000</v>
      </c>
      <c r="K10" s="83" t="str">
        <f t="shared" si="2"/>
        <v>N/A</v>
      </c>
      <c r="L10" s="83">
        <f t="shared" si="0"/>
        <v>3107000</v>
      </c>
      <c r="M10" s="88" t="s">
        <v>46</v>
      </c>
      <c r="N10" s="82" t="s">
        <v>114</v>
      </c>
      <c r="O10" s="87">
        <v>10000</v>
      </c>
      <c r="P10" s="82" t="s">
        <v>115</v>
      </c>
      <c r="Q10" s="82" t="s">
        <v>116</v>
      </c>
      <c r="R10" s="82" t="s">
        <v>97</v>
      </c>
      <c r="S10" s="82" t="s">
        <v>117</v>
      </c>
      <c r="T10" s="85" t="s">
        <v>118</v>
      </c>
      <c r="U10" s="82" t="s">
        <v>46</v>
      </c>
    </row>
    <row r="11" spans="1:21" s="82" customFormat="1" ht="57.6" x14ac:dyDescent="0.3">
      <c r="A11" s="4">
        <v>7</v>
      </c>
      <c r="B11" s="6" t="s">
        <v>40</v>
      </c>
      <c r="C11" s="82" t="s">
        <v>119</v>
      </c>
      <c r="D11" s="82" t="s">
        <v>120</v>
      </c>
      <c r="E11" s="82" t="s">
        <v>110</v>
      </c>
      <c r="F11" s="82" t="s">
        <v>121</v>
      </c>
      <c r="G11" s="82" t="s">
        <v>122</v>
      </c>
      <c r="H11" s="82" t="s">
        <v>123</v>
      </c>
      <c r="I11" s="88" t="s">
        <v>46</v>
      </c>
      <c r="J11" s="88">
        <v>90000</v>
      </c>
      <c r="K11" s="83" t="str">
        <f t="shared" si="2"/>
        <v>N/A</v>
      </c>
      <c r="L11" s="83">
        <f t="shared" si="0"/>
        <v>90000</v>
      </c>
      <c r="M11" s="88" t="s">
        <v>46</v>
      </c>
      <c r="N11" s="82" t="s">
        <v>124</v>
      </c>
      <c r="O11" s="82" t="s">
        <v>125</v>
      </c>
      <c r="P11" s="87" t="s">
        <v>126</v>
      </c>
      <c r="Q11" s="82" t="s">
        <v>127</v>
      </c>
      <c r="R11" s="82" t="s">
        <v>128</v>
      </c>
      <c r="S11" s="82" t="s">
        <v>129</v>
      </c>
      <c r="T11" s="85" t="s">
        <v>130</v>
      </c>
    </row>
    <row r="12" spans="1:21" s="82" customFormat="1" ht="43.2" x14ac:dyDescent="0.3">
      <c r="A12" s="4" t="s">
        <v>69</v>
      </c>
      <c r="B12" s="6" t="s">
        <v>5</v>
      </c>
      <c r="C12" s="82" t="s">
        <v>70</v>
      </c>
      <c r="D12" s="82" t="s">
        <v>71</v>
      </c>
      <c r="E12" s="82" t="s">
        <v>42</v>
      </c>
      <c r="F12" s="82" t="s">
        <v>58</v>
      </c>
      <c r="G12" s="82" t="s">
        <v>59</v>
      </c>
      <c r="H12" s="82" t="s">
        <v>72</v>
      </c>
      <c r="I12" s="86">
        <f>ROUNDUP(SUM('detailed construction estimate'!K7),-4)</f>
        <v>60000</v>
      </c>
      <c r="J12" s="84">
        <f>0.3*I12</f>
        <v>18000</v>
      </c>
      <c r="K12" s="83">
        <f>IF(M12="Yes",I12*0.05,"N/A")</f>
        <v>3000</v>
      </c>
      <c r="L12" s="83">
        <f>SUM(I12:K12)</f>
        <v>81000</v>
      </c>
      <c r="M12" s="84" t="s">
        <v>61</v>
      </c>
      <c r="N12" s="82" t="s">
        <v>73</v>
      </c>
      <c r="O12" s="87">
        <v>1000</v>
      </c>
      <c r="P12" s="82" t="s">
        <v>74</v>
      </c>
      <c r="Q12" s="82" t="s">
        <v>65</v>
      </c>
      <c r="R12" s="82" t="s">
        <v>75</v>
      </c>
      <c r="S12" s="82" t="s">
        <v>67</v>
      </c>
      <c r="T12" s="85" t="s">
        <v>76</v>
      </c>
      <c r="U12" s="82" t="s">
        <v>77</v>
      </c>
    </row>
    <row r="13" spans="1:21" s="82" customFormat="1" ht="201.6" x14ac:dyDescent="0.3">
      <c r="A13" s="4">
        <v>8</v>
      </c>
      <c r="B13" s="6" t="s">
        <v>5</v>
      </c>
      <c r="C13" s="82" t="s">
        <v>131</v>
      </c>
      <c r="D13" s="82" t="s">
        <v>132</v>
      </c>
      <c r="E13" s="82" t="s">
        <v>133</v>
      </c>
      <c r="F13" s="82" t="s">
        <v>134</v>
      </c>
      <c r="G13" s="82" t="s">
        <v>135</v>
      </c>
      <c r="H13" s="82" t="s">
        <v>136</v>
      </c>
      <c r="I13" s="86">
        <f>ROUNDUP(SUM('detailed construction estimate'!K15:K21),-4)</f>
        <v>25980000</v>
      </c>
      <c r="J13" s="84">
        <f t="shared" ref="J13:J18" si="3">0.3*I13</f>
        <v>7794000</v>
      </c>
      <c r="K13" s="83">
        <f>IF(M13="Yes",I13*0.01,"N/A")</f>
        <v>259800</v>
      </c>
      <c r="L13" s="83">
        <f t="shared" si="0"/>
        <v>34033800</v>
      </c>
      <c r="M13" s="88" t="s">
        <v>61</v>
      </c>
      <c r="N13" s="82" t="s">
        <v>137</v>
      </c>
      <c r="O13" s="87">
        <v>5100</v>
      </c>
      <c r="P13" s="82">
        <v>300</v>
      </c>
      <c r="Q13" s="82" t="s">
        <v>138</v>
      </c>
      <c r="R13" s="82" t="s">
        <v>139</v>
      </c>
      <c r="S13" s="82" t="s">
        <v>140</v>
      </c>
      <c r="T13" s="85" t="s">
        <v>141</v>
      </c>
      <c r="U13" s="82" t="s">
        <v>142</v>
      </c>
    </row>
    <row r="14" spans="1:21" s="82" customFormat="1" ht="72" customHeight="1" x14ac:dyDescent="0.3">
      <c r="A14" s="4">
        <v>9</v>
      </c>
      <c r="B14" s="6" t="s">
        <v>5</v>
      </c>
      <c r="C14" s="82" t="s">
        <v>143</v>
      </c>
      <c r="E14" s="82" t="s">
        <v>110</v>
      </c>
      <c r="F14" s="82" t="s">
        <v>144</v>
      </c>
      <c r="G14" s="82" t="s">
        <v>145</v>
      </c>
      <c r="H14" s="82" t="s">
        <v>146</v>
      </c>
      <c r="I14" s="86">
        <f>ROUNDUP(SUM('detailed construction estimate'!K22:K23),-4)</f>
        <v>4750000</v>
      </c>
      <c r="J14" s="84">
        <f t="shared" si="3"/>
        <v>1425000</v>
      </c>
      <c r="K14" s="83" t="str">
        <f>IF(M14="Yes",I14*0.05,"N/A")</f>
        <v>N/A</v>
      </c>
      <c r="L14" s="83">
        <f t="shared" si="0"/>
        <v>6175000</v>
      </c>
      <c r="M14" s="89" t="s">
        <v>147</v>
      </c>
      <c r="N14" s="82" t="s">
        <v>148</v>
      </c>
      <c r="O14" s="82" t="s">
        <v>149</v>
      </c>
      <c r="P14" s="90" t="s">
        <v>150</v>
      </c>
      <c r="Q14" s="82" t="s">
        <v>151</v>
      </c>
      <c r="R14" s="82" t="s">
        <v>65</v>
      </c>
      <c r="S14" s="82" t="s">
        <v>152</v>
      </c>
      <c r="T14" s="85" t="s">
        <v>153</v>
      </c>
      <c r="U14" s="82" t="s">
        <v>154</v>
      </c>
    </row>
    <row r="15" spans="1:21" s="82" customFormat="1" ht="58.2" customHeight="1" x14ac:dyDescent="0.3">
      <c r="A15" s="4">
        <v>10</v>
      </c>
      <c r="B15" s="6" t="s">
        <v>5</v>
      </c>
      <c r="C15" s="82" t="s">
        <v>155</v>
      </c>
      <c r="E15" s="82" t="s">
        <v>110</v>
      </c>
      <c r="F15" s="82" t="s">
        <v>156</v>
      </c>
      <c r="G15" s="82" t="s">
        <v>157</v>
      </c>
      <c r="H15" s="82" t="s">
        <v>158</v>
      </c>
      <c r="I15" s="86">
        <f>ROUNDUP(SUM('detailed construction estimate'!K24:K29),-4)</f>
        <v>150000</v>
      </c>
      <c r="J15" s="84">
        <f t="shared" si="3"/>
        <v>45000</v>
      </c>
      <c r="K15" s="83" t="str">
        <f t="shared" ref="K15" si="4">IF(M15="Yes",I15*0.05,"N/A")</f>
        <v>N/A</v>
      </c>
      <c r="L15" s="83">
        <f t="shared" si="0"/>
        <v>195000</v>
      </c>
      <c r="M15" s="89" t="s">
        <v>147</v>
      </c>
      <c r="N15" s="82" t="s">
        <v>159</v>
      </c>
      <c r="O15" s="82" t="s">
        <v>160</v>
      </c>
      <c r="P15" s="90" t="s">
        <v>161</v>
      </c>
      <c r="Q15" s="82" t="s">
        <v>162</v>
      </c>
      <c r="R15" s="82" t="s">
        <v>162</v>
      </c>
      <c r="S15" s="82" t="s">
        <v>163</v>
      </c>
      <c r="T15" s="85" t="s">
        <v>164</v>
      </c>
    </row>
    <row r="16" spans="1:21" s="82" customFormat="1" ht="86.4" customHeight="1" x14ac:dyDescent="0.3">
      <c r="A16" s="4">
        <v>11</v>
      </c>
      <c r="B16" s="6" t="s">
        <v>7</v>
      </c>
      <c r="C16" s="82" t="s">
        <v>165</v>
      </c>
      <c r="D16" s="82" t="s">
        <v>166</v>
      </c>
      <c r="E16" s="82" t="s">
        <v>133</v>
      </c>
      <c r="F16" s="82" t="s">
        <v>167</v>
      </c>
      <c r="G16" s="82" t="s">
        <v>59</v>
      </c>
      <c r="H16" s="82" t="s">
        <v>168</v>
      </c>
      <c r="I16" s="86">
        <f>ROUNDUP(SUM('detailed construction estimate'!K30),-4)</f>
        <v>5800000</v>
      </c>
      <c r="J16" s="84">
        <f t="shared" si="3"/>
        <v>1740000</v>
      </c>
      <c r="K16" s="83">
        <f>IF(M16="Yes",I16*0.02,"N/A")</f>
        <v>116000</v>
      </c>
      <c r="L16" s="83">
        <f t="shared" si="0"/>
        <v>7656000</v>
      </c>
      <c r="M16" s="88" t="s">
        <v>61</v>
      </c>
      <c r="N16" s="82" t="s">
        <v>169</v>
      </c>
      <c r="O16" s="87">
        <v>4000</v>
      </c>
      <c r="P16" s="82" t="s">
        <v>46</v>
      </c>
      <c r="Q16" s="82" t="s">
        <v>170</v>
      </c>
      <c r="R16" s="82" t="s">
        <v>171</v>
      </c>
      <c r="S16" s="82" t="s">
        <v>172</v>
      </c>
      <c r="T16" s="85" t="s">
        <v>173</v>
      </c>
      <c r="U16" s="82" t="s">
        <v>174</v>
      </c>
    </row>
    <row r="17" spans="1:21" s="82" customFormat="1" ht="100.8" x14ac:dyDescent="0.3">
      <c r="A17" s="4">
        <v>12</v>
      </c>
      <c r="B17" s="6" t="s">
        <v>7</v>
      </c>
      <c r="C17" s="82" t="s">
        <v>175</v>
      </c>
      <c r="D17" s="82" t="s">
        <v>176</v>
      </c>
      <c r="E17" s="82" t="s">
        <v>79</v>
      </c>
      <c r="F17" s="82" t="s">
        <v>91</v>
      </c>
      <c r="G17" s="82" t="s">
        <v>59</v>
      </c>
      <c r="H17" s="82" t="s">
        <v>102</v>
      </c>
      <c r="I17" s="86">
        <f>ROUNDUP(SUM('detailed construction estimate'!K31:K34),-4)</f>
        <v>660000</v>
      </c>
      <c r="J17" s="84">
        <f t="shared" si="3"/>
        <v>198000</v>
      </c>
      <c r="K17" s="83">
        <f>IF(M17="Yes",I17*0.05,"N/A")</f>
        <v>33000</v>
      </c>
      <c r="L17" s="83">
        <f t="shared" si="0"/>
        <v>891000</v>
      </c>
      <c r="M17" s="88" t="s">
        <v>61</v>
      </c>
      <c r="N17" s="82" t="s">
        <v>177</v>
      </c>
      <c r="O17" s="87">
        <v>1200</v>
      </c>
      <c r="P17" s="82">
        <v>2</v>
      </c>
      <c r="Q17" s="82" t="s">
        <v>178</v>
      </c>
      <c r="R17" s="82" t="s">
        <v>179</v>
      </c>
      <c r="S17" s="82" t="s">
        <v>180</v>
      </c>
      <c r="T17" s="85" t="s">
        <v>181</v>
      </c>
      <c r="U17" s="82" t="s">
        <v>182</v>
      </c>
    </row>
    <row r="18" spans="1:21" s="82" customFormat="1" ht="86.4" x14ac:dyDescent="0.3">
      <c r="A18" s="4">
        <v>13</v>
      </c>
      <c r="B18" s="6" t="s">
        <v>7</v>
      </c>
      <c r="C18" s="82" t="s">
        <v>183</v>
      </c>
      <c r="D18" s="82" t="s">
        <v>184</v>
      </c>
      <c r="E18" s="82" t="s">
        <v>110</v>
      </c>
      <c r="F18" s="82" t="s">
        <v>185</v>
      </c>
      <c r="G18" s="82" t="s">
        <v>186</v>
      </c>
      <c r="H18" s="82" t="s">
        <v>187</v>
      </c>
      <c r="I18" s="86">
        <f>ROUNDUP(SUM('detailed construction estimate'!K35:K37),-4)</f>
        <v>3750000</v>
      </c>
      <c r="J18" s="84">
        <f t="shared" si="3"/>
        <v>1125000</v>
      </c>
      <c r="K18" s="83" t="str">
        <f t="shared" ref="K18:K27" si="5">IF(M18="Yes",I18*0.05,"N/A")</f>
        <v>N/A</v>
      </c>
      <c r="L18" s="83">
        <f t="shared" si="0"/>
        <v>4875000</v>
      </c>
      <c r="M18" s="88" t="s">
        <v>147</v>
      </c>
      <c r="N18" s="82" t="s">
        <v>148</v>
      </c>
      <c r="P18" s="90" t="str">
        <f>ROUND(((79205250+12393860)/43560/2),-1)&amp;" Acres"</f>
        <v>1050 Acres</v>
      </c>
      <c r="Q18" s="82" t="s">
        <v>151</v>
      </c>
      <c r="R18" s="82" t="s">
        <v>65</v>
      </c>
      <c r="S18" s="82" t="s">
        <v>152</v>
      </c>
      <c r="T18" s="85" t="s">
        <v>188</v>
      </c>
      <c r="U18" s="82" t="s">
        <v>189</v>
      </c>
    </row>
    <row r="19" spans="1:21" s="82" customFormat="1" ht="101.4" customHeight="1" x14ac:dyDescent="0.3">
      <c r="A19" s="4">
        <v>14</v>
      </c>
      <c r="B19" s="6" t="s">
        <v>7</v>
      </c>
      <c r="C19" s="82" t="s">
        <v>190</v>
      </c>
      <c r="D19" s="82" t="s">
        <v>191</v>
      </c>
      <c r="E19" s="82" t="s">
        <v>192</v>
      </c>
      <c r="F19" s="82" t="s">
        <v>193</v>
      </c>
      <c r="H19" s="82" t="s">
        <v>194</v>
      </c>
      <c r="I19" s="88" t="s">
        <v>46</v>
      </c>
      <c r="J19" s="88" t="s">
        <v>195</v>
      </c>
      <c r="K19" s="83" t="str">
        <f t="shared" si="5"/>
        <v>N/A</v>
      </c>
      <c r="L19" s="83">
        <f t="shared" si="0"/>
        <v>0</v>
      </c>
      <c r="M19" s="88" t="s">
        <v>46</v>
      </c>
      <c r="N19" s="82" t="s">
        <v>196</v>
      </c>
      <c r="O19" s="82">
        <v>12000</v>
      </c>
      <c r="P19" s="90">
        <v>430</v>
      </c>
      <c r="Q19" s="82" t="s">
        <v>197</v>
      </c>
      <c r="R19" s="82" t="s">
        <v>198</v>
      </c>
      <c r="S19" s="82" t="s">
        <v>199</v>
      </c>
      <c r="T19" s="85" t="s">
        <v>200</v>
      </c>
    </row>
    <row r="20" spans="1:21" s="82" customFormat="1" ht="43.2" x14ac:dyDescent="0.3">
      <c r="A20" s="4">
        <v>15</v>
      </c>
      <c r="B20" s="6" t="s">
        <v>7</v>
      </c>
      <c r="C20" s="82" t="s">
        <v>201</v>
      </c>
      <c r="E20" s="82" t="s">
        <v>202</v>
      </c>
      <c r="F20" s="82" t="s">
        <v>203</v>
      </c>
      <c r="G20" s="82" t="s">
        <v>122</v>
      </c>
      <c r="H20" s="82" t="s">
        <v>60</v>
      </c>
      <c r="I20" s="88" t="s">
        <v>46</v>
      </c>
      <c r="J20" s="88" t="s">
        <v>204</v>
      </c>
      <c r="K20" s="83" t="str">
        <f t="shared" si="5"/>
        <v>N/A</v>
      </c>
      <c r="L20" s="83">
        <f t="shared" si="0"/>
        <v>0</v>
      </c>
      <c r="M20" s="88" t="s">
        <v>46</v>
      </c>
      <c r="N20" s="82" t="s">
        <v>205</v>
      </c>
      <c r="O20" s="82" t="s">
        <v>46</v>
      </c>
      <c r="P20" s="90" t="s">
        <v>46</v>
      </c>
      <c r="Q20" s="82" t="s">
        <v>46</v>
      </c>
      <c r="R20" s="82" t="s">
        <v>46</v>
      </c>
      <c r="S20" s="82" t="s">
        <v>46</v>
      </c>
      <c r="T20" s="85" t="s">
        <v>46</v>
      </c>
      <c r="U20" s="82" t="s">
        <v>206</v>
      </c>
    </row>
    <row r="21" spans="1:21" s="82" customFormat="1" ht="103.8" customHeight="1" x14ac:dyDescent="0.3">
      <c r="A21" s="4">
        <v>16</v>
      </c>
      <c r="B21" s="6" t="s">
        <v>9</v>
      </c>
      <c r="C21" s="82" t="s">
        <v>207</v>
      </c>
      <c r="D21" s="82" t="s">
        <v>46</v>
      </c>
      <c r="E21" s="82" t="s">
        <v>208</v>
      </c>
      <c r="F21" s="82" t="s">
        <v>209</v>
      </c>
      <c r="G21" s="82" t="s">
        <v>210</v>
      </c>
      <c r="H21" s="82" t="s">
        <v>211</v>
      </c>
      <c r="I21" s="88" t="s">
        <v>46</v>
      </c>
      <c r="J21" s="88">
        <v>80000</v>
      </c>
      <c r="K21" s="83" t="str">
        <f t="shared" si="5"/>
        <v>N/A</v>
      </c>
      <c r="L21" s="83">
        <f t="shared" si="0"/>
        <v>80000</v>
      </c>
      <c r="M21" s="88" t="s">
        <v>46</v>
      </c>
      <c r="N21" s="82" t="s">
        <v>212</v>
      </c>
      <c r="O21" s="82" t="s">
        <v>213</v>
      </c>
      <c r="P21" s="82" t="s">
        <v>213</v>
      </c>
      <c r="Q21" s="82" t="s">
        <v>214</v>
      </c>
      <c r="R21" s="82" t="s">
        <v>151</v>
      </c>
      <c r="S21" s="82" t="s">
        <v>215</v>
      </c>
      <c r="T21" s="85" t="s">
        <v>216</v>
      </c>
      <c r="U21" s="82" t="s">
        <v>217</v>
      </c>
    </row>
    <row r="22" spans="1:21" s="82" customFormat="1" ht="78" customHeight="1" x14ac:dyDescent="0.3">
      <c r="A22" s="4">
        <v>17</v>
      </c>
      <c r="B22" s="6" t="s">
        <v>9</v>
      </c>
      <c r="C22" s="82" t="s">
        <v>218</v>
      </c>
      <c r="D22" s="82" t="s">
        <v>46</v>
      </c>
      <c r="E22" s="82" t="s">
        <v>110</v>
      </c>
      <c r="F22" s="82" t="s">
        <v>219</v>
      </c>
      <c r="G22" s="82" t="s">
        <v>220</v>
      </c>
      <c r="H22" s="82" t="s">
        <v>221</v>
      </c>
      <c r="I22" s="88" t="s">
        <v>46</v>
      </c>
      <c r="J22" s="88">
        <v>40000</v>
      </c>
      <c r="K22" s="83" t="str">
        <f t="shared" si="5"/>
        <v>N/A</v>
      </c>
      <c r="L22" s="83">
        <f t="shared" si="0"/>
        <v>40000</v>
      </c>
      <c r="M22" s="88" t="s">
        <v>46</v>
      </c>
      <c r="N22" s="82" t="s">
        <v>222</v>
      </c>
      <c r="O22" s="82" t="s">
        <v>223</v>
      </c>
      <c r="P22" s="82" t="s">
        <v>224</v>
      </c>
      <c r="Q22" s="82" t="s">
        <v>151</v>
      </c>
      <c r="R22" s="82" t="s">
        <v>225</v>
      </c>
      <c r="S22" s="82" t="s">
        <v>226</v>
      </c>
      <c r="T22" s="85" t="s">
        <v>227</v>
      </c>
      <c r="U22" s="82" t="s">
        <v>228</v>
      </c>
    </row>
    <row r="23" spans="1:21" s="82" customFormat="1" ht="154.80000000000001" customHeight="1" x14ac:dyDescent="0.3">
      <c r="A23" s="4">
        <v>18</v>
      </c>
      <c r="B23" s="6" t="s">
        <v>9</v>
      </c>
      <c r="C23" s="82" t="s">
        <v>229</v>
      </c>
      <c r="D23" s="82" t="s">
        <v>46</v>
      </c>
      <c r="E23" s="82" t="s">
        <v>230</v>
      </c>
      <c r="F23" s="82" t="s">
        <v>231</v>
      </c>
      <c r="G23" s="82" t="s">
        <v>232</v>
      </c>
      <c r="H23" s="82" t="s">
        <v>233</v>
      </c>
      <c r="I23" s="86">
        <f>ROUNDUP(SUM('detailed construction estimate'!K38:K40),-4)</f>
        <v>11550000</v>
      </c>
      <c r="J23" s="84">
        <f>0.3*I23</f>
        <v>3465000</v>
      </c>
      <c r="K23" s="83" t="str">
        <f t="shared" si="5"/>
        <v>N/A</v>
      </c>
      <c r="L23" s="83">
        <f t="shared" si="0"/>
        <v>15015000</v>
      </c>
      <c r="M23" s="88" t="s">
        <v>234</v>
      </c>
      <c r="N23" s="82" t="s">
        <v>222</v>
      </c>
      <c r="O23" s="82" t="s">
        <v>235</v>
      </c>
      <c r="P23" s="82" t="s">
        <v>236</v>
      </c>
      <c r="Q23" s="82" t="s">
        <v>237</v>
      </c>
      <c r="R23" s="82" t="s">
        <v>225</v>
      </c>
      <c r="S23" s="82" t="s">
        <v>238</v>
      </c>
      <c r="T23" s="85" t="s">
        <v>239</v>
      </c>
      <c r="U23" s="82" t="s">
        <v>240</v>
      </c>
    </row>
    <row r="24" spans="1:21" s="82" customFormat="1" ht="100.8" x14ac:dyDescent="0.3">
      <c r="A24" s="4">
        <v>19</v>
      </c>
      <c r="B24" s="6" t="s">
        <v>9</v>
      </c>
      <c r="C24" s="82" t="s">
        <v>241</v>
      </c>
      <c r="D24" s="82" t="s">
        <v>46</v>
      </c>
      <c r="E24" s="82" t="s">
        <v>242</v>
      </c>
      <c r="F24" s="82" t="s">
        <v>243</v>
      </c>
      <c r="G24" s="82" t="s">
        <v>244</v>
      </c>
      <c r="H24" s="82" t="s">
        <v>245</v>
      </c>
      <c r="I24" s="86">
        <f>ROUNDUP(SUM('detailed construction estimate'!K41),-4)</f>
        <v>1160000</v>
      </c>
      <c r="J24" s="84">
        <f>0.3*I24</f>
        <v>348000</v>
      </c>
      <c r="K24" s="83">
        <f t="shared" si="5"/>
        <v>58000</v>
      </c>
      <c r="L24" s="83">
        <f t="shared" si="0"/>
        <v>1566000</v>
      </c>
      <c r="M24" s="88" t="s">
        <v>61</v>
      </c>
      <c r="N24" s="82" t="s">
        <v>246</v>
      </c>
      <c r="O24" s="82" t="s">
        <v>247</v>
      </c>
      <c r="P24" s="82" t="s">
        <v>248</v>
      </c>
      <c r="Q24" s="82" t="s">
        <v>249</v>
      </c>
      <c r="R24" s="82" t="s">
        <v>250</v>
      </c>
      <c r="S24" s="82" t="s">
        <v>238</v>
      </c>
      <c r="T24" s="85" t="s">
        <v>251</v>
      </c>
      <c r="U24" s="82" t="s">
        <v>252</v>
      </c>
    </row>
    <row r="25" spans="1:21" s="82" customFormat="1" ht="72" x14ac:dyDescent="0.3">
      <c r="A25" s="4">
        <v>20</v>
      </c>
      <c r="B25" s="6" t="s">
        <v>9</v>
      </c>
      <c r="C25" s="82" t="s">
        <v>253</v>
      </c>
      <c r="D25" s="82" t="s">
        <v>46</v>
      </c>
      <c r="E25" s="82" t="s">
        <v>254</v>
      </c>
      <c r="F25" s="82" t="s">
        <v>255</v>
      </c>
      <c r="G25" s="82" t="s">
        <v>256</v>
      </c>
      <c r="H25" s="82" t="s">
        <v>211</v>
      </c>
      <c r="I25" s="88" t="s">
        <v>46</v>
      </c>
      <c r="J25" s="91">
        <v>75000</v>
      </c>
      <c r="K25" s="83" t="str">
        <f t="shared" si="5"/>
        <v>N/A</v>
      </c>
      <c r="L25" s="83">
        <f t="shared" si="0"/>
        <v>75000</v>
      </c>
      <c r="M25" s="88"/>
      <c r="N25" s="82" t="s">
        <v>257</v>
      </c>
      <c r="O25" s="82" t="s">
        <v>46</v>
      </c>
      <c r="P25" s="82" t="s">
        <v>46</v>
      </c>
      <c r="Q25" s="82" t="s">
        <v>249</v>
      </c>
      <c r="R25" s="82" t="s">
        <v>258</v>
      </c>
      <c r="S25" s="82" t="s">
        <v>259</v>
      </c>
      <c r="T25" s="82" t="s">
        <v>46</v>
      </c>
      <c r="U25" s="82" t="s">
        <v>260</v>
      </c>
    </row>
    <row r="26" spans="1:21" s="82" customFormat="1" ht="86.4" x14ac:dyDescent="0.3">
      <c r="A26" s="4">
        <v>21</v>
      </c>
      <c r="B26" s="6" t="s">
        <v>11</v>
      </c>
      <c r="C26" s="82" t="s">
        <v>261</v>
      </c>
      <c r="D26" s="82" t="s">
        <v>46</v>
      </c>
      <c r="E26" s="82" t="s">
        <v>262</v>
      </c>
      <c r="F26" s="82" t="s">
        <v>263</v>
      </c>
      <c r="G26" s="82" t="s">
        <v>264</v>
      </c>
      <c r="H26" s="82" t="s">
        <v>245</v>
      </c>
      <c r="I26" s="88" t="s">
        <v>46</v>
      </c>
      <c r="J26" s="91">
        <v>80000</v>
      </c>
      <c r="K26" s="83" t="str">
        <f t="shared" si="5"/>
        <v>N/A</v>
      </c>
      <c r="L26" s="83">
        <f t="shared" si="0"/>
        <v>80000</v>
      </c>
      <c r="M26" s="88" t="s">
        <v>147</v>
      </c>
      <c r="N26" s="82" t="s">
        <v>265</v>
      </c>
      <c r="O26" s="82" t="s">
        <v>266</v>
      </c>
      <c r="P26" s="82" t="s">
        <v>267</v>
      </c>
      <c r="Q26" s="82" t="s">
        <v>151</v>
      </c>
      <c r="R26" s="82" t="s">
        <v>151</v>
      </c>
      <c r="S26" s="82" t="s">
        <v>151</v>
      </c>
      <c r="T26" s="85" t="s">
        <v>268</v>
      </c>
      <c r="U26" s="82" t="s">
        <v>269</v>
      </c>
    </row>
    <row r="27" spans="1:21" s="82" customFormat="1" ht="86.4" x14ac:dyDescent="0.3">
      <c r="A27" s="4">
        <v>22</v>
      </c>
      <c r="B27" s="6" t="s">
        <v>11</v>
      </c>
      <c r="C27" s="82" t="s">
        <v>270</v>
      </c>
      <c r="D27" s="82" t="s">
        <v>46</v>
      </c>
      <c r="E27" s="82" t="s">
        <v>262</v>
      </c>
      <c r="F27" s="82" t="s">
        <v>271</v>
      </c>
      <c r="G27" s="82" t="s">
        <v>264</v>
      </c>
      <c r="H27" s="82" t="s">
        <v>245</v>
      </c>
      <c r="I27" s="88" t="s">
        <v>46</v>
      </c>
      <c r="J27" s="91">
        <v>180000</v>
      </c>
      <c r="K27" s="83" t="str">
        <f t="shared" si="5"/>
        <v>N/A</v>
      </c>
      <c r="L27" s="83">
        <f t="shared" si="0"/>
        <v>180000</v>
      </c>
      <c r="M27" s="88" t="s">
        <v>147</v>
      </c>
      <c r="N27" s="82" t="s">
        <v>272</v>
      </c>
      <c r="O27" s="82" t="s">
        <v>266</v>
      </c>
      <c r="P27" s="82" t="s">
        <v>273</v>
      </c>
      <c r="Q27" s="82" t="s">
        <v>274</v>
      </c>
      <c r="R27" s="82" t="s">
        <v>274</v>
      </c>
      <c r="S27" s="82" t="s">
        <v>274</v>
      </c>
      <c r="T27" s="85" t="s">
        <v>275</v>
      </c>
      <c r="U27" s="82" t="s">
        <v>269</v>
      </c>
    </row>
    <row r="28" spans="1:21" s="82" customFormat="1" x14ac:dyDescent="0.3">
      <c r="A28" s="4"/>
      <c r="B28" s="6"/>
      <c r="J28" s="88"/>
      <c r="K28" s="82" t="s">
        <v>13</v>
      </c>
      <c r="L28" s="92">
        <f>SUM(L5:L27)</f>
        <v>77030300</v>
      </c>
    </row>
    <row r="29" spans="1:21" s="82" customFormat="1" x14ac:dyDescent="0.3">
      <c r="A29" s="93" t="s">
        <v>276</v>
      </c>
      <c r="B29" s="6"/>
      <c r="J29" s="88"/>
    </row>
    <row r="30" spans="1:21" s="82" customFormat="1" ht="21" x14ac:dyDescent="0.3">
      <c r="A30" s="94" t="s">
        <v>277</v>
      </c>
      <c r="B30" s="6"/>
      <c r="J30" s="88"/>
    </row>
  </sheetData>
  <sortState xmlns:xlrd2="http://schemas.microsoft.com/office/spreadsheetml/2017/richdata2" ref="A5:U26">
    <sortCondition ref="A5:A26"/>
  </sortState>
  <pageMargins left="0.7" right="0.7" top="0.75" bottom="0.75" header="0.3" footer="0.3"/>
  <pageSetup paperSize="3" scale="48" fitToWidth="3" fitToHeight="0" orientation="landscape" horizontalDpi="1200" verticalDpi="1200" r:id="rId1"/>
  <headerFooter>
    <oddFooter>&amp;C&amp;14&amp;KC00000For Internal Tribal Use Only. July 2022 version. &amp;R&amp;14Page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C93C8-A549-466F-8A6C-3E960DE62181}">
  <dimension ref="A1:M42"/>
  <sheetViews>
    <sheetView topLeftCell="A2" zoomScale="90" zoomScaleNormal="90" workbookViewId="0">
      <selection activeCell="C13" sqref="C13"/>
    </sheetView>
  </sheetViews>
  <sheetFormatPr defaultRowHeight="14.4" x14ac:dyDescent="0.3"/>
  <cols>
    <col min="1" max="1" width="4.44140625" bestFit="1" customWidth="1"/>
    <col min="2" max="2" width="19" customWidth="1"/>
    <col min="3" max="3" width="45.44140625" customWidth="1"/>
    <col min="4" max="4" width="8.44140625" bestFit="1" customWidth="1"/>
    <col min="5" max="5" width="14.6640625" customWidth="1"/>
    <col min="6" max="6" width="11.5546875" bestFit="1" customWidth="1"/>
    <col min="7" max="7" width="16.5546875" bestFit="1" customWidth="1"/>
    <col min="8" max="8" width="18.33203125" customWidth="1"/>
    <col min="9" max="9" width="15.33203125" customWidth="1"/>
    <col min="10" max="10" width="19.44140625" customWidth="1"/>
    <col min="11" max="11" width="21.5546875" style="47" bestFit="1" customWidth="1"/>
    <col min="12" max="12" width="42.88671875" customWidth="1"/>
    <col min="13" max="13" width="28" bestFit="1" customWidth="1"/>
  </cols>
  <sheetData>
    <row r="1" spans="1:13" x14ac:dyDescent="0.3">
      <c r="A1" s="8"/>
      <c r="B1" s="8"/>
      <c r="C1" s="9"/>
      <c r="D1" s="9"/>
      <c r="E1" s="10"/>
      <c r="F1" s="11"/>
      <c r="G1" s="10"/>
      <c r="H1" s="10"/>
      <c r="I1" s="10"/>
      <c r="J1" s="10"/>
      <c r="K1" s="43"/>
      <c r="L1" s="12"/>
      <c r="M1" s="9"/>
    </row>
    <row r="2" spans="1:13" ht="15" thickBot="1" x14ac:dyDescent="0.35">
      <c r="A2" s="8"/>
      <c r="B2" s="8"/>
      <c r="C2" s="9"/>
      <c r="D2" s="9"/>
      <c r="E2" s="10"/>
      <c r="F2" s="11"/>
      <c r="G2" s="10"/>
      <c r="H2" s="10"/>
      <c r="I2" s="10"/>
      <c r="J2" s="10"/>
      <c r="K2" s="43"/>
      <c r="L2" s="12"/>
      <c r="M2" s="9"/>
    </row>
    <row r="3" spans="1:13" ht="28.8" x14ac:dyDescent="0.3">
      <c r="A3" s="24" t="s">
        <v>278</v>
      </c>
      <c r="B3" s="25" t="s">
        <v>1</v>
      </c>
      <c r="C3" s="26" t="s">
        <v>279</v>
      </c>
      <c r="D3" s="26" t="s">
        <v>280</v>
      </c>
      <c r="E3" s="27" t="s">
        <v>281</v>
      </c>
      <c r="F3" s="28" t="s">
        <v>282</v>
      </c>
      <c r="G3" s="27" t="s">
        <v>283</v>
      </c>
      <c r="H3" s="29" t="s">
        <v>284</v>
      </c>
      <c r="I3" s="29" t="s">
        <v>285</v>
      </c>
      <c r="J3" s="29" t="s">
        <v>286</v>
      </c>
      <c r="K3" s="44" t="s">
        <v>371</v>
      </c>
      <c r="L3" s="30" t="s">
        <v>287</v>
      </c>
      <c r="M3" s="31" t="s">
        <v>288</v>
      </c>
    </row>
    <row r="4" spans="1:13" ht="28.8" x14ac:dyDescent="0.3">
      <c r="A4" s="32" t="s">
        <v>54</v>
      </c>
      <c r="B4" s="21" t="s">
        <v>289</v>
      </c>
      <c r="C4" s="14" t="s">
        <v>290</v>
      </c>
      <c r="D4" s="14" t="s">
        <v>291</v>
      </c>
      <c r="E4" s="15">
        <v>73.5</v>
      </c>
      <c r="F4" s="16">
        <v>1000</v>
      </c>
      <c r="G4" s="15">
        <f>E4*F4</f>
        <v>73500</v>
      </c>
      <c r="H4" s="22">
        <f t="shared" ref="H4:H41" si="0">0.1*G4</f>
        <v>7350</v>
      </c>
      <c r="I4" s="22">
        <f t="shared" ref="I4:I41" si="1">0.05*G4</f>
        <v>3675</v>
      </c>
      <c r="J4" s="22">
        <f t="shared" ref="J4:J41" si="2">0.3*G4</f>
        <v>22050</v>
      </c>
      <c r="K4" s="45">
        <f>ROUNDUP((G4+H4+I4+J4),-4)</f>
        <v>110000</v>
      </c>
      <c r="L4" s="13" t="s">
        <v>292</v>
      </c>
      <c r="M4" s="33" t="s">
        <v>293</v>
      </c>
    </row>
    <row r="5" spans="1:13" ht="43.2" x14ac:dyDescent="0.3">
      <c r="A5" s="32" t="s">
        <v>54</v>
      </c>
      <c r="B5" s="21" t="s">
        <v>289</v>
      </c>
      <c r="C5" s="14" t="s">
        <v>294</v>
      </c>
      <c r="D5" s="14" t="s">
        <v>295</v>
      </c>
      <c r="E5" s="15">
        <v>4</v>
      </c>
      <c r="F5" s="16">
        <v>4840</v>
      </c>
      <c r="G5" s="15">
        <f>E5*F5</f>
        <v>19360</v>
      </c>
      <c r="H5" s="22">
        <f t="shared" si="0"/>
        <v>1936</v>
      </c>
      <c r="I5" s="22">
        <f t="shared" si="1"/>
        <v>968</v>
      </c>
      <c r="J5" s="22">
        <f t="shared" si="2"/>
        <v>5808</v>
      </c>
      <c r="K5" s="45">
        <f t="shared" ref="K5:K41" si="3">ROUNDUP((G5+H5+I5+J5),-4)</f>
        <v>30000</v>
      </c>
      <c r="L5" s="13" t="s">
        <v>296</v>
      </c>
      <c r="M5" s="33" t="s">
        <v>297</v>
      </c>
    </row>
    <row r="6" spans="1:13" ht="28.8" x14ac:dyDescent="0.3">
      <c r="A6" s="32" t="s">
        <v>54</v>
      </c>
      <c r="B6" s="21" t="s">
        <v>289</v>
      </c>
      <c r="C6" s="14" t="s">
        <v>298</v>
      </c>
      <c r="D6" s="14" t="s">
        <v>299</v>
      </c>
      <c r="E6" s="15">
        <v>25000</v>
      </c>
      <c r="F6" s="16">
        <v>1</v>
      </c>
      <c r="G6" s="15">
        <f>E6*F6</f>
        <v>25000</v>
      </c>
      <c r="H6" s="22">
        <f t="shared" si="0"/>
        <v>2500</v>
      </c>
      <c r="I6" s="22">
        <f t="shared" si="1"/>
        <v>1250</v>
      </c>
      <c r="J6" s="22">
        <f t="shared" si="2"/>
        <v>7500</v>
      </c>
      <c r="K6" s="45">
        <f t="shared" si="3"/>
        <v>40000</v>
      </c>
      <c r="L6" s="13" t="s">
        <v>300</v>
      </c>
      <c r="M6" s="33" t="s">
        <v>301</v>
      </c>
    </row>
    <row r="7" spans="1:13" x14ac:dyDescent="0.3">
      <c r="A7" s="32" t="s">
        <v>69</v>
      </c>
      <c r="B7" s="21" t="s">
        <v>289</v>
      </c>
      <c r="C7" s="14" t="s">
        <v>302</v>
      </c>
      <c r="D7" s="14" t="s">
        <v>291</v>
      </c>
      <c r="E7" s="15">
        <v>47.5</v>
      </c>
      <c r="F7" s="16">
        <v>755</v>
      </c>
      <c r="G7" s="15">
        <f t="shared" ref="G7:G41" si="4">E7*F7</f>
        <v>35862.5</v>
      </c>
      <c r="H7" s="22">
        <f t="shared" si="0"/>
        <v>3586.25</v>
      </c>
      <c r="I7" s="22">
        <f t="shared" si="1"/>
        <v>1793.125</v>
      </c>
      <c r="J7" s="22">
        <f t="shared" si="2"/>
        <v>10758.75</v>
      </c>
      <c r="K7" s="45">
        <f t="shared" si="3"/>
        <v>60000</v>
      </c>
      <c r="L7" s="13" t="s">
        <v>303</v>
      </c>
      <c r="M7" s="33" t="s">
        <v>304</v>
      </c>
    </row>
    <row r="8" spans="1:13" x14ac:dyDescent="0.3">
      <c r="A8" s="76">
        <v>3</v>
      </c>
      <c r="B8" s="21" t="s">
        <v>289</v>
      </c>
      <c r="C8" s="14" t="s">
        <v>79</v>
      </c>
      <c r="D8" s="14" t="s">
        <v>295</v>
      </c>
      <c r="E8" s="17">
        <v>35000</v>
      </c>
      <c r="F8" s="16">
        <v>3</v>
      </c>
      <c r="G8" s="15">
        <f t="shared" si="4"/>
        <v>105000</v>
      </c>
      <c r="H8" s="22">
        <f t="shared" si="0"/>
        <v>10500</v>
      </c>
      <c r="I8" s="22">
        <f t="shared" si="1"/>
        <v>5250</v>
      </c>
      <c r="J8" s="22">
        <f t="shared" si="2"/>
        <v>31500</v>
      </c>
      <c r="K8" s="45">
        <f t="shared" si="3"/>
        <v>160000</v>
      </c>
      <c r="L8" s="13" t="s">
        <v>305</v>
      </c>
      <c r="M8" s="33" t="s">
        <v>306</v>
      </c>
    </row>
    <row r="9" spans="1:13" x14ac:dyDescent="0.3">
      <c r="A9" s="76"/>
      <c r="B9" s="21" t="s">
        <v>289</v>
      </c>
      <c r="C9" s="14" t="s">
        <v>290</v>
      </c>
      <c r="D9" s="14" t="s">
        <v>291</v>
      </c>
      <c r="E9" s="18">
        <v>73.5</v>
      </c>
      <c r="F9" s="16">
        <v>1000</v>
      </c>
      <c r="G9" s="15">
        <f t="shared" si="4"/>
        <v>73500</v>
      </c>
      <c r="H9" s="22">
        <f t="shared" si="0"/>
        <v>7350</v>
      </c>
      <c r="I9" s="22">
        <f t="shared" si="1"/>
        <v>3675</v>
      </c>
      <c r="J9" s="22">
        <f t="shared" si="2"/>
        <v>22050</v>
      </c>
      <c r="K9" s="45">
        <f t="shared" si="3"/>
        <v>110000</v>
      </c>
      <c r="L9" s="13" t="s">
        <v>307</v>
      </c>
      <c r="M9" s="33" t="s">
        <v>308</v>
      </c>
    </row>
    <row r="10" spans="1:13" x14ac:dyDescent="0.3">
      <c r="A10" s="32">
        <v>4</v>
      </c>
      <c r="B10" s="21" t="s">
        <v>289</v>
      </c>
      <c r="C10" s="14" t="s">
        <v>79</v>
      </c>
      <c r="D10" s="14" t="s">
        <v>295</v>
      </c>
      <c r="E10" s="17">
        <v>35000</v>
      </c>
      <c r="F10" s="16">
        <v>25</v>
      </c>
      <c r="G10" s="15">
        <f>E10*F10</f>
        <v>875000</v>
      </c>
      <c r="H10" s="22">
        <f t="shared" si="0"/>
        <v>87500</v>
      </c>
      <c r="I10" s="22">
        <f t="shared" si="1"/>
        <v>43750</v>
      </c>
      <c r="J10" s="22">
        <f t="shared" si="2"/>
        <v>262500</v>
      </c>
      <c r="K10" s="45">
        <f t="shared" si="3"/>
        <v>1270000</v>
      </c>
      <c r="L10" s="13" t="s">
        <v>309</v>
      </c>
      <c r="M10" s="33" t="s">
        <v>306</v>
      </c>
    </row>
    <row r="11" spans="1:13" x14ac:dyDescent="0.3">
      <c r="A11" s="32">
        <v>5</v>
      </c>
      <c r="B11" s="21" t="s">
        <v>289</v>
      </c>
      <c r="C11" s="14" t="s">
        <v>79</v>
      </c>
      <c r="D11" s="14" t="s">
        <v>295</v>
      </c>
      <c r="E11" s="18">
        <v>35000</v>
      </c>
      <c r="F11" s="16">
        <v>6</v>
      </c>
      <c r="G11" s="15">
        <f t="shared" si="4"/>
        <v>210000</v>
      </c>
      <c r="H11" s="22">
        <f t="shared" si="0"/>
        <v>21000</v>
      </c>
      <c r="I11" s="22">
        <f t="shared" si="1"/>
        <v>10500</v>
      </c>
      <c r="J11" s="22">
        <f t="shared" si="2"/>
        <v>63000</v>
      </c>
      <c r="K11" s="45">
        <f t="shared" si="3"/>
        <v>310000</v>
      </c>
      <c r="L11" s="13" t="s">
        <v>305</v>
      </c>
      <c r="M11" s="33" t="s">
        <v>306</v>
      </c>
    </row>
    <row r="12" spans="1:13" ht="72" x14ac:dyDescent="0.3">
      <c r="A12" s="32">
        <v>6</v>
      </c>
      <c r="B12" s="21" t="s">
        <v>289</v>
      </c>
      <c r="C12" s="14" t="s">
        <v>310</v>
      </c>
      <c r="D12" s="14" t="s">
        <v>299</v>
      </c>
      <c r="E12" s="18">
        <v>2430</v>
      </c>
      <c r="F12" s="16">
        <v>35</v>
      </c>
      <c r="G12" s="15">
        <f t="shared" si="4"/>
        <v>85050</v>
      </c>
      <c r="H12" s="22">
        <f t="shared" si="0"/>
        <v>8505</v>
      </c>
      <c r="I12" s="22">
        <f t="shared" si="1"/>
        <v>4252.5</v>
      </c>
      <c r="J12" s="22">
        <f t="shared" si="2"/>
        <v>25515</v>
      </c>
      <c r="K12" s="45">
        <f t="shared" si="3"/>
        <v>130000</v>
      </c>
      <c r="L12" s="13" t="s">
        <v>311</v>
      </c>
      <c r="M12" s="33" t="s">
        <v>312</v>
      </c>
    </row>
    <row r="13" spans="1:13" ht="43.2" x14ac:dyDescent="0.3">
      <c r="A13" s="32">
        <v>6</v>
      </c>
      <c r="B13" s="21" t="s">
        <v>289</v>
      </c>
      <c r="C13" s="14" t="s">
        <v>313</v>
      </c>
      <c r="D13" s="14" t="s">
        <v>295</v>
      </c>
      <c r="E13" s="18">
        <v>4</v>
      </c>
      <c r="F13" s="16">
        <f>35*4840</f>
        <v>169400</v>
      </c>
      <c r="G13" s="15">
        <f t="shared" si="4"/>
        <v>677600</v>
      </c>
      <c r="H13" s="22">
        <f t="shared" si="0"/>
        <v>67760</v>
      </c>
      <c r="I13" s="22">
        <f t="shared" si="1"/>
        <v>33880</v>
      </c>
      <c r="J13" s="22">
        <f t="shared" si="2"/>
        <v>203280</v>
      </c>
      <c r="K13" s="45">
        <f t="shared" si="3"/>
        <v>990000</v>
      </c>
      <c r="L13" s="13" t="s">
        <v>314</v>
      </c>
      <c r="M13" s="33" t="s">
        <v>297</v>
      </c>
    </row>
    <row r="14" spans="1:13" ht="28.8" x14ac:dyDescent="0.3">
      <c r="A14" s="32">
        <v>6</v>
      </c>
      <c r="B14" s="21" t="s">
        <v>289</v>
      </c>
      <c r="C14" s="14" t="s">
        <v>375</v>
      </c>
      <c r="D14" s="14" t="s">
        <v>299</v>
      </c>
      <c r="E14" s="18">
        <v>25000</v>
      </c>
      <c r="F14" s="16">
        <v>35</v>
      </c>
      <c r="G14" s="15">
        <f t="shared" si="4"/>
        <v>875000</v>
      </c>
      <c r="H14" s="22">
        <f t="shared" si="0"/>
        <v>87500</v>
      </c>
      <c r="I14" s="22">
        <f t="shared" si="1"/>
        <v>43750</v>
      </c>
      <c r="J14" s="22">
        <f t="shared" si="2"/>
        <v>262500</v>
      </c>
      <c r="K14" s="45">
        <f t="shared" si="3"/>
        <v>1270000</v>
      </c>
      <c r="L14" s="13" t="s">
        <v>315</v>
      </c>
      <c r="M14" s="33" t="s">
        <v>301</v>
      </c>
    </row>
    <row r="15" spans="1:13" x14ac:dyDescent="0.3">
      <c r="A15" s="76">
        <v>8</v>
      </c>
      <c r="B15" s="21" t="s">
        <v>316</v>
      </c>
      <c r="C15" s="14" t="s">
        <v>290</v>
      </c>
      <c r="D15" s="14" t="s">
        <v>291</v>
      </c>
      <c r="E15" s="18">
        <v>73.5</v>
      </c>
      <c r="F15" s="16">
        <f>(1215*25*20)/27</f>
        <v>22500</v>
      </c>
      <c r="G15" s="15">
        <f t="shared" si="4"/>
        <v>1653750</v>
      </c>
      <c r="H15" s="22">
        <f t="shared" si="0"/>
        <v>165375</v>
      </c>
      <c r="I15" s="22">
        <f t="shared" si="1"/>
        <v>82687.5</v>
      </c>
      <c r="J15" s="22">
        <f t="shared" si="2"/>
        <v>496125</v>
      </c>
      <c r="K15" s="45">
        <f t="shared" si="3"/>
        <v>2400000</v>
      </c>
      <c r="L15" s="13" t="s">
        <v>317</v>
      </c>
      <c r="M15" s="33" t="s">
        <v>308</v>
      </c>
    </row>
    <row r="16" spans="1:13" ht="72" x14ac:dyDescent="0.3">
      <c r="A16" s="76"/>
      <c r="B16" s="21" t="s">
        <v>316</v>
      </c>
      <c r="C16" s="14" t="s">
        <v>318</v>
      </c>
      <c r="D16" s="14" t="s">
        <v>299</v>
      </c>
      <c r="E16" s="18">
        <v>2430</v>
      </c>
      <c r="F16" s="16">
        <v>150</v>
      </c>
      <c r="G16" s="15">
        <f t="shared" si="4"/>
        <v>364500</v>
      </c>
      <c r="H16" s="22">
        <f t="shared" si="0"/>
        <v>36450</v>
      </c>
      <c r="I16" s="22">
        <f t="shared" si="1"/>
        <v>18225</v>
      </c>
      <c r="J16" s="22">
        <f t="shared" si="2"/>
        <v>109350</v>
      </c>
      <c r="K16" s="45">
        <f t="shared" si="3"/>
        <v>530000</v>
      </c>
      <c r="L16" s="13" t="s">
        <v>319</v>
      </c>
      <c r="M16" s="33" t="s">
        <v>312</v>
      </c>
    </row>
    <row r="17" spans="1:13" ht="57.6" x14ac:dyDescent="0.3">
      <c r="A17" s="76"/>
      <c r="B17" s="21" t="s">
        <v>316</v>
      </c>
      <c r="C17" s="14" t="s">
        <v>320</v>
      </c>
      <c r="D17" s="14" t="s">
        <v>295</v>
      </c>
      <c r="E17" s="18">
        <v>4</v>
      </c>
      <c r="F17" s="19">
        <v>726000</v>
      </c>
      <c r="G17" s="15">
        <f t="shared" si="4"/>
        <v>2904000</v>
      </c>
      <c r="H17" s="22">
        <f t="shared" si="0"/>
        <v>290400</v>
      </c>
      <c r="I17" s="22">
        <f t="shared" si="1"/>
        <v>145200</v>
      </c>
      <c r="J17" s="22">
        <f t="shared" si="2"/>
        <v>871200</v>
      </c>
      <c r="K17" s="45">
        <f t="shared" si="3"/>
        <v>4220000</v>
      </c>
      <c r="L17" s="13" t="s">
        <v>321</v>
      </c>
      <c r="M17" s="33" t="s">
        <v>297</v>
      </c>
    </row>
    <row r="18" spans="1:13" ht="28.8" x14ac:dyDescent="0.3">
      <c r="A18" s="76"/>
      <c r="B18" s="21" t="s">
        <v>316</v>
      </c>
      <c r="C18" s="14" t="s">
        <v>322</v>
      </c>
      <c r="D18" s="14" t="s">
        <v>299</v>
      </c>
      <c r="E18" s="18">
        <v>25000</v>
      </c>
      <c r="F18" s="16">
        <v>150</v>
      </c>
      <c r="G18" s="15">
        <f t="shared" si="4"/>
        <v>3750000</v>
      </c>
      <c r="H18" s="22">
        <f t="shared" si="0"/>
        <v>375000</v>
      </c>
      <c r="I18" s="22">
        <f t="shared" si="1"/>
        <v>187500</v>
      </c>
      <c r="J18" s="22">
        <f t="shared" si="2"/>
        <v>1125000</v>
      </c>
      <c r="K18" s="45">
        <f t="shared" si="3"/>
        <v>5440000</v>
      </c>
      <c r="L18" s="13" t="s">
        <v>323</v>
      </c>
      <c r="M18" s="33" t="s">
        <v>301</v>
      </c>
    </row>
    <row r="19" spans="1:13" x14ac:dyDescent="0.3">
      <c r="A19" s="76"/>
      <c r="B19" s="21" t="s">
        <v>316</v>
      </c>
      <c r="C19" s="14" t="s">
        <v>324</v>
      </c>
      <c r="D19" s="14" t="s">
        <v>291</v>
      </c>
      <c r="E19" s="18">
        <v>71.5</v>
      </c>
      <c r="F19" s="16">
        <f>((200000*15)/27)</f>
        <v>111111.11111111111</v>
      </c>
      <c r="G19" s="15">
        <f t="shared" si="4"/>
        <v>7944444.444444444</v>
      </c>
      <c r="H19" s="22">
        <f t="shared" si="0"/>
        <v>794444.4444444445</v>
      </c>
      <c r="I19" s="22">
        <f t="shared" si="1"/>
        <v>397222.22222222225</v>
      </c>
      <c r="J19" s="22">
        <f t="shared" si="2"/>
        <v>2383333.333333333</v>
      </c>
      <c r="K19" s="45">
        <f t="shared" si="3"/>
        <v>11520000</v>
      </c>
      <c r="L19" s="13" t="s">
        <v>325</v>
      </c>
      <c r="M19" s="33" t="s">
        <v>326</v>
      </c>
    </row>
    <row r="20" spans="1:13" x14ac:dyDescent="0.3">
      <c r="A20" s="76"/>
      <c r="B20" s="21" t="s">
        <v>316</v>
      </c>
      <c r="C20" s="14" t="s">
        <v>327</v>
      </c>
      <c r="D20" s="14" t="s">
        <v>295</v>
      </c>
      <c r="E20" s="17">
        <v>25000</v>
      </c>
      <c r="F20" s="16">
        <v>40</v>
      </c>
      <c r="G20" s="15">
        <f t="shared" si="4"/>
        <v>1000000</v>
      </c>
      <c r="H20" s="22">
        <f t="shared" si="0"/>
        <v>100000</v>
      </c>
      <c r="I20" s="22">
        <f t="shared" si="1"/>
        <v>50000</v>
      </c>
      <c r="J20" s="22">
        <f t="shared" si="2"/>
        <v>300000</v>
      </c>
      <c r="K20" s="45">
        <f t="shared" si="3"/>
        <v>1450000</v>
      </c>
      <c r="L20" s="13" t="s">
        <v>328</v>
      </c>
      <c r="M20" s="33" t="s">
        <v>306</v>
      </c>
    </row>
    <row r="21" spans="1:13" x14ac:dyDescent="0.3">
      <c r="A21" s="76"/>
      <c r="B21" s="21" t="s">
        <v>316</v>
      </c>
      <c r="C21" s="14" t="s">
        <v>329</v>
      </c>
      <c r="D21" s="14" t="s">
        <v>330</v>
      </c>
      <c r="E21" s="18">
        <v>48</v>
      </c>
      <c r="F21" s="16">
        <v>6000</v>
      </c>
      <c r="G21" s="15">
        <f>E21*F21</f>
        <v>288000</v>
      </c>
      <c r="H21" s="22">
        <f t="shared" si="0"/>
        <v>28800</v>
      </c>
      <c r="I21" s="22">
        <f t="shared" si="1"/>
        <v>14400</v>
      </c>
      <c r="J21" s="22">
        <f t="shared" si="2"/>
        <v>86400</v>
      </c>
      <c r="K21" s="45">
        <f t="shared" si="3"/>
        <v>420000</v>
      </c>
      <c r="L21" s="13" t="s">
        <v>331</v>
      </c>
      <c r="M21" s="33" t="s">
        <v>332</v>
      </c>
    </row>
    <row r="22" spans="1:13" ht="57.6" x14ac:dyDescent="0.3">
      <c r="A22" s="32">
        <v>9</v>
      </c>
      <c r="B22" s="21" t="s">
        <v>316</v>
      </c>
      <c r="C22" s="14" t="s">
        <v>333</v>
      </c>
      <c r="D22" s="14" t="s">
        <v>295</v>
      </c>
      <c r="E22" s="18">
        <v>4</v>
      </c>
      <c r="F22" s="16">
        <f>150*4840</f>
        <v>726000</v>
      </c>
      <c r="G22" s="15">
        <f t="shared" si="4"/>
        <v>2904000</v>
      </c>
      <c r="H22" s="22">
        <f t="shared" si="0"/>
        <v>290400</v>
      </c>
      <c r="I22" s="22">
        <f t="shared" si="1"/>
        <v>145200</v>
      </c>
      <c r="J22" s="22">
        <f t="shared" si="2"/>
        <v>871200</v>
      </c>
      <c r="K22" s="45">
        <f t="shared" si="3"/>
        <v>4220000</v>
      </c>
      <c r="L22" s="13" t="s">
        <v>334</v>
      </c>
      <c r="M22" s="33" t="s">
        <v>297</v>
      </c>
    </row>
    <row r="23" spans="1:13" ht="72" x14ac:dyDescent="0.3">
      <c r="A23" s="32">
        <v>9</v>
      </c>
      <c r="B23" s="21" t="s">
        <v>316</v>
      </c>
      <c r="C23" s="14" t="s">
        <v>335</v>
      </c>
      <c r="D23" s="14" t="s">
        <v>299</v>
      </c>
      <c r="E23" s="18">
        <v>2430</v>
      </c>
      <c r="F23" s="16">
        <v>150</v>
      </c>
      <c r="G23" s="15">
        <f t="shared" si="4"/>
        <v>364500</v>
      </c>
      <c r="H23" s="22">
        <f t="shared" si="0"/>
        <v>36450</v>
      </c>
      <c r="I23" s="22">
        <f t="shared" si="1"/>
        <v>18225</v>
      </c>
      <c r="J23" s="22">
        <f t="shared" si="2"/>
        <v>109350</v>
      </c>
      <c r="K23" s="45">
        <f t="shared" si="3"/>
        <v>530000</v>
      </c>
      <c r="L23" s="13" t="s">
        <v>336</v>
      </c>
      <c r="M23" s="33" t="s">
        <v>312</v>
      </c>
    </row>
    <row r="24" spans="1:13" ht="72" x14ac:dyDescent="0.3">
      <c r="A24" s="32">
        <v>10</v>
      </c>
      <c r="B24" s="21" t="s">
        <v>316</v>
      </c>
      <c r="C24" s="14" t="s">
        <v>337</v>
      </c>
      <c r="D24" s="14" t="s">
        <v>299</v>
      </c>
      <c r="E24" s="18">
        <v>2430</v>
      </c>
      <c r="F24" s="16">
        <v>1</v>
      </c>
      <c r="G24" s="15">
        <f t="shared" si="4"/>
        <v>2430</v>
      </c>
      <c r="H24" s="22">
        <f t="shared" si="0"/>
        <v>243</v>
      </c>
      <c r="I24" s="22">
        <f t="shared" si="1"/>
        <v>121.5</v>
      </c>
      <c r="J24" s="22">
        <f t="shared" si="2"/>
        <v>729</v>
      </c>
      <c r="K24" s="45">
        <f t="shared" si="3"/>
        <v>10000</v>
      </c>
      <c r="L24" s="13" t="s">
        <v>338</v>
      </c>
      <c r="M24" s="33" t="s">
        <v>312</v>
      </c>
    </row>
    <row r="25" spans="1:13" ht="43.2" x14ac:dyDescent="0.3">
      <c r="A25" s="32">
        <v>10</v>
      </c>
      <c r="B25" s="21" t="s">
        <v>316</v>
      </c>
      <c r="C25" s="14" t="s">
        <v>339</v>
      </c>
      <c r="D25" s="14" t="s">
        <v>299</v>
      </c>
      <c r="E25" s="18">
        <v>4</v>
      </c>
      <c r="F25" s="16">
        <f>1300*50/43560*4840</f>
        <v>7222.2222222222217</v>
      </c>
      <c r="G25" s="15">
        <f t="shared" si="4"/>
        <v>28888.888888888887</v>
      </c>
      <c r="H25" s="22">
        <f t="shared" si="0"/>
        <v>2888.8888888888887</v>
      </c>
      <c r="I25" s="22">
        <f t="shared" si="1"/>
        <v>1444.4444444444443</v>
      </c>
      <c r="J25" s="22">
        <f t="shared" si="2"/>
        <v>8666.6666666666661</v>
      </c>
      <c r="K25" s="45">
        <f t="shared" si="3"/>
        <v>50000</v>
      </c>
      <c r="L25" s="13" t="s">
        <v>340</v>
      </c>
      <c r="M25" s="33" t="s">
        <v>297</v>
      </c>
    </row>
    <row r="26" spans="1:13" ht="28.8" x14ac:dyDescent="0.3">
      <c r="A26" s="32">
        <v>10</v>
      </c>
      <c r="B26" s="21" t="s">
        <v>316</v>
      </c>
      <c r="C26" s="14" t="s">
        <v>341</v>
      </c>
      <c r="D26" s="14" t="s">
        <v>299</v>
      </c>
      <c r="E26" s="18">
        <v>25000</v>
      </c>
      <c r="F26" s="16">
        <v>1</v>
      </c>
      <c r="G26" s="15">
        <f t="shared" si="4"/>
        <v>25000</v>
      </c>
      <c r="H26" s="22">
        <f t="shared" si="0"/>
        <v>2500</v>
      </c>
      <c r="I26" s="22">
        <f t="shared" si="1"/>
        <v>1250</v>
      </c>
      <c r="J26" s="22">
        <f t="shared" si="2"/>
        <v>7500</v>
      </c>
      <c r="K26" s="45">
        <f t="shared" si="3"/>
        <v>40000</v>
      </c>
      <c r="L26" s="13" t="s">
        <v>372</v>
      </c>
      <c r="M26" s="33" t="s">
        <v>301</v>
      </c>
    </row>
    <row r="27" spans="1:13" ht="72" x14ac:dyDescent="0.3">
      <c r="A27" s="32">
        <v>10</v>
      </c>
      <c r="B27" s="21" t="s">
        <v>316</v>
      </c>
      <c r="C27" s="14" t="s">
        <v>342</v>
      </c>
      <c r="D27" s="14" t="s">
        <v>299</v>
      </c>
      <c r="E27" s="18">
        <v>2430</v>
      </c>
      <c r="F27" s="20">
        <f>200*100/43560</f>
        <v>0.4591368227731864</v>
      </c>
      <c r="G27" s="15">
        <f t="shared" si="4"/>
        <v>1115.702479338843</v>
      </c>
      <c r="H27" s="22">
        <f t="shared" si="0"/>
        <v>111.5702479338843</v>
      </c>
      <c r="I27" s="22">
        <f t="shared" si="1"/>
        <v>55.785123966942152</v>
      </c>
      <c r="J27" s="22">
        <f t="shared" si="2"/>
        <v>334.71074380165288</v>
      </c>
      <c r="K27" s="45">
        <f t="shared" si="3"/>
        <v>10000</v>
      </c>
      <c r="L27" s="13" t="s">
        <v>343</v>
      </c>
      <c r="M27" s="33" t="s">
        <v>312</v>
      </c>
    </row>
    <row r="28" spans="1:13" ht="57.6" x14ac:dyDescent="0.3">
      <c r="A28" s="32">
        <v>10</v>
      </c>
      <c r="B28" s="21" t="s">
        <v>316</v>
      </c>
      <c r="C28" s="14" t="s">
        <v>344</v>
      </c>
      <c r="D28" s="14" t="s">
        <v>295</v>
      </c>
      <c r="E28" s="18">
        <v>4</v>
      </c>
      <c r="F28" s="16">
        <f>0.5*4840</f>
        <v>2420</v>
      </c>
      <c r="G28" s="15">
        <f t="shared" si="4"/>
        <v>9680</v>
      </c>
      <c r="H28" s="22">
        <f t="shared" si="0"/>
        <v>968</v>
      </c>
      <c r="I28" s="22">
        <f t="shared" si="1"/>
        <v>484</v>
      </c>
      <c r="J28" s="22">
        <f t="shared" si="2"/>
        <v>2904</v>
      </c>
      <c r="K28" s="45">
        <f t="shared" si="3"/>
        <v>20000</v>
      </c>
      <c r="L28" s="13" t="s">
        <v>345</v>
      </c>
      <c r="M28" s="33" t="s">
        <v>297</v>
      </c>
    </row>
    <row r="29" spans="1:13" ht="28.8" x14ac:dyDescent="0.3">
      <c r="A29" s="32">
        <v>10</v>
      </c>
      <c r="B29" s="21" t="s">
        <v>316</v>
      </c>
      <c r="C29" s="14" t="s">
        <v>376</v>
      </c>
      <c r="D29" s="14" t="s">
        <v>299</v>
      </c>
      <c r="E29" s="18">
        <v>25000</v>
      </c>
      <c r="F29" s="16">
        <v>0.5</v>
      </c>
      <c r="G29" s="15">
        <f t="shared" si="4"/>
        <v>12500</v>
      </c>
      <c r="H29" s="22">
        <f t="shared" si="0"/>
        <v>1250</v>
      </c>
      <c r="I29" s="22">
        <f t="shared" si="1"/>
        <v>625</v>
      </c>
      <c r="J29" s="22">
        <f t="shared" si="2"/>
        <v>3750</v>
      </c>
      <c r="K29" s="45">
        <f t="shared" si="3"/>
        <v>20000</v>
      </c>
      <c r="L29" s="13" t="s">
        <v>346</v>
      </c>
      <c r="M29" s="33" t="s">
        <v>301</v>
      </c>
    </row>
    <row r="30" spans="1:13" ht="28.8" x14ac:dyDescent="0.3">
      <c r="A30" s="32">
        <v>11</v>
      </c>
      <c r="B30" s="21" t="s">
        <v>347</v>
      </c>
      <c r="C30" s="14" t="s">
        <v>348</v>
      </c>
      <c r="D30" s="14" t="s">
        <v>295</v>
      </c>
      <c r="E30" s="15">
        <v>80000</v>
      </c>
      <c r="F30" s="16">
        <f>4000/80</f>
        <v>50</v>
      </c>
      <c r="G30" s="15">
        <f t="shared" si="4"/>
        <v>4000000</v>
      </c>
      <c r="H30" s="22">
        <f t="shared" si="0"/>
        <v>400000</v>
      </c>
      <c r="I30" s="22">
        <f t="shared" si="1"/>
        <v>200000</v>
      </c>
      <c r="J30" s="22">
        <f t="shared" si="2"/>
        <v>1200000</v>
      </c>
      <c r="K30" s="45">
        <f t="shared" si="3"/>
        <v>5800000</v>
      </c>
      <c r="L30" s="13" t="s">
        <v>349</v>
      </c>
      <c r="M30" s="33" t="s">
        <v>350</v>
      </c>
    </row>
    <row r="31" spans="1:13" ht="86.4" x14ac:dyDescent="0.3">
      <c r="A31" s="32">
        <v>12</v>
      </c>
      <c r="B31" s="21" t="s">
        <v>347</v>
      </c>
      <c r="C31" s="14" t="s">
        <v>351</v>
      </c>
      <c r="D31" s="14" t="s">
        <v>299</v>
      </c>
      <c r="E31" s="15">
        <v>2430</v>
      </c>
      <c r="F31" s="16">
        <f>3500*200/43560/2</f>
        <v>8.0348943985307617</v>
      </c>
      <c r="G31" s="15">
        <f t="shared" si="4"/>
        <v>19524.793388429753</v>
      </c>
      <c r="H31" s="22">
        <f t="shared" si="0"/>
        <v>1952.4793388429753</v>
      </c>
      <c r="I31" s="22">
        <f t="shared" si="1"/>
        <v>976.23966942148763</v>
      </c>
      <c r="J31" s="22">
        <f t="shared" si="2"/>
        <v>5857.4380165289258</v>
      </c>
      <c r="K31" s="45">
        <f t="shared" si="3"/>
        <v>30000</v>
      </c>
      <c r="L31" s="13" t="s">
        <v>352</v>
      </c>
      <c r="M31" s="33" t="s">
        <v>312</v>
      </c>
    </row>
    <row r="32" spans="1:13" ht="43.2" x14ac:dyDescent="0.3">
      <c r="A32" s="32">
        <v>12</v>
      </c>
      <c r="B32" s="21" t="s">
        <v>347</v>
      </c>
      <c r="C32" s="14" t="s">
        <v>353</v>
      </c>
      <c r="D32" s="14" t="s">
        <v>295</v>
      </c>
      <c r="E32" s="15">
        <v>4</v>
      </c>
      <c r="F32" s="16">
        <f>8*4840</f>
        <v>38720</v>
      </c>
      <c r="G32" s="15">
        <f t="shared" si="4"/>
        <v>154880</v>
      </c>
      <c r="H32" s="22">
        <f t="shared" si="0"/>
        <v>15488</v>
      </c>
      <c r="I32" s="22">
        <f t="shared" si="1"/>
        <v>7744</v>
      </c>
      <c r="J32" s="22">
        <f t="shared" si="2"/>
        <v>46464</v>
      </c>
      <c r="K32" s="45">
        <f t="shared" si="3"/>
        <v>230000</v>
      </c>
      <c r="L32" s="13" t="s">
        <v>354</v>
      </c>
      <c r="M32" s="33" t="s">
        <v>297</v>
      </c>
    </row>
    <row r="33" spans="1:13" ht="28.8" x14ac:dyDescent="0.3">
      <c r="A33" s="32">
        <v>12</v>
      </c>
      <c r="B33" s="21" t="s">
        <v>347</v>
      </c>
      <c r="C33" s="14" t="s">
        <v>377</v>
      </c>
      <c r="D33" s="14" t="s">
        <v>299</v>
      </c>
      <c r="E33" s="15">
        <v>25000</v>
      </c>
      <c r="F33" s="16">
        <v>8</v>
      </c>
      <c r="G33" s="15">
        <f t="shared" si="4"/>
        <v>200000</v>
      </c>
      <c r="H33" s="22">
        <f t="shared" si="0"/>
        <v>20000</v>
      </c>
      <c r="I33" s="22">
        <f t="shared" si="1"/>
        <v>10000</v>
      </c>
      <c r="J33" s="22">
        <f t="shared" si="2"/>
        <v>60000</v>
      </c>
      <c r="K33" s="45">
        <f t="shared" si="3"/>
        <v>290000</v>
      </c>
      <c r="L33" s="13" t="s">
        <v>355</v>
      </c>
      <c r="M33" s="33" t="s">
        <v>301</v>
      </c>
    </row>
    <row r="34" spans="1:13" x14ac:dyDescent="0.3">
      <c r="A34" s="32">
        <v>12</v>
      </c>
      <c r="B34" s="21" t="s">
        <v>347</v>
      </c>
      <c r="C34" s="14" t="s">
        <v>79</v>
      </c>
      <c r="D34" s="14" t="s">
        <v>295</v>
      </c>
      <c r="E34" s="17">
        <v>35000</v>
      </c>
      <c r="F34" s="16">
        <v>2</v>
      </c>
      <c r="G34" s="15">
        <f t="shared" si="4"/>
        <v>70000</v>
      </c>
      <c r="H34" s="22">
        <f t="shared" si="0"/>
        <v>7000</v>
      </c>
      <c r="I34" s="22">
        <f t="shared" si="1"/>
        <v>3500</v>
      </c>
      <c r="J34" s="22">
        <f t="shared" si="2"/>
        <v>21000</v>
      </c>
      <c r="K34" s="45">
        <f t="shared" si="3"/>
        <v>110000</v>
      </c>
      <c r="L34" s="13" t="s">
        <v>305</v>
      </c>
      <c r="M34" s="33" t="s">
        <v>306</v>
      </c>
    </row>
    <row r="35" spans="1:13" ht="115.2" x14ac:dyDescent="0.3">
      <c r="A35" s="32">
        <v>13</v>
      </c>
      <c r="B35" s="21" t="s">
        <v>347</v>
      </c>
      <c r="C35" s="14" t="s">
        <v>356</v>
      </c>
      <c r="D35" s="14" t="s">
        <v>299</v>
      </c>
      <c r="E35" s="18">
        <v>2430</v>
      </c>
      <c r="F35" s="16">
        <f>((24000*200)/2)/43560</f>
        <v>55.096418732782368</v>
      </c>
      <c r="G35" s="15">
        <f t="shared" si="4"/>
        <v>133884.29752066114</v>
      </c>
      <c r="H35" s="22">
        <f t="shared" si="0"/>
        <v>13388.429752066115</v>
      </c>
      <c r="I35" s="22">
        <f t="shared" si="1"/>
        <v>6694.2148760330574</v>
      </c>
      <c r="J35" s="22">
        <f t="shared" si="2"/>
        <v>40165.289256198339</v>
      </c>
      <c r="K35" s="45">
        <f t="shared" si="3"/>
        <v>200000</v>
      </c>
      <c r="L35" s="13" t="s">
        <v>357</v>
      </c>
      <c r="M35" s="33" t="s">
        <v>312</v>
      </c>
    </row>
    <row r="36" spans="1:13" ht="57.6" x14ac:dyDescent="0.3">
      <c r="A36" s="32">
        <v>13</v>
      </c>
      <c r="B36" s="21" t="s">
        <v>347</v>
      </c>
      <c r="C36" s="14" t="s">
        <v>358</v>
      </c>
      <c r="D36" s="14" t="s">
        <v>295</v>
      </c>
      <c r="E36" s="18">
        <v>4</v>
      </c>
      <c r="F36" s="16">
        <f>55*4840</f>
        <v>266200</v>
      </c>
      <c r="G36" s="15">
        <f t="shared" si="4"/>
        <v>1064800</v>
      </c>
      <c r="H36" s="22">
        <f t="shared" si="0"/>
        <v>106480</v>
      </c>
      <c r="I36" s="22">
        <f t="shared" si="1"/>
        <v>53240</v>
      </c>
      <c r="J36" s="22">
        <f t="shared" si="2"/>
        <v>319440</v>
      </c>
      <c r="K36" s="45">
        <f t="shared" si="3"/>
        <v>1550000</v>
      </c>
      <c r="L36" s="13" t="s">
        <v>359</v>
      </c>
      <c r="M36" s="33" t="s">
        <v>297</v>
      </c>
    </row>
    <row r="37" spans="1:13" ht="28.8" x14ac:dyDescent="0.3">
      <c r="A37" s="32">
        <v>13</v>
      </c>
      <c r="B37" s="21" t="s">
        <v>347</v>
      </c>
      <c r="C37" s="14" t="s">
        <v>360</v>
      </c>
      <c r="D37" s="14" t="s">
        <v>299</v>
      </c>
      <c r="E37" s="18">
        <v>25000</v>
      </c>
      <c r="F37" s="16">
        <v>55</v>
      </c>
      <c r="G37" s="15">
        <f t="shared" si="4"/>
        <v>1375000</v>
      </c>
      <c r="H37" s="22">
        <f t="shared" si="0"/>
        <v>137500</v>
      </c>
      <c r="I37" s="22">
        <f t="shared" si="1"/>
        <v>68750</v>
      </c>
      <c r="J37" s="22">
        <f t="shared" si="2"/>
        <v>412500</v>
      </c>
      <c r="K37" s="45">
        <f t="shared" si="3"/>
        <v>2000000</v>
      </c>
      <c r="L37" s="13" t="s">
        <v>374</v>
      </c>
      <c r="M37" s="33" t="s">
        <v>301</v>
      </c>
    </row>
    <row r="38" spans="1:13" ht="115.2" x14ac:dyDescent="0.3">
      <c r="A38" s="32">
        <v>18</v>
      </c>
      <c r="B38" s="21" t="s">
        <v>361</v>
      </c>
      <c r="C38" s="14" t="s">
        <v>362</v>
      </c>
      <c r="D38" s="14" t="s">
        <v>299</v>
      </c>
      <c r="E38" s="18">
        <v>2430</v>
      </c>
      <c r="F38" s="16">
        <f>37000*200/43560</f>
        <v>169.88062442607898</v>
      </c>
      <c r="G38" s="15">
        <f t="shared" si="4"/>
        <v>412809.91735537193</v>
      </c>
      <c r="H38" s="22">
        <f t="shared" si="0"/>
        <v>41280.991735537194</v>
      </c>
      <c r="I38" s="22">
        <f t="shared" si="1"/>
        <v>20640.495867768597</v>
      </c>
      <c r="J38" s="22">
        <f t="shared" si="2"/>
        <v>123842.97520661158</v>
      </c>
      <c r="K38" s="45">
        <f t="shared" si="3"/>
        <v>600000</v>
      </c>
      <c r="L38" s="13" t="s">
        <v>363</v>
      </c>
      <c r="M38" s="33" t="s">
        <v>312</v>
      </c>
    </row>
    <row r="39" spans="1:13" ht="57.6" x14ac:dyDescent="0.3">
      <c r="A39" s="32">
        <v>18</v>
      </c>
      <c r="B39" s="21" t="s">
        <v>361</v>
      </c>
      <c r="C39" s="14" t="s">
        <v>364</v>
      </c>
      <c r="D39" s="14" t="s">
        <v>295</v>
      </c>
      <c r="E39" s="18">
        <v>4</v>
      </c>
      <c r="F39" s="16">
        <f>170*4840</f>
        <v>822800</v>
      </c>
      <c r="G39" s="15">
        <f t="shared" si="4"/>
        <v>3291200</v>
      </c>
      <c r="H39" s="22">
        <f t="shared" si="0"/>
        <v>329120</v>
      </c>
      <c r="I39" s="22">
        <f t="shared" si="1"/>
        <v>164560</v>
      </c>
      <c r="J39" s="22">
        <f t="shared" si="2"/>
        <v>987360</v>
      </c>
      <c r="K39" s="45">
        <f t="shared" si="3"/>
        <v>4780000</v>
      </c>
      <c r="L39" s="13" t="s">
        <v>365</v>
      </c>
      <c r="M39" s="33" t="s">
        <v>297</v>
      </c>
    </row>
    <row r="40" spans="1:13" ht="28.8" x14ac:dyDescent="0.3">
      <c r="A40" s="32">
        <v>18</v>
      </c>
      <c r="B40" s="21" t="s">
        <v>361</v>
      </c>
      <c r="C40" s="14" t="s">
        <v>378</v>
      </c>
      <c r="D40" s="14" t="s">
        <v>299</v>
      </c>
      <c r="E40" s="18">
        <v>25000</v>
      </c>
      <c r="F40" s="16">
        <v>170</v>
      </c>
      <c r="G40" s="15">
        <f t="shared" si="4"/>
        <v>4250000</v>
      </c>
      <c r="H40" s="22">
        <f t="shared" si="0"/>
        <v>425000</v>
      </c>
      <c r="I40" s="22">
        <f t="shared" si="1"/>
        <v>212500</v>
      </c>
      <c r="J40" s="22">
        <f t="shared" si="2"/>
        <v>1275000</v>
      </c>
      <c r="K40" s="45">
        <f t="shared" si="3"/>
        <v>6170000</v>
      </c>
      <c r="L40" s="13" t="s">
        <v>373</v>
      </c>
      <c r="M40" s="33" t="s">
        <v>301</v>
      </c>
    </row>
    <row r="41" spans="1:13" ht="43.8" thickBot="1" x14ac:dyDescent="0.35">
      <c r="A41" s="34">
        <v>19</v>
      </c>
      <c r="B41" s="35" t="s">
        <v>361</v>
      </c>
      <c r="C41" s="36" t="s">
        <v>366</v>
      </c>
      <c r="D41" s="36" t="s">
        <v>367</v>
      </c>
      <c r="E41" s="36">
        <v>400000</v>
      </c>
      <c r="F41" s="37">
        <v>2</v>
      </c>
      <c r="G41" s="38">
        <f t="shared" si="4"/>
        <v>800000</v>
      </c>
      <c r="H41" s="39">
        <f t="shared" si="0"/>
        <v>80000</v>
      </c>
      <c r="I41" s="39">
        <f t="shared" si="1"/>
        <v>40000</v>
      </c>
      <c r="J41" s="39">
        <f t="shared" si="2"/>
        <v>240000</v>
      </c>
      <c r="K41" s="45">
        <f t="shared" si="3"/>
        <v>1160000</v>
      </c>
      <c r="L41" s="40" t="s">
        <v>368</v>
      </c>
      <c r="M41" s="41" t="s">
        <v>369</v>
      </c>
    </row>
    <row r="42" spans="1:13" x14ac:dyDescent="0.3">
      <c r="A42" s="8"/>
      <c r="B42" s="8"/>
      <c r="C42" s="9"/>
      <c r="D42" s="9"/>
      <c r="E42" s="10"/>
      <c r="F42" s="11" t="s">
        <v>370</v>
      </c>
      <c r="G42" s="10">
        <f>SUM(G4:G41)</f>
        <v>40079780.544077136</v>
      </c>
      <c r="H42" s="10"/>
      <c r="I42" s="10"/>
      <c r="J42" s="10"/>
      <c r="K42" s="46">
        <f>SUM(K4:K41)</f>
        <v>58280000</v>
      </c>
      <c r="L42" s="12"/>
      <c r="M42" s="9"/>
    </row>
  </sheetData>
  <mergeCells count="2">
    <mergeCell ref="A8:A9"/>
    <mergeCell ref="A15:A2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e2105d1-fe2b-4e9b-a500-e0b3f23bf008" xsi:nil="true"/>
    <lcf76f155ced4ddcb4097134ff3c332f xmlns="cdbc8892-e4aa-4aa9-81bb-9c2fc8e9093f">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20E99247FCEF4CB3B6EAE5E7918374" ma:contentTypeVersion="17" ma:contentTypeDescription="Create a new document." ma:contentTypeScope="" ma:versionID="a27c08caf69322dc0ec36389f66e35dd">
  <xsd:schema xmlns:xsd="http://www.w3.org/2001/XMLSchema" xmlns:xs="http://www.w3.org/2001/XMLSchema" xmlns:p="http://schemas.microsoft.com/office/2006/metadata/properties" xmlns:ns1="http://schemas.microsoft.com/sharepoint/v3" xmlns:ns2="cdbc8892-e4aa-4aa9-81bb-9c2fc8e9093f" xmlns:ns3="8e2105d1-fe2b-4e9b-a500-e0b3f23bf008" targetNamespace="http://schemas.microsoft.com/office/2006/metadata/properties" ma:root="true" ma:fieldsID="7bda899f553cbe363af46bd75c97d215" ns1:_="" ns2:_="" ns3:_="">
    <xsd:import namespace="http://schemas.microsoft.com/sharepoint/v3"/>
    <xsd:import namespace="cdbc8892-e4aa-4aa9-81bb-9c2fc8e9093f"/>
    <xsd:import namespace="8e2105d1-fe2b-4e9b-a500-e0b3f23bf0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LengthInSeconds" minOccurs="0"/>
                <xsd:element ref="ns1:PublishingStartDate" minOccurs="0"/>
                <xsd:element ref="ns1:PublishingExpirationDat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bc8892-e4aa-4aa9-81bb-9c2fc8e90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43aa69a8-451d-40b9-9968-8c074301563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2105d1-fe2b-4e9b-a500-e0b3f23bf00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19c2014f-eab4-4271-9459-47df971ac4fe}" ma:internalName="TaxCatchAll" ma:showField="CatchAllData" ma:web="8e2105d1-fe2b-4e9b-a500-e0b3f23bf0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CD8CF1-D5D9-4673-9D6F-87451697A8D4}">
  <ds:schemaRefs>
    <ds:schemaRef ds:uri="http://schemas.microsoft.com/office/2006/metadata/properties"/>
    <ds:schemaRef ds:uri="http://schemas.microsoft.com/office/infopath/2007/PartnerControls"/>
    <ds:schemaRef ds:uri="8e2105d1-fe2b-4e9b-a500-e0b3f23bf008"/>
    <ds:schemaRef ds:uri="cdbc8892-e4aa-4aa9-81bb-9c2fc8e9093f"/>
    <ds:schemaRef ds:uri="http://schemas.microsoft.com/sharepoint/v3"/>
  </ds:schemaRefs>
</ds:datastoreItem>
</file>

<file path=customXml/itemProps2.xml><?xml version="1.0" encoding="utf-8"?>
<ds:datastoreItem xmlns:ds="http://schemas.openxmlformats.org/officeDocument/2006/customXml" ds:itemID="{89EF0E45-AA5B-4186-8B77-D18F57488C3B}">
  <ds:schemaRefs>
    <ds:schemaRef ds:uri="http://schemas.microsoft.com/sharepoint/v3/contenttype/forms"/>
  </ds:schemaRefs>
</ds:datastoreItem>
</file>

<file path=customXml/itemProps3.xml><?xml version="1.0" encoding="utf-8"?>
<ds:datastoreItem xmlns:ds="http://schemas.openxmlformats.org/officeDocument/2006/customXml" ds:itemID="{684AE2BC-DE6B-451F-B419-80147BC80F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bc8892-e4aa-4aa9-81bb-9c2fc8e9093f"/>
    <ds:schemaRef ds:uri="8e2105d1-fe2b-4e9b-a500-e0b3f23bf0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Action_Item_Breakdown</vt:lpstr>
      <vt:lpstr>detailed construction estimate</vt:lpstr>
      <vt:lpstr>Action_Item_Breakdown!Print_Area</vt:lpstr>
      <vt:lpstr>Summary!Print_Area</vt:lpstr>
      <vt:lpstr>Action_Item_Breakdown!Print_Titles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Dickerson-Lange</dc:creator>
  <cp:keywords/>
  <dc:description/>
  <cp:lastModifiedBy>Danielle Devier</cp:lastModifiedBy>
  <cp:revision/>
  <cp:lastPrinted>2022-06-24T22:41:56Z</cp:lastPrinted>
  <dcterms:created xsi:type="dcterms:W3CDTF">2021-02-02T18:20:56Z</dcterms:created>
  <dcterms:modified xsi:type="dcterms:W3CDTF">2022-06-24T22:42:37Z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0x010100C220E99247FCEF4CB3B6EAE5E7918374</vt:lpwstr>
  </property>
</Properties>
</file>