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shua\University of Ottawa\Alexane Lahaie - MCG4322 CAD\WR2A\MATLAB\functions\reference_files\HD_motor_parametrization\"/>
    </mc:Choice>
  </mc:AlternateContent>
  <xr:revisionPtr revIDLastSave="799" documentId="11_F25DC773A252ABDACC1048ECE91B6FC05BDE58E5" xr6:coauthVersionLast="45" xr6:coauthVersionMax="45" xr10:uidLastSave="{ADE9D8E9-41D0-4317-812A-3CB28A3B3352}"/>
  <bookViews>
    <workbookView xWindow="-98" yWindow="-98" windowWidth="22695" windowHeight="14746" activeTab="1" xr2:uid="{00000000-000D-0000-FFFF-FFFF00000000}"/>
  </bookViews>
  <sheets>
    <sheet name="Comparison" sheetId="1" r:id="rId1"/>
    <sheet name="C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2" i="2"/>
  <c r="H7" i="2"/>
  <c r="H6" i="2"/>
  <c r="H5" i="2"/>
  <c r="H4" i="2"/>
  <c r="H3" i="2"/>
  <c r="H2" i="2"/>
  <c r="J42" i="1" l="1"/>
  <c r="J41" i="1"/>
  <c r="J40" i="1"/>
  <c r="J39" i="1"/>
  <c r="I25" i="1"/>
  <c r="I24" i="1"/>
  <c r="I23" i="1"/>
  <c r="I21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9" i="1"/>
  <c r="D30" i="1"/>
  <c r="D31" i="1"/>
  <c r="D32" i="1"/>
  <c r="D33" i="1"/>
  <c r="D34" i="1"/>
  <c r="D35" i="1"/>
  <c r="D36" i="1"/>
  <c r="D37" i="1"/>
  <c r="D38" i="1"/>
  <c r="D39" i="1"/>
  <c r="D40" i="1"/>
  <c r="D44" i="1"/>
  <c r="D46" i="1"/>
  <c r="D47" i="1"/>
  <c r="D48" i="1"/>
  <c r="D49" i="1"/>
  <c r="D50" i="1"/>
  <c r="D51" i="1"/>
  <c r="D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9" i="1"/>
  <c r="C28" i="1"/>
  <c r="H19" i="1"/>
  <c r="D45" i="1" s="1"/>
  <c r="H18" i="1"/>
  <c r="H17" i="1"/>
  <c r="D43" i="1" s="1"/>
  <c r="H16" i="1"/>
  <c r="D42" i="1" s="1"/>
  <c r="H15" i="1"/>
  <c r="D41" i="1" s="1"/>
  <c r="H14" i="1"/>
</calcChain>
</file>

<file path=xl/sharedStrings.xml><?xml version="1.0" encoding="utf-8"?>
<sst xmlns="http://schemas.openxmlformats.org/spreadsheetml/2006/main" count="123" uniqueCount="48">
  <si>
    <t>Size</t>
  </si>
  <si>
    <t>Rated Torque 
@2000rpm (Nm)</t>
  </si>
  <si>
    <t>CSF</t>
  </si>
  <si>
    <t>FB</t>
  </si>
  <si>
    <t>CSD</t>
  </si>
  <si>
    <t>Series (all at 100:1)</t>
  </si>
  <si>
    <t>Limit for repeat peak torque (Nm)</t>
  </si>
  <si>
    <t>Limit for Average Input Speed (rpm)</t>
  </si>
  <si>
    <t>Moment of Inertia I (x10^-4 kgm^2)</t>
  </si>
  <si>
    <t>Moment of Inertia J (x10^-5 kgfms^2)</t>
  </si>
  <si>
    <t>Mass (kg)</t>
  </si>
  <si>
    <t>Outer Diameter (A) (mm)</t>
  </si>
  <si>
    <t>Total Thickness (B) (mm)</t>
  </si>
  <si>
    <t>Input Shaft Diameter (V) (mm)</t>
  </si>
  <si>
    <t>Backdriving Torque (Nm)</t>
  </si>
  <si>
    <t>Flexspline Mounting Diameter  (T1) (mm)</t>
  </si>
  <si>
    <t>Spline Ring Mounting Diameter (Q) (mm)</t>
  </si>
  <si>
    <t>Spline Ring Thickness (C2) (mm)</t>
  </si>
  <si>
    <t>Spline Ring Bolt Diameter (M) (mm)</t>
  </si>
  <si>
    <t>CSG</t>
  </si>
  <si>
    <t>Flexspline Bolt Diameter (S) (mm)</t>
  </si>
  <si>
    <t>Flexspline number of Bolts (R)</t>
  </si>
  <si>
    <t>Spline Ring number of Bolts (L)</t>
  </si>
  <si>
    <t>Bearing Mounting Diameter (mm)</t>
  </si>
  <si>
    <t>Bearing Number of Bolts</t>
  </si>
  <si>
    <t>Bearing Bolt Diameter (mm)</t>
  </si>
  <si>
    <t>x</t>
  </si>
  <si>
    <t>kg/Nm</t>
  </si>
  <si>
    <t>Backdriving Nm/Nm</t>
  </si>
  <si>
    <t>Comparing properties to rated torque</t>
  </si>
  <si>
    <t>Starting Torque (Nm)</t>
  </si>
  <si>
    <t>Input Speed (RPM)</t>
  </si>
  <si>
    <t>Efficiency (%)</t>
  </si>
  <si>
    <t>*for 40C, rated load, etc.</t>
  </si>
  <si>
    <t>Total Thickness t_total (mm)</t>
  </si>
  <si>
    <t>Spline Ring Thickness t_s  (mm)</t>
  </si>
  <si>
    <t>Spline Ring Mounting Diameter D_s (mm)</t>
  </si>
  <si>
    <t>Spline Ring number of Bolts n_s</t>
  </si>
  <si>
    <t>Spline Ring Bolt Diameter  d_s (mm)</t>
  </si>
  <si>
    <t>Flexspline Mounting Diameter D_f (mm)</t>
  </si>
  <si>
    <t>Flexspline number of Bolts n_f</t>
  </si>
  <si>
    <t>Flexspline Bolt Diameter d_f (mm)</t>
  </si>
  <si>
    <t>Bearing Mounting Diameter D_b (mm)</t>
  </si>
  <si>
    <t>Bearing Number of Bolts n_b</t>
  </si>
  <si>
    <t>Bearing Bolt Diameter d_b (mm)</t>
  </si>
  <si>
    <t>Spline Ring Outer Diameter D_o_s  (mm)</t>
  </si>
  <si>
    <t>Flexspline Outer Diameter D_o_f (mm)</t>
  </si>
  <si>
    <t>Rated Torque at 2000rpm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</si>
</sst>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Comparison!$C$2:$C$7</c:f>
              <c:numCache>
                <c:formatCode>General</c:formatCode>
                <c:ptCount val="6"/>
                <c:pt idx="0">
                  <c:v>7.8</c:v>
                </c:pt>
                <c:pt idx="1">
                  <c:v>40</c:v>
                </c:pt>
                <c:pt idx="2">
                  <c:v>67</c:v>
                </c:pt>
                <c:pt idx="3">
                  <c:v>137</c:v>
                </c:pt>
                <c:pt idx="4">
                  <c:v>265</c:v>
                </c:pt>
                <c:pt idx="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234-AF3D-277776A7898F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Comparison!$C$8:$C$13</c:f>
              <c:numCache>
                <c:formatCode>General</c:formatCode>
                <c:ptCount val="6"/>
                <c:pt idx="0">
                  <c:v>10</c:v>
                </c:pt>
                <c:pt idx="1">
                  <c:v>52</c:v>
                </c:pt>
                <c:pt idx="2">
                  <c:v>87</c:v>
                </c:pt>
                <c:pt idx="3">
                  <c:v>178</c:v>
                </c:pt>
                <c:pt idx="4">
                  <c:v>345</c:v>
                </c:pt>
                <c:pt idx="5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234-AF3D-277776A7898F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Comparison!$C$14:$C$19</c:f>
              <c:numCache>
                <c:formatCode>General</c:formatCode>
                <c:ptCount val="6"/>
                <c:pt idx="0">
                  <c:v>5.9</c:v>
                </c:pt>
                <c:pt idx="1">
                  <c:v>22</c:v>
                </c:pt>
                <c:pt idx="2">
                  <c:v>39</c:v>
                </c:pt>
                <c:pt idx="3">
                  <c:v>82</c:v>
                </c:pt>
                <c:pt idx="4">
                  <c:v>157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234-AF3D-277776A7898F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Comparison!$C$20:$C$25</c:f>
              <c:numCache>
                <c:formatCode>General</c:formatCode>
                <c:ptCount val="6"/>
                <c:pt idx="0">
                  <c:v>5.4</c:v>
                </c:pt>
                <c:pt idx="1">
                  <c:v>28</c:v>
                </c:pt>
                <c:pt idx="2">
                  <c:v>47</c:v>
                </c:pt>
                <c:pt idx="3">
                  <c:v>96</c:v>
                </c:pt>
                <c:pt idx="4">
                  <c:v>185</c:v>
                </c:pt>
                <c:pt idx="5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B-4234-AF3D-277776A7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Rated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Comparison!$H$2:$H$7</c:f>
              <c:numCache>
                <c:formatCode>General</c:formatCode>
                <c:ptCount val="6"/>
                <c:pt idx="0">
                  <c:v>1.7</c:v>
                </c:pt>
                <c:pt idx="1">
                  <c:v>4.5</c:v>
                </c:pt>
                <c:pt idx="2">
                  <c:v>8.4</c:v>
                </c:pt>
                <c:pt idx="3">
                  <c:v>18</c:v>
                </c:pt>
                <c:pt idx="4">
                  <c:v>41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1-4900-9FEF-FC3F4F3D433E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Comparison!$H$8:$H$13</c:f>
              <c:numCache>
                <c:formatCode>General</c:formatCode>
                <c:ptCount val="6"/>
                <c:pt idx="0">
                  <c:v>1.9</c:v>
                </c:pt>
                <c:pt idx="1">
                  <c:v>5</c:v>
                </c:pt>
                <c:pt idx="2">
                  <c:v>9.1999999999999993</c:v>
                </c:pt>
                <c:pt idx="3">
                  <c:v>20</c:v>
                </c:pt>
                <c:pt idx="4">
                  <c:v>34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1-4900-9FEF-FC3F4F3D433E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Comparison!$H$14:$H$19</c:f>
              <c:numCache>
                <c:formatCode>General</c:formatCode>
                <c:ptCount val="6"/>
                <c:pt idx="0">
                  <c:v>2.4525000000000001</c:v>
                </c:pt>
                <c:pt idx="1">
                  <c:v>4.9050000000000002</c:v>
                </c:pt>
                <c:pt idx="2">
                  <c:v>7.8480000000000008</c:v>
                </c:pt>
                <c:pt idx="3">
                  <c:v>10.791000000000002</c:v>
                </c:pt>
                <c:pt idx="4">
                  <c:v>24.525000000000002</c:v>
                </c:pt>
                <c:pt idx="5">
                  <c:v>49.050000000000004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1-4900-9FEF-FC3F4F3D433E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Comparison!$H$20:$H$25</c:f>
              <c:numCache>
                <c:formatCode>General</c:formatCode>
                <c:ptCount val="6"/>
                <c:pt idx="0">
                  <c:v>3.1</c:v>
                </c:pt>
                <c:pt idx="1">
                  <c:v>5.2</c:v>
                </c:pt>
                <c:pt idx="2">
                  <c:v>9.6</c:v>
                </c:pt>
                <c:pt idx="3">
                  <c:v>21</c:v>
                </c:pt>
                <c:pt idx="4">
                  <c:v>35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1-4900-9FEF-FC3F4F3D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Backdriving</a:t>
                </a:r>
                <a:r>
                  <a:rPr lang="fr-CA" baseline="0"/>
                  <a:t> Torque</a:t>
                </a:r>
                <a:r>
                  <a:rPr lang="fr-CA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Comparison!$L$2:$L$7</c:f>
              <c:numCache>
                <c:formatCode>General</c:formatCode>
                <c:ptCount val="6"/>
                <c:pt idx="0">
                  <c:v>28.5</c:v>
                </c:pt>
                <c:pt idx="1">
                  <c:v>33.5</c:v>
                </c:pt>
                <c:pt idx="2">
                  <c:v>37</c:v>
                </c:pt>
                <c:pt idx="3">
                  <c:v>44</c:v>
                </c:pt>
                <c:pt idx="4">
                  <c:v>53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E-42DF-AED8-03742A6764A2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Comparison!$L$8:$L$13</c:f>
              <c:numCache>
                <c:formatCode>General</c:formatCode>
                <c:ptCount val="6"/>
                <c:pt idx="0">
                  <c:v>28.5</c:v>
                </c:pt>
                <c:pt idx="1">
                  <c:v>33.5</c:v>
                </c:pt>
                <c:pt idx="2">
                  <c:v>37</c:v>
                </c:pt>
                <c:pt idx="3">
                  <c:v>44</c:v>
                </c:pt>
                <c:pt idx="4">
                  <c:v>53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E-42DF-AED8-03742A6764A2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Comparison!$L$14:$L$19</c:f>
              <c:numCache>
                <c:formatCode>General</c:formatCode>
                <c:ptCount val="6"/>
                <c:pt idx="0">
                  <c:v>10.5</c:v>
                </c:pt>
                <c:pt idx="1">
                  <c:v>12.5</c:v>
                </c:pt>
                <c:pt idx="2">
                  <c:v>16.5</c:v>
                </c:pt>
                <c:pt idx="3">
                  <c:v>20.5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E-42DF-AED8-03742A6764A2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Comparison!$L$20:$L$25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E-42DF-AED8-03742A67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Thickness</a:t>
                </a:r>
                <a:r>
                  <a:rPr lang="fr-CA" baseline="0"/>
                  <a:t> (mm)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Comparison!$J$2:$J$7</c:f>
              <c:numCache>
                <c:formatCode>General</c:formatCode>
                <c:ptCount val="6"/>
                <c:pt idx="0">
                  <c:v>0.09</c:v>
                </c:pt>
                <c:pt idx="1">
                  <c:v>0.28000000000000003</c:v>
                </c:pt>
                <c:pt idx="2">
                  <c:v>0.42</c:v>
                </c:pt>
                <c:pt idx="3">
                  <c:v>0.89</c:v>
                </c:pt>
                <c:pt idx="4">
                  <c:v>1.7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B48-B093-FFA605BE2462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Comparison!$J$8:$J$13</c:f>
              <c:numCache>
                <c:formatCode>General</c:formatCode>
                <c:ptCount val="6"/>
                <c:pt idx="0">
                  <c:v>0.09</c:v>
                </c:pt>
                <c:pt idx="1">
                  <c:v>0.28000000000000003</c:v>
                </c:pt>
                <c:pt idx="2">
                  <c:v>0.42</c:v>
                </c:pt>
                <c:pt idx="3">
                  <c:v>0.89</c:v>
                </c:pt>
                <c:pt idx="4">
                  <c:v>1.7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B-4B48-B093-FFA605BE2462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Comparison!$J$14:$J$19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1.8</c:v>
                </c:pt>
                <c:pt idx="5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B-4B48-B093-FFA605BE2462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Comparison!$J$20:$J$25</c:f>
              <c:numCache>
                <c:formatCode>General</c:formatCode>
                <c:ptCount val="6"/>
                <c:pt idx="0">
                  <c:v>0.06</c:v>
                </c:pt>
                <c:pt idx="1">
                  <c:v>0.13</c:v>
                </c:pt>
                <c:pt idx="2">
                  <c:v>0.24</c:v>
                </c:pt>
                <c:pt idx="3">
                  <c:v>0.51</c:v>
                </c:pt>
                <c:pt idx="4">
                  <c:v>0.92</c:v>
                </c:pt>
                <c:pt idx="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B-4B48-B093-FFA605BE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Comparison!$C$28:$C$33</c:f>
              <c:numCache>
                <c:formatCode>General</c:formatCode>
                <c:ptCount val="6"/>
                <c:pt idx="0">
                  <c:v>1.1538461538461539E-2</c:v>
                </c:pt>
                <c:pt idx="1">
                  <c:v>7.000000000000001E-3</c:v>
                </c:pt>
                <c:pt idx="2">
                  <c:v>6.2686567164179103E-3</c:v>
                </c:pt>
                <c:pt idx="3">
                  <c:v>6.4963503649635036E-3</c:v>
                </c:pt>
                <c:pt idx="4">
                  <c:v>6.4150943396226413E-3</c:v>
                </c:pt>
                <c:pt idx="5">
                  <c:v>6.8085106382978731E-3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F-4070-BCF9-8BC969ADE83E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Comparison!$C$34:$C$39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5.3846153846153853E-3</c:v>
                </c:pt>
                <c:pt idx="2">
                  <c:v>4.8275862068965511E-3</c:v>
                </c:pt>
                <c:pt idx="3">
                  <c:v>5.0000000000000001E-3</c:v>
                </c:pt>
                <c:pt idx="4">
                  <c:v>4.9275362318840577E-3</c:v>
                </c:pt>
                <c:pt idx="5">
                  <c:v>5.2373158756137484E-3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F-4070-BCF9-8BC969ADE83E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Comparison!$C$40:$C$45</c:f>
              <c:numCache>
                <c:formatCode>General</c:formatCode>
                <c:ptCount val="6"/>
                <c:pt idx="0">
                  <c:v>1.6949152542372881E-2</c:v>
                </c:pt>
                <c:pt idx="1">
                  <c:v>1.3636363636363636E-2</c:v>
                </c:pt>
                <c:pt idx="2">
                  <c:v>1.282051282051282E-2</c:v>
                </c:pt>
                <c:pt idx="3">
                  <c:v>1.2195121951219513E-2</c:v>
                </c:pt>
                <c:pt idx="4">
                  <c:v>1.1464968152866243E-2</c:v>
                </c:pt>
                <c:pt idx="5">
                  <c:v>1.0211267605633803E-2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F-4070-BCF9-8BC969ADE83E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Comparison!$C$46:$C$51</c:f>
              <c:numCache>
                <c:formatCode>General</c:formatCode>
                <c:ptCount val="6"/>
                <c:pt idx="0">
                  <c:v>1.111111111111111E-2</c:v>
                </c:pt>
                <c:pt idx="1">
                  <c:v>4.642857142857143E-3</c:v>
                </c:pt>
                <c:pt idx="2">
                  <c:v>5.106382978723404E-3</c:v>
                </c:pt>
                <c:pt idx="3">
                  <c:v>5.3125000000000004E-3</c:v>
                </c:pt>
                <c:pt idx="4">
                  <c:v>4.972972972972973E-3</c:v>
                </c:pt>
                <c:pt idx="5">
                  <c:v>5.7750759878419447E-3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F-4070-BCF9-8BC969AD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Mass per Nm</a:t>
                </a:r>
                <a:r>
                  <a:rPr lang="fr-CA" baseline="0"/>
                  <a:t> </a:t>
                </a:r>
                <a:r>
                  <a:rPr lang="fr-CA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Comparison!$D$28:$D$33</c:f>
              <c:numCache>
                <c:formatCode>General</c:formatCode>
                <c:ptCount val="6"/>
                <c:pt idx="0">
                  <c:v>0.21794871794871795</c:v>
                </c:pt>
                <c:pt idx="1">
                  <c:v>0.1125</c:v>
                </c:pt>
                <c:pt idx="2">
                  <c:v>0.12537313432835823</c:v>
                </c:pt>
                <c:pt idx="3">
                  <c:v>0.13138686131386862</c:v>
                </c:pt>
                <c:pt idx="4">
                  <c:v>0.15471698113207547</c:v>
                </c:pt>
                <c:pt idx="5">
                  <c:v>0.12127659574468085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082-9214-395CAF6CA7F6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Comparison!$D$34:$D$39</c:f>
              <c:numCache>
                <c:formatCode>General</c:formatCode>
                <c:ptCount val="6"/>
                <c:pt idx="0">
                  <c:v>0.19</c:v>
                </c:pt>
                <c:pt idx="1">
                  <c:v>9.6153846153846159E-2</c:v>
                </c:pt>
                <c:pt idx="2">
                  <c:v>0.10574712643678161</c:v>
                </c:pt>
                <c:pt idx="3">
                  <c:v>0.11235955056179775</c:v>
                </c:pt>
                <c:pt idx="4">
                  <c:v>9.8550724637681164E-2</c:v>
                </c:pt>
                <c:pt idx="5">
                  <c:v>0.10310965630114566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B-4082-9214-395CAF6CA7F6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Comparison!$D$40:$D$45</c:f>
              <c:numCache>
                <c:formatCode>General</c:formatCode>
                <c:ptCount val="6"/>
                <c:pt idx="0">
                  <c:v>0.41567796610169488</c:v>
                </c:pt>
                <c:pt idx="1">
                  <c:v>0.22295454545454546</c:v>
                </c:pt>
                <c:pt idx="2">
                  <c:v>0.20123076923076924</c:v>
                </c:pt>
                <c:pt idx="3">
                  <c:v>0.13159756097560979</c:v>
                </c:pt>
                <c:pt idx="4">
                  <c:v>0.15621019108280257</c:v>
                </c:pt>
                <c:pt idx="5">
                  <c:v>0.17271126760563382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B-4082-9214-395CAF6CA7F6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Comparison!$B$2:$B$7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Comparison!$D$46:$D$51</c:f>
              <c:numCache>
                <c:formatCode>General</c:formatCode>
                <c:ptCount val="6"/>
                <c:pt idx="0">
                  <c:v>0.57407407407407407</c:v>
                </c:pt>
                <c:pt idx="1">
                  <c:v>0.18571428571428572</c:v>
                </c:pt>
                <c:pt idx="2">
                  <c:v>0.20425531914893616</c:v>
                </c:pt>
                <c:pt idx="3">
                  <c:v>0.21875</c:v>
                </c:pt>
                <c:pt idx="4">
                  <c:v>0.1891891891891892</c:v>
                </c:pt>
                <c:pt idx="5">
                  <c:v>0.20364741641337386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B-4082-9214-395CAF6C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Backdriving Nm per Nm (higher</a:t>
                </a:r>
                <a:r>
                  <a:rPr lang="fr-CA" baseline="0"/>
                  <a:t> is better)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Comparison!$H$31</c:f>
              <c:strCache>
                <c:ptCount val="1"/>
                <c:pt idx="0">
                  <c:v>CSF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Comparison!$I$31:$I$34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cat>
          <c:val>
            <c:numRef>
              <c:f>Comparison!$J$31:$J$34</c:f>
              <c:numCache>
                <c:formatCode>General</c:formatCode>
                <c:ptCount val="4"/>
                <c:pt idx="0">
                  <c:v>87</c:v>
                </c:pt>
                <c:pt idx="1">
                  <c:v>84</c:v>
                </c:pt>
                <c:pt idx="2">
                  <c:v>82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8-4795-A5BC-0B0A40BBDE5E}"/>
            </c:ext>
          </c:extLst>
        </c:ser>
        <c:ser>
          <c:idx val="1"/>
          <c:order val="1"/>
          <c:tx>
            <c:strRef>
              <c:f>Comparison!$A$8</c:f>
              <c:strCache>
                <c:ptCount val="1"/>
                <c:pt idx="0">
                  <c:v>CSG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Comparison!$I$31:$I$34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cat>
          <c:val>
            <c:numRef>
              <c:f>Comparison!$J$35:$J$38</c:f>
              <c:numCache>
                <c:formatCode>General</c:formatCode>
                <c:ptCount val="4"/>
                <c:pt idx="0">
                  <c:v>87</c:v>
                </c:pt>
                <c:pt idx="1">
                  <c:v>84</c:v>
                </c:pt>
                <c:pt idx="2">
                  <c:v>82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8-4795-A5BC-0B0A40BBDE5E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Comparison!$I$31:$I$34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cat>
          <c:val>
            <c:numRef>
              <c:f>Comparison!$J$39:$J$42</c:f>
              <c:numCache>
                <c:formatCode>General</c:formatCode>
                <c:ptCount val="4"/>
                <c:pt idx="0">
                  <c:v>68.528007667347239</c:v>
                </c:pt>
                <c:pt idx="1">
                  <c:v>64.958744269215643</c:v>
                </c:pt>
                <c:pt idx="2">
                  <c:v>61.575385023836958</c:v>
                </c:pt>
                <c:pt idx="3">
                  <c:v>58.972819219307723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8-4795-A5BC-0B0A40BBDE5E}"/>
            </c:ext>
          </c:extLst>
        </c:ser>
        <c:ser>
          <c:idx val="3"/>
          <c:order val="3"/>
          <c:tx>
            <c:strRef>
              <c:f>Comparison!$A$20</c:f>
              <c:strCache>
                <c:ptCount val="1"/>
                <c:pt idx="0">
                  <c:v>CSD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Comparison!$I$31:$I$34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3500</c:v>
                </c:pt>
              </c:numCache>
            </c:numRef>
          </c:cat>
          <c:val>
            <c:numRef>
              <c:f>Comparison!$J$43:$J$46</c:f>
              <c:numCache>
                <c:formatCode>General</c:formatCode>
                <c:ptCount val="4"/>
                <c:pt idx="0">
                  <c:v>82</c:v>
                </c:pt>
                <c:pt idx="1">
                  <c:v>78</c:v>
                </c:pt>
                <c:pt idx="2">
                  <c:v>74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8-4795-A5BC-0B0A40BB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47392"/>
        <c:axId val="1839669440"/>
      </c:lineChart>
      <c:catAx>
        <c:axId val="182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speed</a:t>
                </a:r>
                <a:r>
                  <a:rPr lang="fr-CA" baseline="0"/>
                  <a:t> (rpm)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669440"/>
        <c:crosses val="autoZero"/>
        <c:auto val="1"/>
        <c:lblAlgn val="ctr"/>
        <c:lblOffset val="100"/>
        <c:noMultiLvlLbl val="0"/>
      </c:catAx>
      <c:valAx>
        <c:axId val="18396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Speed</a:t>
                </a:r>
                <a:r>
                  <a:rPr lang="fr-CA" baseline="0"/>
                  <a:t> based effiiency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102395</xdr:colOff>
      <xdr:row>26</xdr:row>
      <xdr:rowOff>211932</xdr:rowOff>
    </xdr:from>
    <xdr:to>
      <xdr:col>19</xdr:col>
      <xdr:colOff>140495</xdr:colOff>
      <xdr:row>40</xdr:row>
      <xdr:rowOff>59532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992B-6FFB-457A-8F92-66A1D183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</xdr:colOff>
      <xdr:row>26</xdr:row>
      <xdr:rowOff>219073</xdr:rowOff>
    </xdr:from>
    <xdr:to>
      <xdr:col>10</xdr:col>
      <xdr:colOff>381000</xdr:colOff>
      <xdr:row>38</xdr:row>
      <xdr:rowOff>66673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60248-E01B-46EF-900E-9BBD1A7E2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581027</xdr:colOff>
      <xdr:row>32</xdr:row>
      <xdr:rowOff>104775</xdr:rowOff>
    </xdr:from>
    <xdr:to>
      <xdr:col>15</xdr:col>
      <xdr:colOff>23813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8CBBF-A7C3-429D-9728-0EEFBA0F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547687</xdr:colOff>
      <xdr:row>45</xdr:row>
      <xdr:rowOff>114300</xdr:rowOff>
    </xdr:from>
    <xdr:to>
      <xdr:col>14</xdr:col>
      <xdr:colOff>514350</xdr:colOff>
      <xdr:row>60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02022B-F16D-482E-BC63-9D505F0A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14289</xdr:rowOff>
    </xdr:from>
    <xdr:to>
      <xdr:col>8</xdr:col>
      <xdr:colOff>342900</xdr:colOff>
      <xdr:row>61</xdr:row>
      <xdr:rowOff>61913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8D84CF-53F9-418B-A2E8-CE31A3478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609600</xdr:colOff>
      <xdr:row>44</xdr:row>
      <xdr:rowOff>38102</xdr:rowOff>
    </xdr:from>
    <xdr:to>
      <xdr:col>22</xdr:col>
      <xdr:colOff>295276</xdr:colOff>
      <xdr:row>60</xdr:row>
      <xdr:rowOff>28576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F922F-FC7F-4AA4-808C-7B43C8AC3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509588</xdr:colOff>
      <xdr:row>29</xdr:row>
      <xdr:rowOff>219076</xdr:rowOff>
    </xdr:from>
    <xdr:to>
      <xdr:col>22</xdr:col>
      <xdr:colOff>195264</xdr:colOff>
      <xdr:row>44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005FF2-4F98-454B-B0ED-3C2327125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104776</xdr:colOff>
      <xdr:row>22</xdr:row>
      <xdr:rowOff>36473</xdr:rowOff>
    </xdr:from>
    <xdr:to>
      <xdr:col>13</xdr:col>
      <xdr:colOff>142876</xdr:colOff>
      <xdr:row>47</xdr:row>
      <xdr:rowOff>9583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817E4-F39A-46DD-AA46-8D0F5F43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6" y="4922798"/>
          <a:ext cx="6515100" cy="449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zoomScale="70" zoomScaleNormal="70" workbookViewId="0">
      <selection activeCell="B1" sqref="B1:W1"/>
    </sheetView>
  </sheetViews>
  <sheetFormatPr defaultRowHeight="14.25" x14ac:dyDescent="0.45"/>
  <cols>
    <col min="1" max="1" width="6" customWidth="1"/>
    <col min="2" max="2" width="3.73046875" bestFit="1" customWidth="1"/>
    <col min="3" max="3" width="10.19921875" style="1" customWidth="1"/>
    <col min="4" max="4" width="8.73046875" style="1" customWidth="1"/>
    <col min="5" max="10" width="8.53125" style="1" customWidth="1"/>
    <col min="11" max="11" width="8.59765625" style="1" customWidth="1"/>
    <col min="12" max="12" width="8.46484375" style="1" customWidth="1"/>
    <col min="13" max="18" width="9.06640625" style="1"/>
    <col min="20" max="20" width="9.06640625" style="1"/>
  </cols>
  <sheetData>
    <row r="1" spans="1:23" s="4" customFormat="1" ht="71.25" x14ac:dyDescent="0.45">
      <c r="A1" s="3" t="s">
        <v>5</v>
      </c>
      <c r="B1" s="4" t="s">
        <v>0</v>
      </c>
      <c r="C1" s="3" t="s">
        <v>1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14</v>
      </c>
      <c r="I1" s="3" t="s">
        <v>30</v>
      </c>
      <c r="J1" s="3" t="s">
        <v>10</v>
      </c>
      <c r="K1" s="3" t="s">
        <v>11</v>
      </c>
      <c r="L1" s="3" t="s">
        <v>12</v>
      </c>
      <c r="M1" s="3" t="s">
        <v>17</v>
      </c>
      <c r="N1" s="3" t="s">
        <v>16</v>
      </c>
      <c r="O1" s="3" t="s">
        <v>22</v>
      </c>
      <c r="P1" s="3" t="s">
        <v>18</v>
      </c>
      <c r="Q1" s="3" t="s">
        <v>15</v>
      </c>
      <c r="R1" s="3" t="s">
        <v>21</v>
      </c>
      <c r="S1" s="3" t="s">
        <v>20</v>
      </c>
      <c r="T1" s="3" t="s">
        <v>13</v>
      </c>
      <c r="U1" s="3" t="s">
        <v>23</v>
      </c>
      <c r="V1" s="3" t="s">
        <v>24</v>
      </c>
      <c r="W1" s="3" t="s">
        <v>25</v>
      </c>
    </row>
    <row r="2" spans="1:23" x14ac:dyDescent="0.45">
      <c r="A2" t="s">
        <v>2</v>
      </c>
      <c r="B2">
        <v>14</v>
      </c>
      <c r="C2" s="1">
        <v>7.8</v>
      </c>
      <c r="D2" s="1">
        <v>28</v>
      </c>
      <c r="E2" s="1">
        <v>3500</v>
      </c>
      <c r="F2" s="1">
        <v>3.3000000000000002E-2</v>
      </c>
      <c r="G2" s="1">
        <v>3.4000000000000002E-2</v>
      </c>
      <c r="H2" s="1">
        <v>1.7</v>
      </c>
      <c r="I2" s="1">
        <f>2.1/100</f>
        <v>2.1000000000000001E-2</v>
      </c>
      <c r="J2" s="1">
        <v>0.09</v>
      </c>
      <c r="K2" s="1">
        <v>50</v>
      </c>
      <c r="L2" s="1">
        <v>28.5</v>
      </c>
      <c r="M2" s="1">
        <v>11</v>
      </c>
      <c r="N2" s="1">
        <v>44</v>
      </c>
      <c r="O2" s="1">
        <v>6</v>
      </c>
      <c r="P2" s="1">
        <v>3.5</v>
      </c>
      <c r="Q2" s="1">
        <v>17</v>
      </c>
      <c r="R2" s="1">
        <v>6</v>
      </c>
      <c r="S2">
        <v>4.5</v>
      </c>
      <c r="T2" s="1">
        <v>6</v>
      </c>
      <c r="U2" s="2" t="s">
        <v>26</v>
      </c>
      <c r="V2" s="2" t="s">
        <v>26</v>
      </c>
      <c r="W2" s="2" t="s">
        <v>26</v>
      </c>
    </row>
    <row r="3" spans="1:23" x14ac:dyDescent="0.45">
      <c r="B3">
        <v>20</v>
      </c>
      <c r="C3" s="1">
        <v>40</v>
      </c>
      <c r="D3" s="1">
        <v>82</v>
      </c>
      <c r="E3" s="1">
        <v>3500</v>
      </c>
      <c r="F3" s="1">
        <v>0.193</v>
      </c>
      <c r="G3" s="1">
        <v>0.19700000000000001</v>
      </c>
      <c r="H3" s="1">
        <v>4.5</v>
      </c>
      <c r="I3" s="1">
        <f>3.7/100</f>
        <v>3.7000000000000005E-2</v>
      </c>
      <c r="J3" s="1">
        <v>0.28000000000000003</v>
      </c>
      <c r="K3" s="1">
        <v>70</v>
      </c>
      <c r="L3" s="1">
        <v>33.5</v>
      </c>
      <c r="M3" s="1">
        <v>12</v>
      </c>
      <c r="N3" s="1">
        <v>62</v>
      </c>
      <c r="O3" s="1">
        <v>12</v>
      </c>
      <c r="P3" s="1">
        <v>3.5</v>
      </c>
      <c r="Q3" s="1">
        <v>24</v>
      </c>
      <c r="R3" s="1">
        <v>8</v>
      </c>
      <c r="S3">
        <v>5.5</v>
      </c>
      <c r="T3" s="1">
        <v>9</v>
      </c>
      <c r="U3" s="2" t="s">
        <v>26</v>
      </c>
      <c r="V3" s="2" t="s">
        <v>26</v>
      </c>
      <c r="W3" s="2" t="s">
        <v>26</v>
      </c>
    </row>
    <row r="4" spans="1:23" x14ac:dyDescent="0.45">
      <c r="B4">
        <v>25</v>
      </c>
      <c r="C4" s="1">
        <v>67</v>
      </c>
      <c r="D4" s="1">
        <v>157</v>
      </c>
      <c r="E4" s="1">
        <v>3500</v>
      </c>
      <c r="F4" s="1">
        <v>0.41299999999999998</v>
      </c>
      <c r="G4" s="1">
        <v>0.42099999999999999</v>
      </c>
      <c r="H4" s="1">
        <v>8.4</v>
      </c>
      <c r="I4" s="1">
        <f>6.9/100</f>
        <v>6.9000000000000006E-2</v>
      </c>
      <c r="J4" s="1">
        <v>0.42</v>
      </c>
      <c r="K4" s="1">
        <v>85</v>
      </c>
      <c r="L4" s="1">
        <v>37</v>
      </c>
      <c r="M4" s="1">
        <v>13</v>
      </c>
      <c r="N4" s="1">
        <v>75</v>
      </c>
      <c r="O4" s="1">
        <v>12</v>
      </c>
      <c r="P4" s="1">
        <v>4.5</v>
      </c>
      <c r="Q4" s="1">
        <v>30</v>
      </c>
      <c r="R4" s="1">
        <v>8</v>
      </c>
      <c r="S4">
        <v>6.6</v>
      </c>
      <c r="T4" s="1">
        <v>11</v>
      </c>
      <c r="U4" s="2" t="s">
        <v>26</v>
      </c>
      <c r="V4" s="2" t="s">
        <v>26</v>
      </c>
      <c r="W4" s="2" t="s">
        <v>26</v>
      </c>
    </row>
    <row r="5" spans="1:23" x14ac:dyDescent="0.45">
      <c r="B5">
        <v>32</v>
      </c>
      <c r="C5" s="1">
        <v>137</v>
      </c>
      <c r="D5" s="1">
        <v>333</v>
      </c>
      <c r="E5" s="1">
        <v>3500</v>
      </c>
      <c r="F5" s="1">
        <v>1.69</v>
      </c>
      <c r="G5" s="1">
        <v>1.72</v>
      </c>
      <c r="H5" s="1">
        <v>18</v>
      </c>
      <c r="I5" s="1">
        <f>15/100</f>
        <v>0.15</v>
      </c>
      <c r="J5" s="1">
        <v>0.89</v>
      </c>
      <c r="K5" s="1">
        <v>110</v>
      </c>
      <c r="L5" s="1">
        <v>44</v>
      </c>
      <c r="M5" s="1">
        <v>16</v>
      </c>
      <c r="N5" s="1">
        <v>100</v>
      </c>
      <c r="O5" s="1">
        <v>12</v>
      </c>
      <c r="P5" s="1">
        <v>5.5</v>
      </c>
      <c r="Q5" s="1">
        <v>40</v>
      </c>
      <c r="R5" s="1">
        <v>8</v>
      </c>
      <c r="S5">
        <v>9</v>
      </c>
      <c r="T5" s="1">
        <v>14</v>
      </c>
      <c r="U5" s="2" t="s">
        <v>26</v>
      </c>
      <c r="V5" s="2" t="s">
        <v>26</v>
      </c>
      <c r="W5" s="2" t="s">
        <v>26</v>
      </c>
    </row>
    <row r="6" spans="1:23" x14ac:dyDescent="0.45">
      <c r="B6">
        <v>40</v>
      </c>
      <c r="C6" s="1">
        <v>265</v>
      </c>
      <c r="D6" s="1">
        <v>568</v>
      </c>
      <c r="E6" s="1">
        <v>3000</v>
      </c>
      <c r="F6" s="1">
        <v>4.5</v>
      </c>
      <c r="G6" s="1">
        <v>4.59</v>
      </c>
      <c r="H6" s="1">
        <v>41</v>
      </c>
      <c r="I6" s="1">
        <f>26/100</f>
        <v>0.26</v>
      </c>
      <c r="J6" s="1">
        <v>1.7</v>
      </c>
      <c r="K6" s="1">
        <v>135</v>
      </c>
      <c r="L6" s="1">
        <v>53</v>
      </c>
      <c r="M6" s="1">
        <v>19</v>
      </c>
      <c r="N6" s="1">
        <v>120</v>
      </c>
      <c r="O6" s="1">
        <v>12</v>
      </c>
      <c r="P6" s="1">
        <v>6.6</v>
      </c>
      <c r="Q6" s="1">
        <v>50</v>
      </c>
      <c r="R6" s="1">
        <v>8</v>
      </c>
      <c r="S6">
        <v>11</v>
      </c>
      <c r="T6" s="1">
        <v>14</v>
      </c>
      <c r="U6" s="2" t="s">
        <v>26</v>
      </c>
      <c r="V6" s="2" t="s">
        <v>26</v>
      </c>
      <c r="W6" s="2" t="s">
        <v>26</v>
      </c>
    </row>
    <row r="7" spans="1:23" x14ac:dyDescent="0.45">
      <c r="B7">
        <v>50</v>
      </c>
      <c r="C7" s="1">
        <v>470</v>
      </c>
      <c r="D7" s="1">
        <v>980</v>
      </c>
      <c r="E7" s="1">
        <v>3000</v>
      </c>
      <c r="F7" s="1">
        <v>12.5</v>
      </c>
      <c r="G7" s="1">
        <v>12.8</v>
      </c>
      <c r="H7" s="1">
        <v>57</v>
      </c>
      <c r="I7" s="1">
        <f>48/100</f>
        <v>0.48</v>
      </c>
      <c r="J7" s="1">
        <v>3.2</v>
      </c>
      <c r="K7" s="1">
        <v>170</v>
      </c>
      <c r="L7" s="1">
        <v>64</v>
      </c>
      <c r="M7" s="1">
        <v>23</v>
      </c>
      <c r="N7" s="1">
        <v>150</v>
      </c>
      <c r="O7" s="1">
        <v>12</v>
      </c>
      <c r="P7" s="1">
        <v>9</v>
      </c>
      <c r="Q7" s="1">
        <v>60</v>
      </c>
      <c r="R7" s="1">
        <v>8</v>
      </c>
      <c r="S7">
        <v>15.5</v>
      </c>
      <c r="T7" s="1">
        <v>19</v>
      </c>
      <c r="U7" s="2" t="s">
        <v>26</v>
      </c>
      <c r="V7" s="2" t="s">
        <v>26</v>
      </c>
      <c r="W7" s="2" t="s">
        <v>26</v>
      </c>
    </row>
    <row r="8" spans="1:23" x14ac:dyDescent="0.45">
      <c r="A8" t="s">
        <v>19</v>
      </c>
      <c r="B8">
        <v>14</v>
      </c>
      <c r="C8" s="1">
        <v>10</v>
      </c>
      <c r="D8" s="1">
        <v>36</v>
      </c>
      <c r="E8" s="1">
        <v>3500</v>
      </c>
      <c r="F8" s="1">
        <v>3.3000000000000002E-2</v>
      </c>
      <c r="G8" s="1">
        <v>3.4000000000000002E-2</v>
      </c>
      <c r="H8" s="1">
        <v>1.9</v>
      </c>
      <c r="I8" s="1">
        <f>2.3/100</f>
        <v>2.3E-2</v>
      </c>
      <c r="J8" s="1">
        <v>0.09</v>
      </c>
      <c r="K8" s="1">
        <v>50</v>
      </c>
      <c r="L8" s="1">
        <v>28.5</v>
      </c>
      <c r="M8" s="1">
        <v>11</v>
      </c>
      <c r="N8" s="1">
        <v>44</v>
      </c>
      <c r="O8" s="1">
        <v>8</v>
      </c>
      <c r="P8" s="1">
        <v>3.5</v>
      </c>
      <c r="Q8" s="1">
        <v>17</v>
      </c>
      <c r="R8" s="1">
        <v>6</v>
      </c>
      <c r="S8">
        <v>4.5</v>
      </c>
      <c r="T8" s="1">
        <v>6</v>
      </c>
      <c r="U8" s="2" t="s">
        <v>26</v>
      </c>
      <c r="V8" s="2" t="s">
        <v>26</v>
      </c>
      <c r="W8" s="2" t="s">
        <v>26</v>
      </c>
    </row>
    <row r="9" spans="1:23" x14ac:dyDescent="0.45">
      <c r="B9">
        <v>20</v>
      </c>
      <c r="C9" s="1">
        <v>52</v>
      </c>
      <c r="D9" s="1">
        <v>107</v>
      </c>
      <c r="E9" s="1">
        <v>3500</v>
      </c>
      <c r="F9" s="1">
        <v>0.193</v>
      </c>
      <c r="G9" s="1">
        <v>0.19700000000000001</v>
      </c>
      <c r="H9" s="1">
        <v>5</v>
      </c>
      <c r="I9" s="1">
        <f>4.1/100</f>
        <v>4.0999999999999995E-2</v>
      </c>
      <c r="J9" s="1">
        <v>0.28000000000000003</v>
      </c>
      <c r="K9" s="1">
        <v>70</v>
      </c>
      <c r="L9" s="1">
        <v>33.5</v>
      </c>
      <c r="M9" s="1">
        <v>12</v>
      </c>
      <c r="N9" s="1">
        <v>62</v>
      </c>
      <c r="O9" s="1">
        <v>16</v>
      </c>
      <c r="P9" s="1">
        <v>3.5</v>
      </c>
      <c r="Q9" s="1">
        <v>24</v>
      </c>
      <c r="R9" s="1">
        <v>8</v>
      </c>
      <c r="S9">
        <v>5.5</v>
      </c>
      <c r="T9" s="1">
        <v>9</v>
      </c>
      <c r="U9" s="2" t="s">
        <v>26</v>
      </c>
      <c r="V9" s="2" t="s">
        <v>26</v>
      </c>
      <c r="W9" s="2" t="s">
        <v>26</v>
      </c>
    </row>
    <row r="10" spans="1:23" x14ac:dyDescent="0.45">
      <c r="B10">
        <v>25</v>
      </c>
      <c r="C10" s="1">
        <v>87</v>
      </c>
      <c r="D10" s="1">
        <v>204</v>
      </c>
      <c r="E10" s="1">
        <v>3500</v>
      </c>
      <c r="F10" s="1">
        <v>0.41299999999999998</v>
      </c>
      <c r="G10" s="1">
        <v>0.42099999999999999</v>
      </c>
      <c r="H10" s="1">
        <v>9.1999999999999993</v>
      </c>
      <c r="I10" s="1">
        <f>7.6/100</f>
        <v>7.5999999999999998E-2</v>
      </c>
      <c r="J10" s="1">
        <v>0.42</v>
      </c>
      <c r="K10" s="1">
        <v>85</v>
      </c>
      <c r="L10" s="1">
        <v>37</v>
      </c>
      <c r="M10" s="1">
        <v>13</v>
      </c>
      <c r="N10" s="1">
        <v>75</v>
      </c>
      <c r="O10" s="1">
        <v>16</v>
      </c>
      <c r="P10" s="1">
        <v>4.5</v>
      </c>
      <c r="Q10" s="1">
        <v>30</v>
      </c>
      <c r="R10" s="1">
        <v>8</v>
      </c>
      <c r="S10">
        <v>6.6</v>
      </c>
      <c r="T10" s="1">
        <v>11</v>
      </c>
      <c r="U10" s="2" t="s">
        <v>26</v>
      </c>
      <c r="V10" s="2" t="s">
        <v>26</v>
      </c>
      <c r="W10" s="2" t="s">
        <v>26</v>
      </c>
    </row>
    <row r="11" spans="1:23" x14ac:dyDescent="0.45">
      <c r="B11">
        <v>32</v>
      </c>
      <c r="C11" s="1">
        <v>178</v>
      </c>
      <c r="D11" s="1">
        <v>433</v>
      </c>
      <c r="E11" s="1">
        <v>3500</v>
      </c>
      <c r="F11" s="1">
        <v>1.69</v>
      </c>
      <c r="G11" s="1">
        <v>1.72</v>
      </c>
      <c r="H11" s="1">
        <v>20</v>
      </c>
      <c r="I11" s="1">
        <f>17/100</f>
        <v>0.17</v>
      </c>
      <c r="J11" s="1">
        <v>0.89</v>
      </c>
      <c r="K11" s="1">
        <v>110</v>
      </c>
      <c r="L11" s="1">
        <v>44</v>
      </c>
      <c r="M11" s="1">
        <v>16</v>
      </c>
      <c r="N11" s="1">
        <v>100</v>
      </c>
      <c r="O11" s="1">
        <v>16</v>
      </c>
      <c r="P11" s="1">
        <v>5.5</v>
      </c>
      <c r="Q11" s="1">
        <v>40</v>
      </c>
      <c r="R11" s="1">
        <v>8</v>
      </c>
      <c r="S11">
        <v>9</v>
      </c>
      <c r="T11" s="1">
        <v>14</v>
      </c>
      <c r="U11" s="2" t="s">
        <v>26</v>
      </c>
      <c r="V11" s="2" t="s">
        <v>26</v>
      </c>
      <c r="W11" s="2" t="s">
        <v>26</v>
      </c>
    </row>
    <row r="12" spans="1:23" x14ac:dyDescent="0.45">
      <c r="B12">
        <v>40</v>
      </c>
      <c r="C12" s="1">
        <v>345</v>
      </c>
      <c r="D12" s="1">
        <v>738</v>
      </c>
      <c r="E12" s="1">
        <v>3000</v>
      </c>
      <c r="F12" s="1">
        <v>4.5</v>
      </c>
      <c r="G12" s="1">
        <v>4.59</v>
      </c>
      <c r="H12" s="1">
        <v>34</v>
      </c>
      <c r="I12" s="1">
        <f>29/100</f>
        <v>0.28999999999999998</v>
      </c>
      <c r="J12" s="1">
        <v>1.7</v>
      </c>
      <c r="K12" s="1">
        <v>135</v>
      </c>
      <c r="L12" s="1">
        <v>53</v>
      </c>
      <c r="M12" s="1">
        <v>19</v>
      </c>
      <c r="N12" s="1">
        <v>120</v>
      </c>
      <c r="O12" s="1">
        <v>16</v>
      </c>
      <c r="P12" s="1">
        <v>6.6</v>
      </c>
      <c r="Q12" s="1">
        <v>50</v>
      </c>
      <c r="R12" s="1">
        <v>8</v>
      </c>
      <c r="S12">
        <v>11</v>
      </c>
      <c r="T12" s="1">
        <v>14</v>
      </c>
      <c r="U12" s="2" t="s">
        <v>26</v>
      </c>
      <c r="V12" s="2" t="s">
        <v>26</v>
      </c>
      <c r="W12" s="2" t="s">
        <v>26</v>
      </c>
    </row>
    <row r="13" spans="1:23" x14ac:dyDescent="0.45">
      <c r="B13">
        <v>50</v>
      </c>
      <c r="C13" s="1">
        <v>611</v>
      </c>
      <c r="D13" s="1">
        <v>1274</v>
      </c>
      <c r="E13" s="1">
        <v>2500</v>
      </c>
      <c r="F13" s="1">
        <v>12.5</v>
      </c>
      <c r="G13" s="1">
        <v>12.8</v>
      </c>
      <c r="H13" s="1">
        <v>63</v>
      </c>
      <c r="I13" s="1">
        <f>53/100</f>
        <v>0.53</v>
      </c>
      <c r="J13" s="1">
        <v>3.2</v>
      </c>
      <c r="K13" s="1">
        <v>170</v>
      </c>
      <c r="L13" s="1">
        <v>64</v>
      </c>
      <c r="M13" s="1">
        <v>23</v>
      </c>
      <c r="N13" s="1">
        <v>150</v>
      </c>
      <c r="O13" s="1">
        <v>16</v>
      </c>
      <c r="P13" s="1">
        <v>9</v>
      </c>
      <c r="Q13" s="1">
        <v>60</v>
      </c>
      <c r="R13" s="1">
        <v>8</v>
      </c>
      <c r="S13">
        <v>15.5</v>
      </c>
      <c r="T13" s="1">
        <v>19</v>
      </c>
      <c r="U13" s="2" t="s">
        <v>26</v>
      </c>
      <c r="V13" s="2" t="s">
        <v>26</v>
      </c>
      <c r="W13" s="2" t="s">
        <v>26</v>
      </c>
    </row>
    <row r="14" spans="1:23" x14ac:dyDescent="0.45">
      <c r="A14" t="s">
        <v>3</v>
      </c>
      <c r="B14">
        <v>14</v>
      </c>
      <c r="C14" s="1">
        <v>5.9</v>
      </c>
      <c r="D14" s="1">
        <v>9.8000000000000007</v>
      </c>
      <c r="E14" s="1">
        <v>2500</v>
      </c>
      <c r="F14" s="1">
        <v>3.3000000000000002E-2</v>
      </c>
      <c r="G14" s="1">
        <v>3.4000000000000002E-2</v>
      </c>
      <c r="H14" s="1">
        <f>0.25*9.81</f>
        <v>2.4525000000000001</v>
      </c>
      <c r="I14" s="1">
        <f>0.1*9.81/100</f>
        <v>9.810000000000001E-3</v>
      </c>
      <c r="J14" s="1">
        <v>0.1</v>
      </c>
      <c r="K14" s="1">
        <v>50</v>
      </c>
      <c r="L14" s="1">
        <v>10.5</v>
      </c>
      <c r="M14" s="1">
        <v>5</v>
      </c>
      <c r="N14" s="1">
        <v>44</v>
      </c>
      <c r="O14" s="1">
        <v>6</v>
      </c>
      <c r="P14" s="1">
        <v>3</v>
      </c>
      <c r="Q14" s="1">
        <v>44</v>
      </c>
      <c r="R14" s="1">
        <v>6</v>
      </c>
      <c r="S14" s="1">
        <v>3</v>
      </c>
      <c r="T14" s="1">
        <v>6</v>
      </c>
      <c r="U14" s="2" t="s">
        <v>26</v>
      </c>
      <c r="V14" s="2" t="s">
        <v>26</v>
      </c>
      <c r="W14" s="2" t="s">
        <v>26</v>
      </c>
    </row>
    <row r="15" spans="1:23" x14ac:dyDescent="0.45">
      <c r="B15">
        <v>20</v>
      </c>
      <c r="C15" s="1">
        <v>22</v>
      </c>
      <c r="D15" s="1">
        <v>26</v>
      </c>
      <c r="E15" s="1">
        <v>2500</v>
      </c>
      <c r="F15" s="1">
        <v>0.13500000000000001</v>
      </c>
      <c r="G15" s="1">
        <v>0.13800000000000001</v>
      </c>
      <c r="H15" s="1">
        <f>0.5*9.81</f>
        <v>4.9050000000000002</v>
      </c>
      <c r="I15" s="1">
        <f>0.25*9.81/100</f>
        <v>2.4525000000000002E-2</v>
      </c>
      <c r="J15" s="1">
        <v>0.3</v>
      </c>
      <c r="K15" s="1">
        <v>70</v>
      </c>
      <c r="L15" s="1">
        <v>12.5</v>
      </c>
      <c r="M15" s="1">
        <v>6</v>
      </c>
      <c r="N15" s="1">
        <v>60</v>
      </c>
      <c r="O15" s="1">
        <v>6</v>
      </c>
      <c r="P15" s="1">
        <v>4</v>
      </c>
      <c r="Q15" s="1">
        <v>60</v>
      </c>
      <c r="R15" s="1">
        <v>6</v>
      </c>
      <c r="S15" s="1">
        <v>4</v>
      </c>
      <c r="T15" s="1">
        <v>9</v>
      </c>
      <c r="U15" s="2" t="s">
        <v>26</v>
      </c>
      <c r="V15" s="2" t="s">
        <v>26</v>
      </c>
      <c r="W15" s="2" t="s">
        <v>26</v>
      </c>
    </row>
    <row r="16" spans="1:23" x14ac:dyDescent="0.45">
      <c r="B16">
        <v>25</v>
      </c>
      <c r="C16" s="1">
        <v>39</v>
      </c>
      <c r="D16" s="1">
        <v>52</v>
      </c>
      <c r="E16" s="1">
        <v>2500</v>
      </c>
      <c r="F16" s="1">
        <v>0.36</v>
      </c>
      <c r="G16" s="1">
        <v>0.37</v>
      </c>
      <c r="H16" s="1">
        <f>0.8*9.81</f>
        <v>7.8480000000000008</v>
      </c>
      <c r="I16" s="1">
        <f>0.4*9.81/100</f>
        <v>3.9240000000000004E-2</v>
      </c>
      <c r="J16" s="1">
        <v>0.5</v>
      </c>
      <c r="K16" s="1">
        <v>85</v>
      </c>
      <c r="L16" s="1">
        <v>16.5</v>
      </c>
      <c r="M16" s="1">
        <v>8</v>
      </c>
      <c r="N16" s="1">
        <v>75</v>
      </c>
      <c r="O16" s="1">
        <v>6</v>
      </c>
      <c r="P16" s="1">
        <v>5</v>
      </c>
      <c r="Q16" s="1">
        <v>75</v>
      </c>
      <c r="R16" s="1">
        <v>6</v>
      </c>
      <c r="S16" s="1">
        <v>5</v>
      </c>
      <c r="T16" s="1">
        <v>14</v>
      </c>
      <c r="U16" s="2" t="s">
        <v>26</v>
      </c>
      <c r="V16" s="2" t="s">
        <v>26</v>
      </c>
      <c r="W16" s="2" t="s">
        <v>26</v>
      </c>
    </row>
    <row r="17" spans="1:23" x14ac:dyDescent="0.45">
      <c r="B17">
        <v>32</v>
      </c>
      <c r="C17" s="1">
        <v>82</v>
      </c>
      <c r="D17" s="1">
        <v>98</v>
      </c>
      <c r="E17" s="1">
        <v>2300</v>
      </c>
      <c r="F17" s="1">
        <v>1.29</v>
      </c>
      <c r="G17" s="1">
        <v>1.32</v>
      </c>
      <c r="H17" s="1">
        <f>1.1*9.81</f>
        <v>10.791000000000002</v>
      </c>
      <c r="I17" s="1">
        <f>0.6*9.81/100</f>
        <v>5.8860000000000003E-2</v>
      </c>
      <c r="J17" s="1">
        <v>1</v>
      </c>
      <c r="K17" s="1">
        <v>110</v>
      </c>
      <c r="L17" s="1">
        <v>20.5</v>
      </c>
      <c r="M17" s="1">
        <v>10</v>
      </c>
      <c r="N17" s="1">
        <v>100</v>
      </c>
      <c r="O17" s="1">
        <v>6</v>
      </c>
      <c r="P17" s="1">
        <v>6</v>
      </c>
      <c r="Q17" s="1">
        <v>100</v>
      </c>
      <c r="R17" s="1">
        <v>6</v>
      </c>
      <c r="S17" s="1">
        <v>6</v>
      </c>
      <c r="T17" s="1">
        <v>14</v>
      </c>
      <c r="U17" s="2" t="s">
        <v>26</v>
      </c>
      <c r="V17" s="2" t="s">
        <v>26</v>
      </c>
      <c r="W17" s="2" t="s">
        <v>26</v>
      </c>
    </row>
    <row r="18" spans="1:23" x14ac:dyDescent="0.45">
      <c r="B18">
        <v>40</v>
      </c>
      <c r="C18" s="1">
        <v>157</v>
      </c>
      <c r="D18" s="1">
        <v>186</v>
      </c>
      <c r="E18" s="1">
        <v>2000</v>
      </c>
      <c r="F18" s="1">
        <v>3.38</v>
      </c>
      <c r="G18" s="1">
        <v>3.45</v>
      </c>
      <c r="H18" s="1">
        <f>2.5*9.81</f>
        <v>24.525000000000002</v>
      </c>
      <c r="I18" s="1">
        <f>1*9.81/100</f>
        <v>9.8100000000000007E-2</v>
      </c>
      <c r="J18" s="1">
        <v>1.8</v>
      </c>
      <c r="K18" s="1">
        <v>135</v>
      </c>
      <c r="L18" s="1">
        <v>27</v>
      </c>
      <c r="M18" s="1">
        <v>13</v>
      </c>
      <c r="N18" s="1">
        <v>120</v>
      </c>
      <c r="O18" s="1">
        <v>6</v>
      </c>
      <c r="P18" s="1">
        <v>8</v>
      </c>
      <c r="Q18" s="1">
        <v>120</v>
      </c>
      <c r="R18" s="1">
        <v>6</v>
      </c>
      <c r="S18" s="1">
        <v>8</v>
      </c>
      <c r="T18" s="1">
        <v>14</v>
      </c>
      <c r="U18" s="2" t="s">
        <v>26</v>
      </c>
      <c r="V18" s="2" t="s">
        <v>26</v>
      </c>
      <c r="W18" s="2" t="s">
        <v>26</v>
      </c>
    </row>
    <row r="19" spans="1:23" x14ac:dyDescent="0.45">
      <c r="B19">
        <v>50</v>
      </c>
      <c r="C19" s="1">
        <v>284</v>
      </c>
      <c r="D19" s="1">
        <v>253</v>
      </c>
      <c r="E19" s="1">
        <v>1700</v>
      </c>
      <c r="F19" s="1">
        <v>9.9</v>
      </c>
      <c r="G19" s="1">
        <v>10</v>
      </c>
      <c r="H19" s="1">
        <f>5*9.81</f>
        <v>49.050000000000004</v>
      </c>
      <c r="I19" s="1">
        <f>2.5*9.81/100</f>
        <v>0.24525000000000002</v>
      </c>
      <c r="J19" s="1">
        <v>2.9</v>
      </c>
      <c r="K19" s="1">
        <v>170</v>
      </c>
      <c r="L19" s="1">
        <v>33</v>
      </c>
      <c r="M19" s="1">
        <v>16</v>
      </c>
      <c r="N19" s="1">
        <v>150</v>
      </c>
      <c r="O19" s="1">
        <v>6</v>
      </c>
      <c r="P19" s="1">
        <v>10</v>
      </c>
      <c r="Q19" s="1">
        <v>150</v>
      </c>
      <c r="R19" s="1">
        <v>6</v>
      </c>
      <c r="S19" s="1">
        <v>10</v>
      </c>
      <c r="T19" s="1">
        <v>19</v>
      </c>
      <c r="U19" s="2" t="s">
        <v>26</v>
      </c>
      <c r="V19" s="2" t="s">
        <v>26</v>
      </c>
      <c r="W19" s="2" t="s">
        <v>26</v>
      </c>
    </row>
    <row r="20" spans="1:23" x14ac:dyDescent="0.45">
      <c r="A20" t="s">
        <v>4</v>
      </c>
      <c r="B20">
        <v>14</v>
      </c>
      <c r="C20" s="1">
        <v>5.4</v>
      </c>
      <c r="D20" s="1">
        <v>19</v>
      </c>
      <c r="E20" s="1">
        <v>3500</v>
      </c>
      <c r="F20" s="1">
        <v>2.1000000000000001E-2</v>
      </c>
      <c r="G20" s="1">
        <v>2.1000000000000001E-2</v>
      </c>
      <c r="H20" s="1">
        <v>3.1</v>
      </c>
      <c r="I20" s="1">
        <f>2.3/100</f>
        <v>2.3E-2</v>
      </c>
      <c r="J20" s="1">
        <v>0.06</v>
      </c>
      <c r="K20" s="1">
        <v>50</v>
      </c>
      <c r="L20" s="1">
        <v>11</v>
      </c>
      <c r="M20" s="1">
        <v>4.5</v>
      </c>
      <c r="N20" s="1">
        <v>44</v>
      </c>
      <c r="O20" s="1">
        <v>6</v>
      </c>
      <c r="P20" s="1">
        <v>3.4</v>
      </c>
      <c r="Q20" s="1">
        <v>17</v>
      </c>
      <c r="R20" s="1">
        <v>9</v>
      </c>
      <c r="S20" s="1">
        <v>3.4</v>
      </c>
      <c r="T20" s="2" t="s">
        <v>26</v>
      </c>
      <c r="U20" s="1">
        <v>17</v>
      </c>
      <c r="V20" s="1">
        <v>4</v>
      </c>
      <c r="W20" s="1">
        <v>3</v>
      </c>
    </row>
    <row r="21" spans="1:23" x14ac:dyDescent="0.45">
      <c r="B21">
        <v>20</v>
      </c>
      <c r="C21" s="1">
        <v>28</v>
      </c>
      <c r="D21" s="1">
        <v>57</v>
      </c>
      <c r="E21" s="1">
        <v>3500</v>
      </c>
      <c r="F21" s="1">
        <v>0.09</v>
      </c>
      <c r="G21" s="1">
        <v>9.1999999999999998E-2</v>
      </c>
      <c r="H21" s="1">
        <v>5.2</v>
      </c>
      <c r="I21" s="1">
        <f>4.3/100</f>
        <v>4.2999999999999997E-2</v>
      </c>
      <c r="J21" s="1">
        <v>0.13</v>
      </c>
      <c r="K21" s="1">
        <v>70</v>
      </c>
      <c r="L21" s="1">
        <v>14</v>
      </c>
      <c r="M21" s="1">
        <v>6</v>
      </c>
      <c r="N21" s="1">
        <v>62</v>
      </c>
      <c r="O21" s="1">
        <v>12</v>
      </c>
      <c r="P21" s="1">
        <v>3.4</v>
      </c>
      <c r="Q21" s="1">
        <v>24</v>
      </c>
      <c r="R21" s="1">
        <v>9</v>
      </c>
      <c r="S21" s="1">
        <v>3.5</v>
      </c>
      <c r="T21" s="2" t="s">
        <v>26</v>
      </c>
      <c r="U21" s="1">
        <v>26</v>
      </c>
      <c r="V21" s="1">
        <v>4</v>
      </c>
      <c r="W21" s="1">
        <v>3</v>
      </c>
    </row>
    <row r="22" spans="1:23" x14ac:dyDescent="0.45">
      <c r="B22">
        <v>25</v>
      </c>
      <c r="C22" s="1">
        <v>47</v>
      </c>
      <c r="D22" s="1">
        <v>110</v>
      </c>
      <c r="E22" s="1">
        <v>3500</v>
      </c>
      <c r="F22" s="1">
        <v>0.28199999999999997</v>
      </c>
      <c r="G22" s="1">
        <v>0.28799999999999998</v>
      </c>
      <c r="H22" s="1">
        <v>9.6</v>
      </c>
      <c r="I22" s="1">
        <f>7.9/100</f>
        <v>7.9000000000000001E-2</v>
      </c>
      <c r="J22" s="1">
        <v>0.24</v>
      </c>
      <c r="K22" s="1">
        <v>85</v>
      </c>
      <c r="L22" s="1">
        <v>17</v>
      </c>
      <c r="M22" s="1">
        <v>7</v>
      </c>
      <c r="N22" s="1">
        <v>75</v>
      </c>
      <c r="O22" s="1">
        <v>12</v>
      </c>
      <c r="P22" s="1">
        <v>3.4</v>
      </c>
      <c r="Q22" s="1">
        <v>30</v>
      </c>
      <c r="R22" s="1">
        <v>9</v>
      </c>
      <c r="S22" s="1">
        <v>5.5</v>
      </c>
      <c r="T22" s="2" t="s">
        <v>26</v>
      </c>
      <c r="U22" s="1">
        <v>30</v>
      </c>
      <c r="V22" s="1">
        <v>4</v>
      </c>
      <c r="W22" s="1">
        <v>3</v>
      </c>
    </row>
    <row r="23" spans="1:23" x14ac:dyDescent="0.45">
      <c r="B23">
        <v>32</v>
      </c>
      <c r="C23" s="1">
        <v>96</v>
      </c>
      <c r="D23" s="1">
        <v>233</v>
      </c>
      <c r="E23" s="1">
        <v>3500</v>
      </c>
      <c r="F23" s="1">
        <v>1.0900000000000001</v>
      </c>
      <c r="G23" s="1">
        <v>1.1100000000000001</v>
      </c>
      <c r="H23" s="1">
        <v>21</v>
      </c>
      <c r="I23" s="1">
        <f>18/100</f>
        <v>0.18</v>
      </c>
      <c r="J23" s="1">
        <v>0.51</v>
      </c>
      <c r="K23" s="1">
        <v>110</v>
      </c>
      <c r="L23" s="1">
        <v>22</v>
      </c>
      <c r="M23" s="1">
        <v>9</v>
      </c>
      <c r="N23" s="1">
        <v>100</v>
      </c>
      <c r="O23" s="1">
        <v>12</v>
      </c>
      <c r="P23" s="1">
        <v>4.5</v>
      </c>
      <c r="Q23" s="1">
        <v>41</v>
      </c>
      <c r="R23" s="1">
        <v>11</v>
      </c>
      <c r="S23" s="1">
        <v>6.6</v>
      </c>
      <c r="T23" s="2" t="s">
        <v>26</v>
      </c>
      <c r="U23" s="1">
        <v>40</v>
      </c>
      <c r="V23" s="1">
        <v>4</v>
      </c>
      <c r="W23" s="1">
        <v>4</v>
      </c>
    </row>
    <row r="24" spans="1:23" x14ac:dyDescent="0.45">
      <c r="B24">
        <v>40</v>
      </c>
      <c r="C24" s="1">
        <v>185</v>
      </c>
      <c r="D24" s="1">
        <v>398</v>
      </c>
      <c r="E24" s="1">
        <v>3500</v>
      </c>
      <c r="F24" s="1">
        <v>2.85</v>
      </c>
      <c r="G24" s="1">
        <v>2.91</v>
      </c>
      <c r="H24" s="1">
        <v>35</v>
      </c>
      <c r="I24" s="1">
        <f>29/100</f>
        <v>0.28999999999999998</v>
      </c>
      <c r="J24" s="1">
        <v>0.92</v>
      </c>
      <c r="K24" s="1">
        <v>135</v>
      </c>
      <c r="L24" s="1">
        <v>27</v>
      </c>
      <c r="M24" s="1">
        <v>11</v>
      </c>
      <c r="N24" s="1">
        <v>120</v>
      </c>
      <c r="O24" s="1">
        <v>12</v>
      </c>
      <c r="P24" s="1">
        <v>5.5</v>
      </c>
      <c r="Q24" s="1">
        <v>48</v>
      </c>
      <c r="R24" s="1">
        <v>10</v>
      </c>
      <c r="S24" s="1">
        <v>9</v>
      </c>
      <c r="T24" s="2" t="s">
        <v>26</v>
      </c>
      <c r="U24" s="1">
        <v>50</v>
      </c>
      <c r="V24" s="1">
        <v>4</v>
      </c>
      <c r="W24" s="1">
        <v>5</v>
      </c>
    </row>
    <row r="25" spans="1:23" x14ac:dyDescent="0.45">
      <c r="B25">
        <v>50</v>
      </c>
      <c r="C25" s="1">
        <v>329</v>
      </c>
      <c r="D25" s="1">
        <v>686</v>
      </c>
      <c r="E25" s="1">
        <v>2500</v>
      </c>
      <c r="F25" s="1">
        <v>8.61</v>
      </c>
      <c r="G25" s="1">
        <v>8.7799999999999994</v>
      </c>
      <c r="H25" s="1">
        <v>67</v>
      </c>
      <c r="I25" s="1">
        <f>56/100</f>
        <v>0.56000000000000005</v>
      </c>
      <c r="J25" s="1">
        <v>1.9</v>
      </c>
      <c r="K25" s="1">
        <v>170</v>
      </c>
      <c r="L25" s="1">
        <v>33</v>
      </c>
      <c r="M25" s="1">
        <v>13.5</v>
      </c>
      <c r="N25" s="1">
        <v>150</v>
      </c>
      <c r="O25" s="1">
        <v>12</v>
      </c>
      <c r="P25" s="1">
        <v>6.6</v>
      </c>
      <c r="Q25" s="1">
        <v>62</v>
      </c>
      <c r="R25" s="1">
        <v>11</v>
      </c>
      <c r="S25" s="1">
        <v>11</v>
      </c>
      <c r="T25" s="2" t="s">
        <v>26</v>
      </c>
      <c r="U25" s="1">
        <v>60</v>
      </c>
      <c r="V25" s="1">
        <v>4</v>
      </c>
      <c r="W25" s="1">
        <v>6</v>
      </c>
    </row>
    <row r="26" spans="1:23" x14ac:dyDescent="0.45">
      <c r="C26" s="5" t="s">
        <v>29</v>
      </c>
      <c r="D26" s="5"/>
      <c r="E26" s="5"/>
      <c r="F26" s="5"/>
      <c r="G26" s="5"/>
    </row>
    <row r="27" spans="1:23" ht="42.75" x14ac:dyDescent="0.45">
      <c r="C27" s="3" t="s">
        <v>27</v>
      </c>
      <c r="D27" s="3" t="s">
        <v>28</v>
      </c>
      <c r="E27" s="3"/>
      <c r="F27" s="3"/>
      <c r="G27" s="3"/>
    </row>
    <row r="28" spans="1:23" x14ac:dyDescent="0.45">
      <c r="A28" t="s">
        <v>2</v>
      </c>
      <c r="B28">
        <v>14</v>
      </c>
      <c r="C28" s="1">
        <f>$J2/$C2</f>
        <v>1.1538461538461539E-2</v>
      </c>
      <c r="D28" s="1">
        <f>H2/C2</f>
        <v>0.21794871794871795</v>
      </c>
    </row>
    <row r="29" spans="1:23" x14ac:dyDescent="0.45">
      <c r="B29">
        <v>20</v>
      </c>
      <c r="C29" s="1">
        <f>$J3/$C3</f>
        <v>7.000000000000001E-3</v>
      </c>
      <c r="D29" s="1">
        <f t="shared" ref="D29:D51" si="0">H3/C3</f>
        <v>0.1125</v>
      </c>
    </row>
    <row r="30" spans="1:23" ht="42.75" x14ac:dyDescent="0.45">
      <c r="B30">
        <v>25</v>
      </c>
      <c r="C30" s="1">
        <f t="shared" ref="C30:C51" si="1">$J4/$C4</f>
        <v>6.2686567164179103E-3</v>
      </c>
      <c r="D30" s="1">
        <f t="shared" si="0"/>
        <v>0.12537313432835823</v>
      </c>
      <c r="I30" s="3" t="s">
        <v>31</v>
      </c>
      <c r="J30" s="3" t="s">
        <v>32</v>
      </c>
      <c r="K30" s="1" t="s">
        <v>33</v>
      </c>
    </row>
    <row r="31" spans="1:23" x14ac:dyDescent="0.45">
      <c r="B31">
        <v>32</v>
      </c>
      <c r="C31" s="1">
        <f t="shared" si="1"/>
        <v>6.4963503649635036E-3</v>
      </c>
      <c r="D31" s="1">
        <f t="shared" si="0"/>
        <v>0.13138686131386862</v>
      </c>
      <c r="H31" s="1" t="s">
        <v>2</v>
      </c>
      <c r="I31" s="1">
        <v>500</v>
      </c>
      <c r="J31" s="1">
        <v>87</v>
      </c>
    </row>
    <row r="32" spans="1:23" x14ac:dyDescent="0.45">
      <c r="B32">
        <v>40</v>
      </c>
      <c r="C32" s="1">
        <f t="shared" si="1"/>
        <v>6.4150943396226413E-3</v>
      </c>
      <c r="D32" s="1">
        <f t="shared" si="0"/>
        <v>0.15471698113207547</v>
      </c>
      <c r="I32" s="1">
        <v>1000</v>
      </c>
      <c r="J32" s="1">
        <v>84</v>
      </c>
    </row>
    <row r="33" spans="1:10" x14ac:dyDescent="0.45">
      <c r="B33">
        <v>50</v>
      </c>
      <c r="C33" s="1">
        <f t="shared" si="1"/>
        <v>6.8085106382978731E-3</v>
      </c>
      <c r="D33" s="1">
        <f t="shared" si="0"/>
        <v>0.12127659574468085</v>
      </c>
      <c r="I33" s="1">
        <v>2000</v>
      </c>
      <c r="J33" s="1">
        <v>82</v>
      </c>
    </row>
    <row r="34" spans="1:10" x14ac:dyDescent="0.45">
      <c r="A34" t="s">
        <v>19</v>
      </c>
      <c r="B34">
        <v>14</v>
      </c>
      <c r="C34" s="1">
        <f t="shared" si="1"/>
        <v>8.9999999999999993E-3</v>
      </c>
      <c r="D34" s="1">
        <f t="shared" si="0"/>
        <v>0.19</v>
      </c>
      <c r="I34" s="1">
        <v>3500</v>
      </c>
      <c r="J34" s="1">
        <v>78</v>
      </c>
    </row>
    <row r="35" spans="1:10" x14ac:dyDescent="0.45">
      <c r="B35">
        <v>20</v>
      </c>
      <c r="C35" s="1">
        <f t="shared" si="1"/>
        <v>5.3846153846153853E-3</v>
      </c>
      <c r="D35" s="1">
        <f t="shared" si="0"/>
        <v>9.6153846153846159E-2</v>
      </c>
      <c r="H35" s="1" t="s">
        <v>19</v>
      </c>
      <c r="I35" s="1">
        <v>500</v>
      </c>
      <c r="J35" s="1">
        <v>87</v>
      </c>
    </row>
    <row r="36" spans="1:10" x14ac:dyDescent="0.45">
      <c r="B36">
        <v>25</v>
      </c>
      <c r="C36" s="1">
        <f t="shared" si="1"/>
        <v>4.8275862068965511E-3</v>
      </c>
      <c r="D36" s="1">
        <f t="shared" si="0"/>
        <v>0.10574712643678161</v>
      </c>
      <c r="I36" s="1">
        <v>1000</v>
      </c>
      <c r="J36" s="1">
        <v>84</v>
      </c>
    </row>
    <row r="37" spans="1:10" x14ac:dyDescent="0.45">
      <c r="B37">
        <v>32</v>
      </c>
      <c r="C37" s="1">
        <f t="shared" si="1"/>
        <v>5.0000000000000001E-3</v>
      </c>
      <c r="D37" s="1">
        <f t="shared" si="0"/>
        <v>0.11235955056179775</v>
      </c>
      <c r="I37" s="1">
        <v>2000</v>
      </c>
      <c r="J37" s="1">
        <v>82</v>
      </c>
    </row>
    <row r="38" spans="1:10" x14ac:dyDescent="0.45">
      <c r="B38">
        <v>40</v>
      </c>
      <c r="C38" s="1">
        <f t="shared" si="1"/>
        <v>4.9275362318840577E-3</v>
      </c>
      <c r="D38" s="1">
        <f t="shared" si="0"/>
        <v>9.8550724637681164E-2</v>
      </c>
      <c r="I38" s="1">
        <v>3500</v>
      </c>
      <c r="J38" s="1">
        <v>78</v>
      </c>
    </row>
    <row r="39" spans="1:10" x14ac:dyDescent="0.45">
      <c r="B39">
        <v>50</v>
      </c>
      <c r="C39" s="1">
        <f t="shared" si="1"/>
        <v>5.2373158756137484E-3</v>
      </c>
      <c r="D39" s="1">
        <f t="shared" si="0"/>
        <v>0.10310965630114566</v>
      </c>
      <c r="H39" s="1" t="s">
        <v>3</v>
      </c>
      <c r="I39" s="1">
        <v>500</v>
      </c>
      <c r="J39" s="1">
        <f>110.7*(I35^-0.07717)</f>
        <v>68.528007667347239</v>
      </c>
    </row>
    <row r="40" spans="1:10" x14ac:dyDescent="0.45">
      <c r="A40" t="s">
        <v>3</v>
      </c>
      <c r="B40">
        <v>14</v>
      </c>
      <c r="C40" s="1">
        <f t="shared" si="1"/>
        <v>1.6949152542372881E-2</v>
      </c>
      <c r="D40" s="1">
        <f t="shared" si="0"/>
        <v>0.41567796610169488</v>
      </c>
      <c r="I40" s="1">
        <v>1000</v>
      </c>
      <c r="J40" s="1">
        <f>110.7*(I36^-0.07717)</f>
        <v>64.958744269215643</v>
      </c>
    </row>
    <row r="41" spans="1:10" x14ac:dyDescent="0.45">
      <c r="B41">
        <v>20</v>
      </c>
      <c r="C41" s="1">
        <f t="shared" si="1"/>
        <v>1.3636363636363636E-2</v>
      </c>
      <c r="D41" s="1">
        <f t="shared" si="0"/>
        <v>0.22295454545454546</v>
      </c>
      <c r="I41" s="1">
        <v>2000</v>
      </c>
      <c r="J41" s="1">
        <f>110.7*(I37^-0.07717)</f>
        <v>61.575385023836958</v>
      </c>
    </row>
    <row r="42" spans="1:10" x14ac:dyDescent="0.45">
      <c r="B42">
        <v>25</v>
      </c>
      <c r="C42" s="1">
        <f t="shared" si="1"/>
        <v>1.282051282051282E-2</v>
      </c>
      <c r="D42" s="1">
        <f t="shared" si="0"/>
        <v>0.20123076923076924</v>
      </c>
      <c r="I42" s="1">
        <v>3500</v>
      </c>
      <c r="J42" s="1">
        <f>110.7*(I38^-0.07717)</f>
        <v>58.972819219307723</v>
      </c>
    </row>
    <row r="43" spans="1:10" x14ac:dyDescent="0.45">
      <c r="B43">
        <v>32</v>
      </c>
      <c r="C43" s="1">
        <f t="shared" si="1"/>
        <v>1.2195121951219513E-2</v>
      </c>
      <c r="D43" s="1">
        <f t="shared" si="0"/>
        <v>0.13159756097560979</v>
      </c>
      <c r="H43" s="1" t="s">
        <v>4</v>
      </c>
      <c r="I43" s="1">
        <v>500</v>
      </c>
      <c r="J43" s="1">
        <v>82</v>
      </c>
    </row>
    <row r="44" spans="1:10" x14ac:dyDescent="0.45">
      <c r="B44">
        <v>40</v>
      </c>
      <c r="C44" s="1">
        <f t="shared" si="1"/>
        <v>1.1464968152866243E-2</v>
      </c>
      <c r="D44" s="1">
        <f t="shared" si="0"/>
        <v>0.15621019108280257</v>
      </c>
      <c r="I44" s="1">
        <v>1000</v>
      </c>
      <c r="J44" s="1">
        <v>78</v>
      </c>
    </row>
    <row r="45" spans="1:10" x14ac:dyDescent="0.45">
      <c r="B45">
        <v>50</v>
      </c>
      <c r="C45" s="1">
        <f t="shared" si="1"/>
        <v>1.0211267605633803E-2</v>
      </c>
      <c r="D45" s="1">
        <f t="shared" si="0"/>
        <v>0.17271126760563382</v>
      </c>
      <c r="I45" s="1">
        <v>2000</v>
      </c>
      <c r="J45" s="1">
        <v>74</v>
      </c>
    </row>
    <row r="46" spans="1:10" x14ac:dyDescent="0.45">
      <c r="A46" t="s">
        <v>4</v>
      </c>
      <c r="B46">
        <v>14</v>
      </c>
      <c r="C46" s="1">
        <f t="shared" si="1"/>
        <v>1.111111111111111E-2</v>
      </c>
      <c r="D46" s="1">
        <f t="shared" si="0"/>
        <v>0.57407407407407407</v>
      </c>
      <c r="I46" s="1">
        <v>3500</v>
      </c>
      <c r="J46" s="1">
        <v>68</v>
      </c>
    </row>
    <row r="47" spans="1:10" x14ac:dyDescent="0.45">
      <c r="B47">
        <v>20</v>
      </c>
      <c r="C47" s="1">
        <f t="shared" si="1"/>
        <v>4.642857142857143E-3</v>
      </c>
      <c r="D47" s="1">
        <f t="shared" si="0"/>
        <v>0.18571428571428572</v>
      </c>
    </row>
    <row r="48" spans="1:10" x14ac:dyDescent="0.45">
      <c r="B48">
        <v>25</v>
      </c>
      <c r="C48" s="1">
        <f t="shared" si="1"/>
        <v>5.106382978723404E-3</v>
      </c>
      <c r="D48" s="1">
        <f t="shared" si="0"/>
        <v>0.20425531914893616</v>
      </c>
    </row>
    <row r="49" spans="2:4" x14ac:dyDescent="0.45">
      <c r="B49">
        <v>32</v>
      </c>
      <c r="C49" s="1">
        <f t="shared" si="1"/>
        <v>5.3125000000000004E-3</v>
      </c>
      <c r="D49" s="1">
        <f t="shared" si="0"/>
        <v>0.21875</v>
      </c>
    </row>
    <row r="50" spans="2:4" x14ac:dyDescent="0.45">
      <c r="B50">
        <v>40</v>
      </c>
      <c r="C50" s="1">
        <f t="shared" si="1"/>
        <v>4.972972972972973E-3</v>
      </c>
      <c r="D50" s="1">
        <f t="shared" si="0"/>
        <v>0.1891891891891892</v>
      </c>
    </row>
    <row r="51" spans="2:4" x14ac:dyDescent="0.45">
      <c r="B51">
        <v>50</v>
      </c>
      <c r="C51" s="1">
        <f t="shared" si="1"/>
        <v>5.7750759878419447E-3</v>
      </c>
      <c r="D51" s="1">
        <f t="shared" si="0"/>
        <v>0.20364741641337386</v>
      </c>
    </row>
  </sheetData>
  <mergeCells count="1">
    <mergeCell ref="C26:G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4BAD-15EB-49D3-9B41-6A7136803FD6}">
  <dimension ref="A1:V7"/>
  <sheetViews>
    <sheetView tabSelected="1" zoomScaleNormal="100" workbookViewId="0">
      <selection activeCell="K18" sqref="K18"/>
    </sheetView>
  </sheetViews>
  <sheetFormatPr defaultRowHeight="14.25" x14ac:dyDescent="0.45"/>
  <sheetData>
    <row r="1" spans="1:22" ht="85.5" x14ac:dyDescent="0.45">
      <c r="A1" s="4" t="s">
        <v>0</v>
      </c>
      <c r="B1" s="3" t="s">
        <v>47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14</v>
      </c>
      <c r="H1" s="3" t="s">
        <v>30</v>
      </c>
      <c r="I1" s="3" t="s">
        <v>10</v>
      </c>
      <c r="J1" s="3" t="s">
        <v>45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46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</row>
    <row r="2" spans="1:22" x14ac:dyDescent="0.45">
      <c r="A2">
        <v>14</v>
      </c>
      <c r="B2" s="1">
        <v>5.4</v>
      </c>
      <c r="C2" s="1">
        <v>19</v>
      </c>
      <c r="D2" s="1">
        <v>3500</v>
      </c>
      <c r="E2" s="1">
        <v>2.1000000000000001E-2</v>
      </c>
      <c r="F2" s="1">
        <v>2.1000000000000001E-2</v>
      </c>
      <c r="G2" s="1">
        <v>3.1</v>
      </c>
      <c r="H2" s="1">
        <f>2.3/100</f>
        <v>2.3E-2</v>
      </c>
      <c r="I2" s="1">
        <v>0.06</v>
      </c>
      <c r="J2" s="1">
        <v>50</v>
      </c>
      <c r="K2" s="1">
        <v>11</v>
      </c>
      <c r="L2" s="1">
        <v>4.5</v>
      </c>
      <c r="M2" s="1">
        <v>44</v>
      </c>
      <c r="N2" s="1">
        <v>6</v>
      </c>
      <c r="O2" s="1">
        <v>3.4</v>
      </c>
      <c r="P2" s="1">
        <f>J2-((J2-M2)*2)</f>
        <v>38</v>
      </c>
      <c r="Q2" s="1">
        <v>17</v>
      </c>
      <c r="R2" s="1">
        <v>9</v>
      </c>
      <c r="S2" s="1">
        <v>3.4</v>
      </c>
      <c r="T2" s="1">
        <v>17</v>
      </c>
      <c r="U2" s="1">
        <v>4</v>
      </c>
      <c r="V2" s="1">
        <v>3</v>
      </c>
    </row>
    <row r="3" spans="1:22" x14ac:dyDescent="0.45">
      <c r="A3">
        <v>20</v>
      </c>
      <c r="B3" s="1">
        <v>28</v>
      </c>
      <c r="C3" s="1">
        <v>57</v>
      </c>
      <c r="D3" s="1">
        <v>3500</v>
      </c>
      <c r="E3" s="1">
        <v>0.09</v>
      </c>
      <c r="F3" s="1">
        <v>9.1999999999999998E-2</v>
      </c>
      <c r="G3" s="1">
        <v>5.2</v>
      </c>
      <c r="H3" s="1">
        <f>4.3/100</f>
        <v>4.2999999999999997E-2</v>
      </c>
      <c r="I3" s="1">
        <v>0.13</v>
      </c>
      <c r="J3" s="1">
        <v>70</v>
      </c>
      <c r="K3" s="1">
        <v>14</v>
      </c>
      <c r="L3" s="1">
        <v>6</v>
      </c>
      <c r="M3" s="1">
        <v>62</v>
      </c>
      <c r="N3" s="1">
        <v>12</v>
      </c>
      <c r="O3" s="1">
        <v>3.4</v>
      </c>
      <c r="P3" s="1">
        <f t="shared" ref="P3:P7" si="0">J3-((J3-M3)*2)</f>
        <v>54</v>
      </c>
      <c r="Q3" s="1">
        <v>24</v>
      </c>
      <c r="R3" s="1">
        <v>9</v>
      </c>
      <c r="S3" s="1">
        <v>3.5</v>
      </c>
      <c r="T3" s="1">
        <v>26</v>
      </c>
      <c r="U3" s="1">
        <v>4</v>
      </c>
      <c r="V3" s="1">
        <v>3</v>
      </c>
    </row>
    <row r="4" spans="1:22" x14ac:dyDescent="0.45">
      <c r="A4">
        <v>25</v>
      </c>
      <c r="B4" s="1">
        <v>47</v>
      </c>
      <c r="C4" s="1">
        <v>110</v>
      </c>
      <c r="D4" s="1">
        <v>3500</v>
      </c>
      <c r="E4" s="1">
        <v>0.28199999999999997</v>
      </c>
      <c r="F4" s="1">
        <v>0.28799999999999998</v>
      </c>
      <c r="G4" s="1">
        <v>9.6</v>
      </c>
      <c r="H4" s="1">
        <f>7.9/100</f>
        <v>7.9000000000000001E-2</v>
      </c>
      <c r="I4" s="1">
        <v>0.24</v>
      </c>
      <c r="J4" s="1">
        <v>85</v>
      </c>
      <c r="K4" s="1">
        <v>17</v>
      </c>
      <c r="L4" s="1">
        <v>7</v>
      </c>
      <c r="M4" s="1">
        <v>75</v>
      </c>
      <c r="N4" s="1">
        <v>12</v>
      </c>
      <c r="O4" s="1">
        <v>3.4</v>
      </c>
      <c r="P4" s="1">
        <f t="shared" si="0"/>
        <v>65</v>
      </c>
      <c r="Q4" s="1">
        <v>30</v>
      </c>
      <c r="R4" s="1">
        <v>9</v>
      </c>
      <c r="S4" s="1">
        <v>5.5</v>
      </c>
      <c r="T4" s="1">
        <v>30</v>
      </c>
      <c r="U4" s="1">
        <v>4</v>
      </c>
      <c r="V4" s="1">
        <v>3</v>
      </c>
    </row>
    <row r="5" spans="1:22" x14ac:dyDescent="0.45">
      <c r="A5">
        <v>32</v>
      </c>
      <c r="B5" s="1">
        <v>96</v>
      </c>
      <c r="C5" s="1">
        <v>233</v>
      </c>
      <c r="D5" s="1">
        <v>3500</v>
      </c>
      <c r="E5" s="1">
        <v>1.0900000000000001</v>
      </c>
      <c r="F5" s="1">
        <v>1.1100000000000001</v>
      </c>
      <c r="G5" s="1">
        <v>21</v>
      </c>
      <c r="H5" s="1">
        <f>18/100</f>
        <v>0.18</v>
      </c>
      <c r="I5" s="1">
        <v>0.51</v>
      </c>
      <c r="J5" s="1">
        <v>110</v>
      </c>
      <c r="K5" s="1">
        <v>22</v>
      </c>
      <c r="L5" s="1">
        <v>9</v>
      </c>
      <c r="M5" s="1">
        <v>100</v>
      </c>
      <c r="N5" s="1">
        <v>12</v>
      </c>
      <c r="O5" s="1">
        <v>4.5</v>
      </c>
      <c r="P5" s="1">
        <f t="shared" si="0"/>
        <v>90</v>
      </c>
      <c r="Q5" s="1">
        <v>41</v>
      </c>
      <c r="R5" s="1">
        <v>11</v>
      </c>
      <c r="S5" s="1">
        <v>6.6</v>
      </c>
      <c r="T5" s="1">
        <v>40</v>
      </c>
      <c r="U5" s="1">
        <v>4</v>
      </c>
      <c r="V5" s="1">
        <v>4</v>
      </c>
    </row>
    <row r="6" spans="1:22" x14ac:dyDescent="0.45">
      <c r="A6">
        <v>40</v>
      </c>
      <c r="B6" s="1">
        <v>185</v>
      </c>
      <c r="C6" s="1">
        <v>398</v>
      </c>
      <c r="D6" s="1">
        <v>3500</v>
      </c>
      <c r="E6" s="1">
        <v>2.85</v>
      </c>
      <c r="F6" s="1">
        <v>2.91</v>
      </c>
      <c r="G6" s="1">
        <v>35</v>
      </c>
      <c r="H6" s="1">
        <f>29/100</f>
        <v>0.28999999999999998</v>
      </c>
      <c r="I6" s="1">
        <v>0.92</v>
      </c>
      <c r="J6" s="1">
        <v>135</v>
      </c>
      <c r="K6" s="1">
        <v>27</v>
      </c>
      <c r="L6" s="1">
        <v>11</v>
      </c>
      <c r="M6" s="1">
        <v>120</v>
      </c>
      <c r="N6" s="1">
        <v>12</v>
      </c>
      <c r="O6" s="1">
        <v>5.5</v>
      </c>
      <c r="P6" s="1">
        <f t="shared" si="0"/>
        <v>105</v>
      </c>
      <c r="Q6" s="1">
        <v>48</v>
      </c>
      <c r="R6" s="1">
        <v>10</v>
      </c>
      <c r="S6" s="1">
        <v>9</v>
      </c>
      <c r="T6" s="1">
        <v>50</v>
      </c>
      <c r="U6" s="1">
        <v>4</v>
      </c>
      <c r="V6" s="1">
        <v>5</v>
      </c>
    </row>
    <row r="7" spans="1:22" x14ac:dyDescent="0.45">
      <c r="A7">
        <v>50</v>
      </c>
      <c r="B7" s="1">
        <v>329</v>
      </c>
      <c r="C7" s="1">
        <v>686</v>
      </c>
      <c r="D7" s="1">
        <v>2500</v>
      </c>
      <c r="E7" s="1">
        <v>8.61</v>
      </c>
      <c r="F7" s="1">
        <v>8.7799999999999994</v>
      </c>
      <c r="G7" s="1">
        <v>67</v>
      </c>
      <c r="H7" s="1">
        <f>56/100</f>
        <v>0.56000000000000005</v>
      </c>
      <c r="I7" s="1">
        <v>1.9</v>
      </c>
      <c r="J7" s="1">
        <v>170</v>
      </c>
      <c r="K7" s="1">
        <v>33</v>
      </c>
      <c r="L7" s="1">
        <v>13.5</v>
      </c>
      <c r="M7" s="1">
        <v>150</v>
      </c>
      <c r="N7" s="1">
        <v>12</v>
      </c>
      <c r="O7" s="1">
        <v>6.6</v>
      </c>
      <c r="P7" s="1">
        <f t="shared" si="0"/>
        <v>130</v>
      </c>
      <c r="Q7" s="1">
        <v>62</v>
      </c>
      <c r="R7" s="1">
        <v>11</v>
      </c>
      <c r="S7" s="1">
        <v>11</v>
      </c>
      <c r="T7" s="1">
        <v>60</v>
      </c>
      <c r="U7" s="1">
        <v>4</v>
      </c>
      <c r="V7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CSD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 O'Reilly</cp:lastModifiedBy>
  <dcterms:created xsi:type="dcterms:W3CDTF">2015-06-05T18:17:20Z</dcterms:created>
  <dcterms:modified xsi:type="dcterms:W3CDTF">2019-12-05T19:56:49Z</dcterms:modified>
</cp:coreProperties>
</file>