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Overview" sheetId="1" state="visible" r:id="rId1"/>
    <sheet xmlns:r="http://schemas.openxmlformats.org/officeDocument/2006/relationships" name="README" sheetId="2" state="visible" r:id="rId2"/>
    <sheet xmlns:r="http://schemas.openxmlformats.org/officeDocument/2006/relationships" name="1. Inputs" sheetId="3" state="visible" r:id="rId3"/>
    <sheet xmlns:r="http://schemas.openxmlformats.org/officeDocument/2006/relationships" name="2. Type Selection" sheetId="4" state="visible" r:id="rId4"/>
    <sheet xmlns:r="http://schemas.openxmlformats.org/officeDocument/2006/relationships" name="3. Efficiency" sheetId="5" state="visible" r:id="rId5"/>
    <sheet xmlns:r="http://schemas.openxmlformats.org/officeDocument/2006/relationships" name="4. Temp Rise &amp; n" sheetId="6" state="visible" r:id="rId6"/>
    <sheet xmlns:r="http://schemas.openxmlformats.org/officeDocument/2006/relationships" name="5. Head &amp; Power" sheetId="7" state="visible" r:id="rId7"/>
    <sheet xmlns:r="http://schemas.openxmlformats.org/officeDocument/2006/relationships" name="6. Stage Economics" sheetId="8" state="visible" r:id="rId8"/>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
    <numFmt numFmtId="167" formatCode="#,##0.0"/>
    <numFmt numFmtId="168" formatCode="$#,##0"/>
  </numFmts>
  <fonts count="17">
    <font>
      <name val="Calibri"/>
      <family val="2"/>
      <color theme="1"/>
      <sz val="11"/>
      <scheme val="minor"/>
    </font>
    <font>
      <b val="1"/>
      <color rgb="00FFFFFF"/>
      <sz val="14"/>
    </font>
    <font>
      <i val="1"/>
      <color rgb="00595959"/>
      <sz val="9"/>
    </font>
    <font>
      <b val="1"/>
      <sz val="11"/>
    </font>
    <font>
      <b val="1"/>
      <sz val="10"/>
    </font>
    <font>
      <i val="1"/>
    </font>
    <font>
      <sz val="10"/>
    </font>
    <font>
      <i val="1"/>
      <sz val="10"/>
    </font>
    <font>
      <color rgb="00F2F2F2"/>
      <sz val="1"/>
    </font>
    <font>
      <b val="1"/>
    </font>
    <font>
      <b val="1"/>
      <sz val="9"/>
    </font>
    <font>
      <b val="1"/>
      <i val="1"/>
    </font>
    <font>
      <i val="1"/>
      <sz val="9"/>
    </font>
    <font>
      <i val="1"/>
      <sz val="8"/>
    </font>
    <font>
      <b val="1"/>
      <sz val="12"/>
    </font>
    <font>
      <b val="1"/>
      <sz val="13"/>
    </font>
    <font>
      <i val="1"/>
      <color rgb="000563C1"/>
      <sz val="9"/>
      <u val="single"/>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D6"/>
      </patternFill>
    </fill>
    <fill>
      <patternFill patternType="solid">
        <fgColor rgb="00FFF2CC"/>
      </patternFill>
    </fill>
    <fill>
      <patternFill patternType="solid">
        <fgColor rgb="00F8CBAD"/>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1" pivotButton="0" quotePrefix="0" xfId="0"/>
    <xf numFmtId="0" fontId="6" fillId="0" borderId="0" pivotButton="0" quotePrefix="0" xfId="0"/>
    <xf numFmtId="2" fontId="5" fillId="8" borderId="1" pivotButton="0" quotePrefix="0" xfId="0"/>
    <xf numFmtId="165" fontId="5" fillId="8" borderId="1" pivotButton="0" quotePrefix="0" xfId="0"/>
    <xf numFmtId="3" fontId="5" fillId="8" borderId="1" pivotButton="0" quotePrefix="0" xfId="0"/>
    <xf numFmtId="1" fontId="5" fillId="8" borderId="1" pivotButton="0" quotePrefix="0" xfId="0"/>
    <xf numFmtId="164" fontId="5" fillId="8" borderId="1" pivotButton="0" quotePrefix="0" xfId="0"/>
    <xf numFmtId="167" fontId="5" fillId="8" borderId="1" pivotButton="0" quotePrefix="0" xfId="0"/>
    <xf numFmtId="0" fontId="5" fillId="8" borderId="1" pivotButton="0" quotePrefix="0" xfId="0"/>
    <xf numFmtId="0" fontId="0" fillId="0" borderId="4" pivotButton="0" quotePrefix="0" xfId="0"/>
    <xf numFmtId="0" fontId="4" fillId="0" borderId="0" pivotButton="0" quotePrefix="0" xfId="0"/>
    <xf numFmtId="166" fontId="5" fillId="8" borderId="1" pivotButton="0" quotePrefix="0" xfId="0"/>
    <xf numFmtId="0" fontId="5" fillId="8" borderId="1" applyAlignment="1" pivotButton="0" quotePrefix="0" xfId="0">
      <alignment vertical="top" wrapText="1"/>
    </xf>
    <xf numFmtId="168" fontId="15" fillId="5" borderId="1" pivotButton="0" quotePrefix="0" xfId="0"/>
    <xf numFmtId="0" fontId="3" fillId="5" borderId="1" applyAlignment="1" pivotButton="0" quotePrefix="0" xfId="0">
      <alignment vertical="top" wrapText="1"/>
    </xf>
    <xf numFmtId="2" fontId="5" fillId="5" borderId="1" pivotButton="0" quotePrefix="0" xfId="0"/>
    <xf numFmtId="0" fontId="0" fillId="6" borderId="1" pivotButton="0" quotePrefix="0" xfId="0"/>
    <xf numFmtId="2" fontId="0" fillId="6" borderId="1" pivotButton="0" quotePrefix="0" xfId="0"/>
    <xf numFmtId="0" fontId="4" fillId="3" borderId="1" pivotButton="0" quotePrefix="0" xfId="0"/>
    <xf numFmtId="165" fontId="0" fillId="6" borderId="1" pivotButton="0" quotePrefix="0" xfId="0"/>
    <xf numFmtId="2" fontId="0" fillId="0" borderId="1" pivotButton="0" quotePrefix="0" xfId="0"/>
    <xf numFmtId="164" fontId="0" fillId="0" borderId="1" pivotButton="0" quotePrefix="0" xfId="0"/>
    <xf numFmtId="3" fontId="0" fillId="6" borderId="1" pivotButton="0" quotePrefix="0" xfId="0"/>
    <xf numFmtId="1" fontId="0" fillId="6" borderId="1" pivotButton="0" quotePrefix="0" xfId="0"/>
    <xf numFmtId="166" fontId="5" fillId="4" borderId="1" pivotButton="0" quotePrefix="0" xfId="0"/>
    <xf numFmtId="0" fontId="16" fillId="0" borderId="0" pivotButton="0" quotePrefix="0" xfId="0"/>
    <xf numFmtId="0" fontId="5" fillId="5" borderId="1" pivotButton="0" quotePrefix="0" xfId="0"/>
    <xf numFmtId="0" fontId="8" fillId="4" borderId="1" pivotButton="0" quotePrefix="0" xfId="0"/>
    <xf numFmtId="166" fontId="0" fillId="6" borderId="1" pivotButton="0" quotePrefix="0" xfId="0"/>
    <xf numFmtId="0" fontId="7" fillId="0" borderId="0" pivotButton="0" quotePrefix="0" xfId="0"/>
    <xf numFmtId="164" fontId="0" fillId="6" borderId="1" pivotButton="0" quotePrefix="0" xfId="0"/>
    <xf numFmtId="165" fontId="0" fillId="7" borderId="1" pivotButton="0" quotePrefix="0" xfId="0"/>
    <xf numFmtId="165" fontId="5" fillId="5" borderId="1" pivotButton="0" quotePrefix="0" xfId="0"/>
    <xf numFmtId="1" fontId="0" fillId="0" borderId="1" pivotButton="0" quotePrefix="0" xfId="0"/>
    <xf numFmtId="165" fontId="0" fillId="0" borderId="1" pivotButton="0" quotePrefix="0" xfId="0"/>
    <xf numFmtId="9" fontId="0" fillId="6" borderId="1" pivotButton="0" quotePrefix="0" xfId="0"/>
    <xf numFmtId="2" fontId="5" fillId="4" borderId="1" pivotButton="0" quotePrefix="0" xfId="0"/>
    <xf numFmtId="164" fontId="5" fillId="4" borderId="1" pivotButton="0" quotePrefix="0" xfId="0"/>
    <xf numFmtId="167" fontId="5" fillId="4" borderId="1" pivotButton="0" quotePrefix="0" xfId="0"/>
    <xf numFmtId="3" fontId="5" fillId="4" borderId="1" pivotButton="0" quotePrefix="0" xfId="0"/>
    <xf numFmtId="0" fontId="5" fillId="4" borderId="1" pivotButton="0" quotePrefix="0" xfId="0"/>
    <xf numFmtId="3" fontId="0" fillId="0" borderId="1" pivotButton="0" quotePrefix="0" xfId="0"/>
    <xf numFmtId="0" fontId="0" fillId="0" borderId="5" pivotButton="0" quotePrefix="0" xfId="0"/>
    <xf numFmtId="166" fontId="0" fillId="0" borderId="1" pivotButton="0" quotePrefix="0" xfId="0"/>
    <xf numFmtId="9" fontId="0" fillId="0" borderId="1" pivotButton="0" quotePrefix="0" xfId="0"/>
    <xf numFmtId="165" fontId="5" fillId="4" borderId="1" pivotButton="0" quotePrefix="0" xfId="0"/>
    <xf numFmtId="0" fontId="9" fillId="4" borderId="1" applyAlignment="1" pivotButton="0" quotePrefix="0" xfId="0">
      <alignment vertical="top" wrapText="1"/>
    </xf>
    <xf numFmtId="168" fontId="0" fillId="0" borderId="1" pivotButton="0" quotePrefix="0" xfId="0"/>
    <xf numFmtId="0" fontId="10" fillId="0" borderId="0" applyAlignment="1" pivotButton="0" quotePrefix="0" xfId="0">
      <alignment vertical="bottom" wrapText="1"/>
    </xf>
    <xf numFmtId="0" fontId="5" fillId="4" borderId="1" applyAlignment="1" pivotButton="0" quotePrefix="0" xfId="0">
      <alignment vertical="top" wrapText="1"/>
    </xf>
    <xf numFmtId="168" fontId="5" fillId="4" borderId="1" pivotButton="0" quotePrefix="0" xfId="0"/>
    <xf numFmtId="1" fontId="5" fillId="4" borderId="1" pivotButton="0" quotePrefix="0" xfId="0"/>
    <xf numFmtId="168" fontId="11" fillId="4" borderId="1" pivotButton="0" quotePrefix="0" xfId="0"/>
    <xf numFmtId="0" fontId="12" fillId="0" borderId="0" pivotButton="0" quotePrefix="0" xfId="0"/>
    <xf numFmtId="0" fontId="13" fillId="0" borderId="0" pivotButton="0" quotePrefix="0" xfId="0"/>
    <xf numFmtId="1" fontId="14" fillId="5" borderId="1" pivotButton="0" quotePrefix="0" xfId="0"/>
    <xf numFmtId="0" fontId="9" fillId="5" borderId="1"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1</col>
      <colOff>0</colOff>
      <row>45</row>
      <rowOff>0</rowOff>
    </from>
    <ext cx="5334000" cy="381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9</row>
      <rowOff>0</rowOff>
    </from>
    <ext cx="2857500" cy="219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24</row>
      <rowOff>0</rowOff>
    </from>
    <ext cx="3238500" cy="2476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22</row>
      <rowOff>0</rowOff>
    </from>
    <ext cx="2857500"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2:D41"/>
  <sheetViews>
    <sheetView workbookViewId="0">
      <selection activeCell="A1" sqref="A1"/>
    </sheetView>
  </sheetViews>
  <sheetFormatPr baseColWidth="8" defaultRowHeight="15"/>
  <cols>
    <col width="3" customWidth="1" min="1" max="1"/>
    <col width="34" customWidth="1" min="2" max="2"/>
    <col width="20" customWidth="1" min="3" max="3"/>
    <col width="40" customWidth="1" min="4" max="4"/>
  </cols>
  <sheetData>
    <row r="2" ht="24" customHeight="1">
      <c r="B2" s="1" t="inlineStr">
        <is>
          <t>Overview — Compressor Train Selection &amp; Sizing (read-only)</t>
        </is>
      </c>
    </row>
    <row r="3">
      <c r="B3" s="2" t="inlineStr">
        <is>
          <t>This sheet is protected — every cell here pulls live from the working sheets, it does not hold its own inputs. All inputs live on Sheet 1; this sheet updates automatically.</t>
        </is>
      </c>
    </row>
    <row r="5">
      <c r="B5" s="3" t="inlineStr">
        <is>
          <t>1. Process Inputs</t>
        </is>
      </c>
    </row>
    <row r="6">
      <c r="B6" s="4" t="inlineStr">
        <is>
          <t>MW (lb/lbmol)</t>
        </is>
      </c>
      <c r="C6" s="5">
        <f>'1. Inputs'!$C$6</f>
        <v/>
      </c>
    </row>
    <row r="7">
      <c r="B7" s="4" t="inlineStr">
        <is>
          <t>k = Cp/Cv</t>
        </is>
      </c>
      <c r="C7" s="5">
        <f>'1. Inputs'!$C$7</f>
        <v/>
      </c>
    </row>
    <row r="8">
      <c r="B8" s="4" t="inlineStr">
        <is>
          <t>T1 (°F)</t>
        </is>
      </c>
      <c r="C8" s="6">
        <f>'1. Inputs'!$C$11</f>
        <v/>
      </c>
    </row>
    <row r="9">
      <c r="B9" s="4" t="inlineStr">
        <is>
          <t>P1 (psia)</t>
        </is>
      </c>
      <c r="C9" s="6">
        <f>'1. Inputs'!$C$12</f>
        <v/>
      </c>
    </row>
    <row r="10">
      <c r="B10" s="4" t="inlineStr">
        <is>
          <t>P2 (psia)</t>
        </is>
      </c>
      <c r="C10" s="6">
        <f>'1. Inputs'!$C$13</f>
        <v/>
      </c>
    </row>
    <row r="11">
      <c r="B11" s="4" t="inlineStr">
        <is>
          <t>mdot (lb/hr)</t>
        </is>
      </c>
      <c r="C11" s="7">
        <f>'1. Inputs'!$C$14</f>
        <v/>
      </c>
    </row>
    <row r="12">
      <c r="B12" s="4" t="inlineStr">
        <is>
          <t>N_stages (Sheets 2-5 basis)</t>
        </is>
      </c>
      <c r="C12" s="8">
        <f>'1. Inputs'!$C$15</f>
        <v/>
      </c>
    </row>
    <row r="13">
      <c r="B13" s="4" t="inlineStr">
        <is>
          <t>Per-stage pressure ratio</t>
        </is>
      </c>
      <c r="C13" s="9">
        <f>'1. Inputs'!$C$76</f>
        <v/>
      </c>
    </row>
    <row r="14">
      <c r="B14" s="4" t="inlineStr">
        <is>
          <t>Inlet flow, Q (ACFM)</t>
        </is>
      </c>
      <c r="C14" s="10">
        <f>'1. Inputs'!$C$78</f>
        <v/>
      </c>
    </row>
    <row r="16">
      <c r="B16" s="3" t="inlineStr">
        <is>
          <t>2. Type Selection</t>
        </is>
      </c>
    </row>
    <row r="17">
      <c r="B17" s="4" t="inlineStr">
        <is>
          <t>Adiabatic head, H_ad (ft)</t>
        </is>
      </c>
      <c r="C17" s="7">
        <f>'2. Type Selection'!C7</f>
        <v/>
      </c>
    </row>
    <row r="18">
      <c r="B18" s="4" t="inlineStr">
        <is>
          <t>Auto-suggested candidate(s)</t>
        </is>
      </c>
      <c r="C18" s="11">
        <f>'2. Type Selection'!C26</f>
        <v/>
      </c>
      <c r="D18" s="12" t="n"/>
    </row>
    <row r="19">
      <c r="B19" s="13" t="inlineStr">
        <is>
          <t>Selected compressor type</t>
        </is>
      </c>
      <c r="C19" s="11">
        <f>'1. Inputs'!$C$30</f>
        <v/>
      </c>
    </row>
    <row r="21">
      <c r="B21" s="3" t="inlineStr">
        <is>
          <t>3. Efficiency</t>
        </is>
      </c>
    </row>
    <row r="22">
      <c r="B22" s="4" t="inlineStr">
        <is>
          <t>Method used</t>
        </is>
      </c>
      <c r="C22" s="11">
        <f>'1. Inputs'!$C$36</f>
        <v/>
      </c>
    </row>
    <row r="23">
      <c r="B23" s="13" t="inlineStr">
        <is>
          <t>Selected ηp</t>
        </is>
      </c>
      <c r="C23" s="14">
        <f>'3. Efficiency'!$C$80</f>
        <v/>
      </c>
    </row>
    <row r="25">
      <c r="B25" s="3" t="inlineStr">
        <is>
          <t>4. Temp Rise &amp; n (per stage — all stages equal)</t>
        </is>
      </c>
    </row>
    <row r="26">
      <c r="B26" s="4" t="inlineStr">
        <is>
          <t>Polytropic n</t>
        </is>
      </c>
      <c r="C26" s="9">
        <f>'4. Temp Rise &amp; n'!F15</f>
        <v/>
      </c>
    </row>
    <row r="27">
      <c r="B27" s="4" t="inlineStr">
        <is>
          <t>Discharge temp, Tout (°F)</t>
        </is>
      </c>
      <c r="C27" s="10">
        <f>'4. Temp Rise &amp; n'!H15</f>
        <v/>
      </c>
    </row>
    <row r="28" ht="30" customHeight="1">
      <c r="B28" s="13" t="inlineStr">
        <is>
          <t>Temperature flag</t>
        </is>
      </c>
      <c r="C28" s="15">
        <f>'4. Temp Rise &amp; n'!I15</f>
        <v/>
      </c>
      <c r="D28" s="12" t="n"/>
    </row>
    <row r="30">
      <c r="B30" s="3" t="inlineStr">
        <is>
          <t>5. Head &amp; Power</t>
        </is>
      </c>
    </row>
    <row r="31">
      <c r="B31" s="4" t="inlineStr">
        <is>
          <t>Per-stage gas power (hp)</t>
        </is>
      </c>
      <c r="C31" s="10">
        <f>'5. Head &amp; Power'!C15</f>
        <v/>
      </c>
    </row>
    <row r="32">
      <c r="B32" s="13" t="inlineStr">
        <is>
          <t>Train total gas power (hp)</t>
        </is>
      </c>
      <c r="C32" s="10">
        <f>'5. Head &amp; Power'!C14</f>
        <v/>
      </c>
    </row>
    <row r="34">
      <c r="B34" s="3" t="inlineStr">
        <is>
          <t>6. Stage-Count Optimizer</t>
        </is>
      </c>
    </row>
    <row r="35">
      <c r="B35" s="13" t="inlineStr">
        <is>
          <t>Recommended optimal N</t>
        </is>
      </c>
      <c r="C35" s="8">
        <f>'6. Stage Economics'!C45</f>
        <v/>
      </c>
    </row>
    <row r="36">
      <c r="B36" s="4" t="inlineStr">
        <is>
          <t>Suggested compressor type at that N</t>
        </is>
      </c>
      <c r="C36" s="11">
        <f>'6. Stage Economics'!C46</f>
        <v/>
      </c>
      <c r="D36" s="12" t="n"/>
    </row>
    <row r="37">
      <c r="B37" s="13" t="inlineStr">
        <is>
          <t>TOTAL PROJECT COST at that N</t>
        </is>
      </c>
      <c r="C37" s="16">
        <f>'6. Stage Economics'!$C$47</f>
        <v/>
      </c>
    </row>
    <row r="38">
      <c r="B38" s="4" t="inlineStr">
        <is>
          <t>Sheet 1's current N_stages</t>
        </is>
      </c>
      <c r="C38" s="8">
        <f>'1. Inputs'!$C$15</f>
        <v/>
      </c>
    </row>
    <row r="40">
      <c r="B40" s="3" t="inlineStr">
        <is>
          <t>COMBINED RECOMMENDATION</t>
        </is>
      </c>
    </row>
    <row r="41" ht="40" customHeight="1">
      <c r="C41" s="17">
        <f>'6. Stage Economics'!C51</f>
        <v/>
      </c>
      <c r="D41" s="12" t="n"/>
    </row>
  </sheetData>
  <sheetProtection selectLockedCells="0" selectUnlockedCells="0" sheet="1" objects="0" insertRows="1" insertHyperlinks="1" autoFilter="1" scenarios="0" formatColumns="1" deleteColumns="1" insertColumns="1" pivotTables="1" deleteRows="1" formatCells="1" formatRows="1" sort="1"/>
  <mergeCells count="13">
    <mergeCell ref="B3:D3"/>
    <mergeCell ref="B5:D5"/>
    <mergeCell ref="C41:D41"/>
    <mergeCell ref="B40:D40"/>
    <mergeCell ref="B2:D2"/>
    <mergeCell ref="C28:D28"/>
    <mergeCell ref="C36:D36"/>
    <mergeCell ref="B21:D21"/>
    <mergeCell ref="B30:D30"/>
    <mergeCell ref="C18:D18"/>
    <mergeCell ref="B25:D25"/>
    <mergeCell ref="B16:D16"/>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35"/>
  <sheetViews>
    <sheetView workbookViewId="0">
      <selection activeCell="A1" sqref="A1"/>
    </sheetView>
  </sheetViews>
  <sheetFormatPr baseColWidth="8" defaultRowHeight="15"/>
  <cols>
    <col width="3" customWidth="1" min="1" max="1"/>
    <col width="32" customWidth="1" min="2" max="2"/>
    <col width="60" customWidth="1" min="3" max="3"/>
    <col width="14" customWidth="1" min="4" max="4"/>
    <col width="14" customWidth="1" min="5" max="5"/>
    <col width="14" customWidth="1" min="6" max="6"/>
    <col width="14" customWidth="1" min="7" max="7"/>
  </cols>
  <sheetData>
    <row r="2" ht="24" customHeight="1">
      <c r="B2" s="1" t="inlineStr">
        <is>
          <t>Compressor Train Selection &amp; Sizing</t>
        </is>
      </c>
    </row>
    <row r="4">
      <c r="B4" s="13" t="inlineStr">
        <is>
          <t>Purpose</t>
        </is>
      </c>
    </row>
    <row r="5">
      <c r="B5" s="2" t="inlineStr">
        <is>
          <t>Sheets 1-5 analyze ONE stage count in full physics detail (Sheet 1's N_stages). Sheet 6 independently sweeps N=1..6, costs the equipment each implies, and recommends the largest stage count whose next stage still pays for itself — i.e. it calculates the economically optimal number of stages, it does not just screen whatever N you happened to pick. If Sheet 6's recommendation differs from Sheet 1's N_stages, update Sheet 1 to match and Sheets 2-5 re-derive automatically.</t>
        </is>
      </c>
    </row>
    <row r="7">
      <c r="B7" s="13" t="inlineStr">
        <is>
          <t>Source decks</t>
        </is>
      </c>
    </row>
    <row r="8">
      <c r="B8" s="2" t="inlineStr">
        <is>
          <t>Compressor Selection.pptx, Compressor Sizing.pptx, Heat Exchanger Heuristics.pptx (all in this folder), PT_payback_period_p345.pdf (Peters &amp; Timmerhaus, Ch. 8), and ..\FEL Projects\Economics\notes\01_capital_cost_estimation.md (Guthrie/Seider module costing method reused for Sheet 6). These are the source of truth for the method used here — update this workbook if the decks change rather than hand-patching formulas.</t>
        </is>
      </c>
    </row>
    <row r="10">
      <c r="B10" s="13" t="inlineStr">
        <is>
          <t>Sheet order = Sizing Workflow (Compressor Sizing.pptx, slide 4)</t>
        </is>
      </c>
    </row>
    <row r="11" ht="56" customHeight="1">
      <c r="B11" s="13" t="inlineStr">
        <is>
          <t>0. Overview</t>
        </is>
      </c>
      <c r="C11" s="2" t="inlineStr">
        <is>
          <t>Protected, read-only rollup of every sheet's key result, including the recommended optimal stage count and the total project cost at that count. Cannot be edited — change inputs on Sheet 1 instead.</t>
        </is>
      </c>
    </row>
    <row r="13" ht="56" customHeight="1">
      <c r="B13" s="13" t="inlineStr">
        <is>
          <t>1. Inputs</t>
        </is>
      </c>
      <c r="C13" s="2" t="inlineStr">
        <is>
          <t>EVERY input in the workbook: gas properties, process conditions, N_stages, economics (hours, elec. cost, mar, evaluation period), and the cost-scaling reference points for Sheet 6. Compressor type and efficiency method are auto-computed here (not manual inputs) — an "Auto" override dropdown for each lets you force a specific choice for a one-off case. Sheets 2-6 are read-only / derived from here.</t>
        </is>
      </c>
    </row>
    <row r="15" ht="56" customHeight="1">
      <c r="B15" s="13" t="inlineStr">
        <is>
          <t>2. Type Selection</t>
        </is>
      </c>
      <c r="C15" s="2" t="inlineStr">
        <is>
          <t>Computes capacity (ACFM) and adiabatic head (ft); the coverage-range table's matching row(s) are highlighted (conditional formatting) rather than plotted — a live chart was tried and dropped, since Excel has no clean way to shade a log-log rectangular region and the ScatterChart approximation proved unreliable in practice. This sheet's Q/H_ad feed Sheet 1's auto-suggestion directly — the effective type itself lives on Sheet 1, not here.</t>
        </is>
      </c>
    </row>
    <row r="17" ht="56" customHeight="1">
      <c r="B17" s="13" t="inlineStr">
        <is>
          <t>3. Efficiency</t>
        </is>
      </c>
      <c r="C17" s="2" t="inlineStr">
        <is>
          <t>Three methods per the Sizing deck: empirical correlation — three digitized curves now (Fig. 3 Reciprocating vs. pressure ratio; Fig. 1's two curves, Centrifugal and Axial, vs. suction ACFM) — Casey &amp; Robinson scale-up (needs friction-factor data not in the deck), and Balje chart (Ns/Ds computed; chart itself is external, needs a manual ηc reading). Sheet 1 auto-picks Empirical Correlation when the (also auto) type is Reciprocating/Centrifugal/Axial, else Quick Default (rule-of-thumb) — override to Scale-Up/Balje/Manual there for a one-off case needing more precision.</t>
        </is>
      </c>
    </row>
    <row r="19" ht="56" customHeight="1">
      <c r="B19" s="13" t="inlineStr">
        <is>
          <t>4. Temp Rise &amp; n</t>
        </is>
      </c>
      <c r="C19" s="2" t="inlineStr">
        <is>
          <t>Solves polytropic n from ηp and k, computes stage discharge temperature. Tallow is a RANGE per type (not a single cutoff) — a 3-tier flag (OK / CAUTION-inspect-specifics / EXCEEDS-add-a-stage) reflects that the true limit depends on lubricant/oil type and similar specifics outside this spreadsheet's scope.</t>
        </is>
      </c>
    </row>
    <row r="21" ht="56" customHeight="1">
      <c r="B21" s="13" t="inlineStr">
        <is>
          <t>5. Head &amp; Power</t>
        </is>
      </c>
      <c r="C21" s="2" t="inlineStr">
        <is>
          <t>Polytropic head and gas power per stage, summed to train totals — US units only (hp); no SI kW column.</t>
        </is>
      </c>
    </row>
    <row r="23" ht="56" customHeight="1">
      <c r="B23" s="13" t="inlineStr">
        <is>
          <t>6. Stage Economics</t>
        </is>
      </c>
      <c r="C23" s="2" t="inlineStr">
        <is>
          <t>The Stage-Count Optimizer. Sweeps N=1..6 (not just Sheet 1's current N_stages) in one wide table, one row per N, with every cost constituent broken out as its own column: compressor cost via Seider Ch. 16.5 (Eq. 16.36/37/38, by consumed power, driver and material factors, CEPCI-escalated), intercooler cost via Seider's shell-and-tube equations (area from an assumed U and LMTD against a standard 90/120°F cooling-water assumption), then Guthrie bare-module + contingency + fee + working capital to the final installed cost — so it's traceable what each stage count actually costs. Compressor type is re-suggested per row, not fixed at Sheet 1's choice — adiabatic head drops non-linearly as stages are added, so a different N can land in a different Fig. 10-64 box (within one fixed N on Sheets 2-5, all stages share the same head and so the same type, since the model splits pressure ratio equally — it's only across different N here that type can genuinely change). The payback screen keeps Peters &amp; Timmerhaus's Eq. 8-2a/8-2c structure, but its cash flow is now after-tax with straight-line depreciation added back (Seider Eq. 17.8) instead of the earlier pre-tax gross savings. Finds the largest N where every step up to it still passed that screen, subject to the Tallow temperature constraint as a hard floor, and reports the TOTAL PROJECT COST at that N. Includes a verified worked reference example as a self-check (unaffected by the cost-engine change — it exercises Eq. 8-2a/8-2c directly, not the sweep).</t>
        </is>
      </c>
    </row>
    <row r="26">
      <c r="B26" s="13" t="inlineStr">
        <is>
          <t>Known gaps (not in the source decks — flagged inline, not silently guessed)</t>
        </is>
      </c>
    </row>
    <row r="27" ht="32" customHeight="1">
      <c r="B27" s="2" t="inlineStr">
        <is>
          <t>• Casey &amp; Robinson friction-factor equations 23/24 (Appendix 1 of their paper) are referenced but not included in Compressor Sizing.pptx — the scale-up method needs Bref/f values from that external source or vendor data.</t>
        </is>
      </c>
    </row>
    <row r="28" ht="32" customHeight="1">
      <c r="B28" s="2" t="inlineStr">
        <is>
          <t>• The Balje chart image itself is not embedded in the deck (only the method is named) — Ns/Ds are computed here but ηc must be read off the chart elsewhere and entered manually.</t>
        </is>
      </c>
    </row>
    <row r="29" ht="32" customHeight="1">
      <c r="B29" s="2" t="inlineStr">
        <is>
          <t>• Intercooler sizing here uses an assumed overall U (50 Btu/hr-ft²-F, Seider's own Ex. 16.10 precedent) and a standard 90/120°F cooling-water assumption to get an area for Seider's shell-and-tube cost equations — not a full thermal/mechanical HX design (that's still deferred per Compressor Sizing.pptx slide 10).</t>
        </is>
      </c>
    </row>
    <row r="30" ht="32" customHeight="1">
      <c r="B30" s="2" t="inlineStr">
        <is>
          <t>• Seider Ch. 16.5 gives explicit compressor cost equations only for Centrifugal, Reciprocating, and Screw — Diaphragm, other Rotary sub-types, Axial, and Fan/Blower selections show 'n/a - outside Seider correlation coverage' rather than a fabricated fit; that row's TCI reads 'n/a' too.</t>
        </is>
      </c>
    </row>
    <row r="31" ht="32" customHeight="1">
      <c r="B31" s="2" t="inlineStr">
        <is>
          <t>• Current CEPCI defaults to 567 (Seider's own 2013 basis, i.e. no escalation) — update it on Sheet 1 from chemengonline.com for a real, current-dollar estimate.</t>
        </is>
      </c>
    </row>
    <row r="32" ht="32" customHeight="1">
      <c r="B32" s="2" t="inlineStr">
        <is>
          <t>• Combined tax rate defaults to 21% (flat federal, Texas has no state corporate income tax) — edit on Sheet 1 if a different jurisdiction or the pre-2018 graduated schedule applies.</t>
        </is>
      </c>
    </row>
    <row r="33" ht="32" customHeight="1">
      <c r="B33" s="2" t="inlineStr">
        <is>
          <t>• Depreciation life for the after-tax cash flow reuses Sheet 1's N (evaluation period) rather than a separately-specified MACRS/straight-line life — a deliberate simplification since no depreciation life was specified; revisit if a real one is known.</t>
        </is>
      </c>
    </row>
    <row r="34" ht="32" customHeight="1">
      <c r="B34" s="2" t="inlineStr">
        <is>
          <t>• The Stage-Count Optimizer holds ηp constant across the N=1..6 sweep (Sheet 3's value at Sheet 1's current N_stages) rather than re-deriving it per row — a documented Class-5 (±30-50%) screening simplification, not an error.</t>
        </is>
      </c>
    </row>
    <row r="35" ht="32" customHeight="1">
      <c r="B35" s="2" t="inlineStr">
        <is>
          <t>• Fig. 10-64 type-selection boundaries are eyeballed from the chart image, not precisely digitized — cross-check visually (static image) for borderline operating points.</t>
        </is>
      </c>
    </row>
  </sheetData>
  <mergeCells count="19">
    <mergeCell ref="B31:F31"/>
    <mergeCell ref="C21:E21"/>
    <mergeCell ref="B27:F27"/>
    <mergeCell ref="C11:E11"/>
    <mergeCell ref="B2:F2"/>
    <mergeCell ref="C23:E23"/>
    <mergeCell ref="C17:E17"/>
    <mergeCell ref="B8:F8"/>
    <mergeCell ref="B29:F29"/>
    <mergeCell ref="C13:E13"/>
    <mergeCell ref="C19:E19"/>
    <mergeCell ref="B34:F34"/>
    <mergeCell ref="B28:F28"/>
    <mergeCell ref="C15:E15"/>
    <mergeCell ref="B30:F30"/>
    <mergeCell ref="B33:F33"/>
    <mergeCell ref="B5:F5"/>
    <mergeCell ref="B32:F32"/>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81"/>
  <sheetViews>
    <sheetView workbookViewId="0">
      <selection activeCell="A1" sqref="A1"/>
    </sheetView>
  </sheetViews>
  <sheetFormatPr baseColWidth="8" defaultRowHeight="15"/>
  <cols>
    <col width="3" customWidth="1" min="1" max="1"/>
    <col width="34" customWidth="1" min="2" max="2"/>
    <col width="16" customWidth="1" min="3" max="3"/>
    <col width="46" customWidth="1" min="4" max="4"/>
    <col width="3" customWidth="1" min="5" max="5"/>
    <col width="32" customWidth="1" min="6" max="6"/>
    <col width="14" customWidth="1" min="7" max="7"/>
    <col width="12" customWidth="1" min="8" max="8"/>
  </cols>
  <sheetData>
    <row r="2" ht="24" customHeight="1">
      <c r="B2" s="1" t="inlineStr">
        <is>
          <t>1. Process &amp; Economic Inputs</t>
        </is>
      </c>
    </row>
    <row r="3">
      <c r="B3" s="2" t="inlineStr">
        <is>
          <t>Every input in the workbook is on this sheet. Sheets 2-6 are read-only / derived — change a value here and it carries through everywhere it's used.</t>
        </is>
      </c>
    </row>
    <row r="5">
      <c r="B5" s="3" t="inlineStr">
        <is>
          <t>Gas Properties</t>
        </is>
      </c>
    </row>
    <row r="6">
      <c r="B6" s="13" t="inlineStr">
        <is>
          <t>Molecular weight, MW (lb/lbmol) — effective</t>
        </is>
      </c>
      <c r="C6" s="18">
        <f>IF($G$6="Custom / Manual Entry",$G$7,VLOOKUP($G$6,$F$11:$H$31,2,FALSE))</f>
        <v/>
      </c>
      <c r="D6" s="2" t="inlineStr">
        <is>
          <t>k is easier to compress at higher MW (fewer degrees of freedom) — Compressor Selection.pptx slide 5.</t>
        </is>
      </c>
      <c r="F6" s="4" t="inlineStr">
        <is>
          <t>Gas (choose from library at right, or "Custom / Manual Entry")</t>
        </is>
      </c>
      <c r="G6" s="19" t="inlineStr">
        <is>
          <t>Custom / Manual Entry</t>
        </is>
      </c>
    </row>
    <row r="7">
      <c r="B7" s="13" t="inlineStr">
        <is>
          <t>Heat capacity ratio, k = Cp/Cv — effective</t>
        </is>
      </c>
      <c r="C7" s="18">
        <f>IF($G$6="Custom / Manual Entry",$G$8,VLOOKUP($G$6,$F$11:$H$31,3,FALSE))</f>
        <v/>
      </c>
      <c r="D7" s="2" t="inlineStr">
        <is>
          <t>Z is process-condition dependent (not gas-identity alone), so it stays a manual input regardless of Gas selection — see the library at right for MW/k only.</t>
        </is>
      </c>
      <c r="F7" s="4" t="inlineStr">
        <is>
          <t>Manual MW (lb/lbmol) — used only if Gas = "Custom / Manual Entry"</t>
        </is>
      </c>
      <c r="G7" s="20" t="n">
        <v>20</v>
      </c>
    </row>
    <row r="8">
      <c r="B8" s="4" t="inlineStr">
        <is>
          <t>Compressibility factor, Z (avg.)</t>
        </is>
      </c>
      <c r="C8" s="20" t="n">
        <v>1</v>
      </c>
      <c r="F8" s="4" t="inlineStr">
        <is>
          <t>Manual k — used only if Gas = "Custom / Manual Entry"</t>
        </is>
      </c>
      <c r="G8" s="20" t="n">
        <v>1.3</v>
      </c>
    </row>
    <row r="9">
      <c r="F9" s="2" t="inlineStr">
        <is>
          <t>MW/k below are approximate ideal-gas values near ambient conditions (ballpark reference only, not a flash/EOS result) — for mixtures or non-ideal conditions, use Custom / Manual Entry with your own computed values.</t>
        </is>
      </c>
    </row>
    <row r="10">
      <c r="B10" s="3" t="inlineStr">
        <is>
          <t>Suction / Discharge Conditions</t>
        </is>
      </c>
      <c r="F10" s="21" t="inlineStr">
        <is>
          <t>Gas</t>
        </is>
      </c>
      <c r="G10" s="21" t="inlineStr">
        <is>
          <t>MW (lb/lbmol)</t>
        </is>
      </c>
      <c r="H10" s="21" t="inlineStr">
        <is>
          <t>k = Cp/Cv</t>
        </is>
      </c>
    </row>
    <row r="11">
      <c r="B11" s="4" t="inlineStr">
        <is>
          <t>Suction temperature, T1 (°F)</t>
        </is>
      </c>
      <c r="C11" s="22" t="n">
        <v>100</v>
      </c>
      <c r="F11" s="4" t="inlineStr">
        <is>
          <t>Custom / Manual Entry</t>
        </is>
      </c>
    </row>
    <row r="12">
      <c r="B12" s="4" t="inlineStr">
        <is>
          <t>Suction pressure, P1 (psia)</t>
        </is>
      </c>
      <c r="C12" s="22" t="n">
        <v>100</v>
      </c>
      <c r="F12" s="4" t="inlineStr">
        <is>
          <t>Air</t>
        </is>
      </c>
      <c r="G12" s="23" t="n">
        <v>28.97</v>
      </c>
      <c r="H12" s="24" t="n">
        <v>1.4</v>
      </c>
    </row>
    <row r="13">
      <c r="B13" s="4" t="inlineStr">
        <is>
          <t>Final discharge pressure, P2 (psia)</t>
        </is>
      </c>
      <c r="C13" s="22" t="n">
        <v>1000</v>
      </c>
      <c r="F13" s="4" t="inlineStr">
        <is>
          <t>Nitrogen (N2)</t>
        </is>
      </c>
      <c r="G13" s="23" t="n">
        <v>28.01</v>
      </c>
      <c r="H13" s="24" t="n">
        <v>1.4</v>
      </c>
    </row>
    <row r="14">
      <c r="B14" s="4" t="inlineStr">
        <is>
          <t>Mass flow rate, mdot (lb/hr)</t>
        </is>
      </c>
      <c r="C14" s="25" t="n">
        <v>50000</v>
      </c>
      <c r="F14" s="4" t="inlineStr">
        <is>
          <t>Oxygen (O2)</t>
        </is>
      </c>
      <c r="G14" s="23" t="n">
        <v>32</v>
      </c>
      <c r="H14" s="24" t="n">
        <v>1.395</v>
      </c>
    </row>
    <row r="15">
      <c r="B15" s="4" t="inlineStr">
        <is>
          <t>Number of stages to analyze in detail, N_stages (drives Sheets 2-5)</t>
        </is>
      </c>
      <c r="C15" s="26" t="n">
        <v>3</v>
      </c>
      <c r="D15" s="2" t="inlineStr">
        <is>
          <t>Equal pressure ratio per stage, full intercool back to T1. This is the stage count Sheets 2-5 analyze in detail — it does NOT have to equal Sheet 6's recommended optimum; update it to match once Sheet 6 tells you what that is.</t>
        </is>
      </c>
      <c r="F15" s="4" t="inlineStr">
        <is>
          <t>Hydrogen (H2)</t>
        </is>
      </c>
      <c r="G15" s="23" t="n">
        <v>2.016</v>
      </c>
      <c r="H15" s="24" t="n">
        <v>1.41</v>
      </c>
    </row>
    <row r="16">
      <c r="F16" s="4" t="inlineStr">
        <is>
          <t>Carbon Monoxide (CO)</t>
        </is>
      </c>
      <c r="G16" s="23" t="n">
        <v>28.01</v>
      </c>
      <c r="H16" s="24" t="n">
        <v>1.4</v>
      </c>
    </row>
    <row r="17">
      <c r="B17" s="3" t="inlineStr">
        <is>
          <t>Economics — General &amp; Financial</t>
        </is>
      </c>
      <c r="F17" s="4" t="inlineStr">
        <is>
          <t>Carbon Dioxide (CO2)</t>
        </is>
      </c>
      <c r="G17" s="23" t="n">
        <v>44.01</v>
      </c>
      <c r="H17" s="24" t="n">
        <v>1.289</v>
      </c>
    </row>
    <row r="18">
      <c r="B18" s="4" t="inlineStr">
        <is>
          <t>Operating hours per year</t>
        </is>
      </c>
      <c r="C18" s="25" t="n">
        <v>8000</v>
      </c>
      <c r="F18" s="4" t="inlineStr">
        <is>
          <t>Methane (CH4)</t>
        </is>
      </c>
      <c r="G18" s="23" t="n">
        <v>16.04</v>
      </c>
      <c r="H18" s="24" t="n">
        <v>1.32</v>
      </c>
    </row>
    <row r="19">
      <c r="B19" s="4" t="inlineStr">
        <is>
          <t>Electricity cost ($/kWh)</t>
        </is>
      </c>
      <c r="C19" s="20" t="n">
        <v>0.07000000000000001</v>
      </c>
      <c r="D19" s="2" t="inlineStr">
        <is>
          <t>$/kWh is the standard utility billing unit even in US-customary practice.</t>
        </is>
      </c>
      <c r="F19" s="4" t="inlineStr">
        <is>
          <t>Natural Gas (~0.60 SG)</t>
        </is>
      </c>
      <c r="G19" s="23" t="n">
        <v>17.4</v>
      </c>
      <c r="H19" s="24" t="n">
        <v>1.27</v>
      </c>
    </row>
    <row r="20">
      <c r="B20" s="4" t="inlineStr">
        <is>
          <t>Risk level (Table 8-1, Peters &amp; Timmerhaus)</t>
        </is>
      </c>
      <c r="C20" s="19" t="inlineStr">
        <is>
          <t>Low - new capacity / established market</t>
        </is>
      </c>
      <c r="F20" s="4" t="inlineStr">
        <is>
          <t>Ethane (C2H6)</t>
        </is>
      </c>
      <c r="G20" s="23" t="n">
        <v>30.07</v>
      </c>
      <c r="H20" s="24" t="n">
        <v>1.19</v>
      </c>
    </row>
    <row r="21">
      <c r="B21" s="4" t="inlineStr">
        <is>
          <t>mar, minimum acceptable return (midpoint of risk level, editable)</t>
        </is>
      </c>
      <c r="C21" s="27">
        <f>AVERAGE(VLOOKUP(C20,'6. Stage Economics'!$B$18:$D$22,2,FALSE),VLOOKUP(C20,'6. Stage Economics'!$B$18:$D$22,3,FALSE))</f>
        <v/>
      </c>
      <c r="F21" s="4" t="inlineStr">
        <is>
          <t>Ethylene (C2H4)</t>
        </is>
      </c>
      <c r="G21" s="23" t="n">
        <v>28.05</v>
      </c>
      <c r="H21" s="24" t="n">
        <v>1.24</v>
      </c>
    </row>
    <row r="22">
      <c r="B22" s="4" t="inlineStr">
        <is>
          <t>N, evaluation period (yr)</t>
        </is>
      </c>
      <c r="C22" s="26" t="n">
        <v>10</v>
      </c>
      <c r="F22" s="4" t="inlineStr">
        <is>
          <t>Propane (C3H8)</t>
        </is>
      </c>
      <c r="G22" s="23" t="n">
        <v>44.1</v>
      </c>
      <c r="H22" s="24" t="n">
        <v>1.13</v>
      </c>
    </row>
    <row r="23">
      <c r="B23" s="28">
        <f>HYPERLINK("#'6. Stage Economics'!B16","What is mar? -&gt; Table 8-1 guidance (Sheet 6)")</f>
        <v/>
      </c>
      <c r="F23" s="4" t="inlineStr">
        <is>
          <t>Propylene (C3H6)</t>
        </is>
      </c>
      <c r="G23" s="23" t="n">
        <v>42.08</v>
      </c>
      <c r="H23" s="24" t="n">
        <v>1.15</v>
      </c>
    </row>
    <row r="24">
      <c r="F24" s="4" t="inlineStr">
        <is>
          <t>n-Butane (C4H10)</t>
        </is>
      </c>
      <c r="G24" s="23" t="n">
        <v>58.12</v>
      </c>
      <c r="H24" s="24" t="n">
        <v>1.09</v>
      </c>
    </row>
    <row r="25">
      <c r="B25" s="3" t="inlineStr">
        <is>
          <t>Compressor Type Selection — automatic</t>
        </is>
      </c>
      <c r="F25" s="4" t="inlineStr">
        <is>
          <t>Ammonia (NH3)</t>
        </is>
      </c>
      <c r="G25" s="23" t="n">
        <v>17.03</v>
      </c>
      <c r="H25" s="24" t="n">
        <v>1.31</v>
      </c>
    </row>
    <row r="26">
      <c r="B26" s="2" t="inlineStr">
        <is>
          <t>Compressor selection depends on adiabatic head, not manual judgment — auto-computed below from Q and H_ad at the current N_stages, using the same Fig. 10-64 box-match logic as Sheet 2 (all stages share the same head under the equal-split assumption, so one type applies to the whole train at this N — see Sheet 6 for how type CAN genuinely differ across different N choices, since head there varies a lot more).</t>
        </is>
      </c>
      <c r="F26" s="4" t="inlineStr">
        <is>
          <t>Hydrogen Sulfide (H2S)</t>
        </is>
      </c>
      <c r="G26" s="23" t="n">
        <v>34.08</v>
      </c>
      <c r="H26" s="24" t="n">
        <v>1.32</v>
      </c>
    </row>
    <row r="27">
      <c r="F27" s="4" t="inlineStr">
        <is>
          <t>Chlorine (Cl2)</t>
        </is>
      </c>
      <c r="G27" s="23" t="n">
        <v>70.90000000000001</v>
      </c>
      <c r="H27" s="24" t="n">
        <v>1.34</v>
      </c>
    </row>
    <row r="28">
      <c r="B28" s="13" t="inlineStr">
        <is>
          <t>Auto-suggested compressor type (from adiabatic head — patched in once Sheet 2 exists)</t>
        </is>
      </c>
      <c r="C28" s="29">
        <f>IF(LEN(J28)=0,"None",LEFT(J28,SEARCH(", ",J28)-1))</f>
        <v/>
      </c>
      <c r="F28" s="4" t="inlineStr">
        <is>
          <t>Sulfur Dioxide (SO2)</t>
        </is>
      </c>
      <c r="G28" s="23" t="n">
        <v>64.06999999999999</v>
      </c>
      <c r="H28" s="24" t="n">
        <v>1.29</v>
      </c>
      <c r="J28" s="30">
        <f>IF(AND('2. Type Selection'!$C$6&gt;='2. Type Selection'!C14,'2. Type Selection'!$C$6&lt;='2. Type Selection'!D14,'2. Type Selection'!$C$7&gt;='2. Type Selection'!E14,'2. Type Selection'!$C$7&lt;='2. Type Selection'!F14),'2. Type Selection'!B14&amp;", ","")&amp;IF(AND('2. Type Selection'!$C$6&gt;='2. Type Selection'!C15,'2. Type Selection'!$C$6&lt;='2. Type Selection'!D15,'2. Type Selection'!$C$7&gt;='2. Type Selection'!E15,'2. Type Selection'!$C$7&lt;='2. Type Selection'!F15),'2. Type Selection'!B15&amp;", ","")&amp;IF(AND('2. Type Selection'!$C$6&gt;='2. Type Selection'!C16,'2. Type Selection'!$C$6&lt;='2. Type Selection'!D16,'2. Type Selection'!$C$7&gt;='2. Type Selection'!E16,'2. Type Selection'!$C$7&lt;='2. Type Selection'!F16),'2. Type Selection'!B16&amp;", ","")&amp;IF(AND('2. Type Selection'!$C$6&gt;='2. Type Selection'!C17,'2. Type Selection'!$C$6&lt;='2. Type Selection'!D17,'2. Type Selection'!$C$7&gt;='2. Type Selection'!E17,'2. Type Selection'!$C$7&lt;='2. Type Selection'!F17),'2. Type Selection'!B17&amp;", ","")&amp;IF(AND('2. Type Selection'!$C$6&gt;='2. Type Selection'!C18,'2. Type Selection'!$C$6&lt;='2. Type Selection'!D18,'2. Type Selection'!$C$7&gt;='2. Type Selection'!E18,'2. Type Selection'!$C$7&lt;='2. Type Selection'!F18),'2. Type Selection'!B18&amp;", ","")&amp;IF(AND('2. Type Selection'!$C$6&gt;='2. Type Selection'!C19,'2. Type Selection'!$C$6&lt;='2. Type Selection'!D19,'2. Type Selection'!$C$7&gt;='2. Type Selection'!E19,'2. Type Selection'!$C$7&lt;='2. Type Selection'!F19),'2. Type Selection'!B19&amp;", ","")&amp;IF(AND('2. Type Selection'!$C$6&gt;='2. Type Selection'!C20,'2. Type Selection'!$C$6&lt;='2. Type Selection'!D20,'2. Type Selection'!$C$7&gt;='2. Type Selection'!E20,'2. Type Selection'!$C$7&lt;='2. Type Selection'!F20),'2. Type Selection'!B20&amp;", ","")&amp;IF(AND('2. Type Selection'!$C$6&gt;='2. Type Selection'!C21,'2. Type Selection'!$C$6&lt;='2. Type Selection'!D21,'2. Type Selection'!$C$7&gt;='2. Type Selection'!E21,'2. Type Selection'!$C$7&lt;='2. Type Selection'!F21),'2. Type Selection'!B21&amp;", ","")&amp;IF(AND('2. Type Selection'!$C$6&gt;='2. Type Selection'!C22,'2. Type Selection'!$C$6&lt;='2. Type Selection'!D22,'2. Type Selection'!$C$7&gt;='2. Type Selection'!E22,'2. Type Selection'!$C$7&lt;='2. Type Selection'!F22),'2. Type Selection'!B22&amp;", ","")&amp;IF(AND('2. Type Selection'!$C$6&gt;='2. Type Selection'!C23,'2. Type Selection'!$C$6&lt;='2. Type Selection'!D23,'2. Type Selection'!$C$7&gt;='2. Type Selection'!E23,'2. Type Selection'!$C$7&lt;='2. Type Selection'!F23),'2. Type Selection'!B23&amp;", ","")</f>
        <v/>
      </c>
    </row>
    <row r="29">
      <c r="B29" s="4" t="inlineStr">
        <is>
          <t>Manual override (pick a type for a one-off case, or leave "Auto")</t>
        </is>
      </c>
      <c r="C29" s="19" t="inlineStr">
        <is>
          <t>Auto</t>
        </is>
      </c>
      <c r="D29" s="12" t="n"/>
      <c r="F29" s="4" t="inlineStr">
        <is>
          <t>Water Vapor / Steam (H2O)</t>
        </is>
      </c>
      <c r="G29" s="23" t="n">
        <v>18.02</v>
      </c>
      <c r="H29" s="24" t="n">
        <v>1.33</v>
      </c>
    </row>
    <row r="30">
      <c r="B30" s="13" t="inlineStr">
        <is>
          <t>Effective selected type (used everywhere)</t>
        </is>
      </c>
      <c r="C30" s="29">
        <f>IF(C29="Auto",C28,C29)</f>
        <v/>
      </c>
      <c r="D30" s="12" t="n"/>
      <c r="F30" s="4" t="inlineStr">
        <is>
          <t>Argon (Ar)</t>
        </is>
      </c>
      <c r="G30" s="23" t="n">
        <v>39.95</v>
      </c>
      <c r="H30" s="24" t="n">
        <v>1.667</v>
      </c>
    </row>
    <row r="31">
      <c r="F31" s="4" t="inlineStr">
        <is>
          <t>Helium (He)</t>
        </is>
      </c>
      <c r="G31" s="23" t="n">
        <v>4.003</v>
      </c>
      <c r="H31" s="24" t="n">
        <v>1.667</v>
      </c>
    </row>
    <row r="32">
      <c r="B32" s="3" t="inlineStr">
        <is>
          <t>Efficiency Method — auto-selected by type</t>
        </is>
      </c>
    </row>
    <row r="33">
      <c r="B33" s="2" t="inlineStr">
        <is>
          <t>Reciprocating, Centrifugal, and Axial each have a real digitized correlation chart in the source deck (Fig. 3 and Fig. 1) — every other type (Rotary sub-types, Diaphragm, Fan/Blower) auto-falls-back to the rule-of-thumb Quick Default. Override to Scale-Up, Balje, or Manual below for a one-off case that needs more precision than either gives; see Sheet 3 for what data each of those needs.</t>
        </is>
      </c>
    </row>
    <row r="35">
      <c r="B35" s="4" t="inlineStr">
        <is>
          <t>Method override (pick one, or leave "Auto" for the type-based default)</t>
        </is>
      </c>
      <c r="C35" s="19" t="inlineStr">
        <is>
          <t>Auto</t>
        </is>
      </c>
    </row>
    <row r="36">
      <c r="B36" s="13" t="inlineStr">
        <is>
          <t>Effective method (used everywhere)</t>
        </is>
      </c>
      <c r="C36" s="29">
        <f>IF(C35&lt;&gt;"Auto",C35,IF(OR(ISNUMBER(SEARCH("Reciprocating",C30)),ISNUMBER(SEARCH("Centrifugal",C30)),ISNUMBER(SEARCH("Axial",C30))),"Empirical Correlation","Quick Default"))</f>
        <v/>
      </c>
    </row>
    <row r="38">
      <c r="B38" s="4" t="inlineStr">
        <is>
          <t>Manual ηp (used only if Method = Manual)</t>
        </is>
      </c>
      <c r="C38" s="31" t="n">
        <v>0.75</v>
      </c>
    </row>
    <row r="40">
      <c r="B40" s="32" t="inlineStr">
        <is>
          <t>Scale-Up method inputs (Casey &amp; Robinson Eq. 17 — needs external friction-factor data, see Sheet 3)</t>
        </is>
      </c>
    </row>
    <row r="41">
      <c r="B41" s="4" t="inlineStr">
        <is>
          <t>η1 (reference efficiency)</t>
        </is>
      </c>
      <c r="C41" s="33" t="n">
        <v>0</v>
      </c>
    </row>
    <row r="42">
      <c r="B42" s="4" t="inlineStr">
        <is>
          <t>Bref</t>
        </is>
      </c>
      <c r="C42" s="33" t="n">
        <v>0</v>
      </c>
    </row>
    <row r="43">
      <c r="B43" s="4" t="inlineStr">
        <is>
          <t>fref</t>
        </is>
      </c>
      <c r="C43" s="33" t="n">
        <v>0</v>
      </c>
    </row>
    <row r="44">
      <c r="B44" s="4" t="inlineStr">
        <is>
          <t>f1</t>
        </is>
      </c>
      <c r="C44" s="33" t="n">
        <v>0</v>
      </c>
    </row>
    <row r="45">
      <c r="B45" s="4" t="inlineStr">
        <is>
          <t>f2</t>
        </is>
      </c>
      <c r="C45" s="33" t="n">
        <v>0</v>
      </c>
    </row>
    <row r="47">
      <c r="B47" s="32" t="inlineStr">
        <is>
          <t>Balje method inputs (chart itself is external, see Sheet 3)</t>
        </is>
      </c>
    </row>
    <row r="48">
      <c r="B48" s="4" t="inlineStr">
        <is>
          <t>Shaft speed, N (rpm)</t>
        </is>
      </c>
      <c r="C48" s="25" t="n">
        <v>3600</v>
      </c>
    </row>
    <row r="49">
      <c r="B49" s="4" t="inlineStr">
        <is>
          <t>Impeller diameter, D (ft)</t>
        </is>
      </c>
      <c r="C49" s="20" t="n">
        <v>1.5</v>
      </c>
    </row>
    <row r="50">
      <c r="B50" s="4" t="inlineStr">
        <is>
          <t>ηc read from Balje chart (manual entry)</t>
        </is>
      </c>
      <c r="C50" s="31" t="n">
        <v>0</v>
      </c>
    </row>
    <row r="52">
      <c r="B52" s="3" t="inlineStr">
        <is>
          <t>Stage-Count Optimizer — Equipment Cost Basis (Seider correlations)</t>
        </is>
      </c>
    </row>
    <row r="53">
      <c r="B53" s="2" t="inlineStr">
        <is>
          <t>Compressor and intercooler purchased cost use Seider, Seader, Lewin &amp; Widagdo, Product and Process Design Principles, Ch. 16.5 — explicit equations (not charts), sized by the same horsepower/duty this workbook already computes. Chosen over Peters &amp; Timmerhaus for equipment costing specifically; see compressor_cost_comparison_PT_vs_Seider.pdf for why. P&amp;T's own PBP screen (Eq. 8-2a/8-2c) is still used below for the accept/reject structure.</t>
        </is>
      </c>
    </row>
    <row r="55">
      <c r="B55" s="4" t="inlineStr">
        <is>
          <t>CEPCI Year (annual averages — pick a year, or "Custom / Manual Entry")</t>
        </is>
      </c>
      <c r="C55" s="19" t="inlineStr">
        <is>
          <t>Custom / Manual Entry</t>
        </is>
      </c>
      <c r="F55" s="21" t="inlineStr">
        <is>
          <t>Year</t>
        </is>
      </c>
      <c r="G55" s="21" t="inlineStr">
        <is>
          <t>CEPCI</t>
        </is>
      </c>
    </row>
    <row r="56">
      <c r="B56" s="4" t="inlineStr">
        <is>
          <t>Manual CEPCI (used only if Year = "Custom / Manual Entry")</t>
        </is>
      </c>
      <c r="C56" s="34" t="n">
        <v>567</v>
      </c>
      <c r="F56" s="4" t="inlineStr">
        <is>
          <t>Custom / Manual Entry</t>
        </is>
      </c>
    </row>
    <row r="57">
      <c r="B57" s="13" t="inlineStr">
        <is>
          <t>Current CEPCI — effective (Seider eqs. calibrated to CE=567, 2013 avg)</t>
        </is>
      </c>
      <c r="C57" s="35">
        <f>IF(C55="Custom / Manual Entry",C56,VLOOKUP(C55,$F$56:$G$80,2,FALSE))</f>
        <v/>
      </c>
      <c r="D57" s="2" t="inlineStr">
        <is>
          <t>Defaults to 567 (Seider's own 2013 basis = no escalation) via Custom / Manual Entry above. Pick a Year for a real, current-dollar update, or type any other value manually.</t>
        </is>
      </c>
      <c r="F57" s="36" t="n">
        <v>2001</v>
      </c>
      <c r="G57" s="37" t="n">
        <v>394.3</v>
      </c>
    </row>
    <row r="58">
      <c r="B58" s="4" t="inlineStr">
        <is>
          <t>Compressor driver</t>
        </is>
      </c>
      <c r="C58" s="19" t="inlineStr">
        <is>
          <t>Electric Motor</t>
        </is>
      </c>
      <c r="F58" s="36" t="n">
        <v>2002</v>
      </c>
      <c r="G58" s="37" t="n">
        <v>395.6</v>
      </c>
    </row>
    <row r="59">
      <c r="B59" s="4" t="inlineStr">
        <is>
          <t>Compressor material of construction</t>
        </is>
      </c>
      <c r="C59" s="19" t="inlineStr">
        <is>
          <t>Carbon Steel</t>
        </is>
      </c>
      <c r="F59" s="36" t="n">
        <v>2003</v>
      </c>
      <c r="G59" s="37" t="n">
        <v>402</v>
      </c>
    </row>
    <row r="60">
      <c r="B60" s="4" t="inlineStr">
        <is>
          <t>Compressor bare-module factor, BMF</t>
        </is>
      </c>
      <c r="C60" s="20" t="n">
        <v>2.15</v>
      </c>
      <c r="F60" s="36" t="n">
        <v>2004</v>
      </c>
      <c r="G60" s="37" t="n">
        <v>444.2</v>
      </c>
    </row>
    <row r="61">
      <c r="F61" s="36" t="n">
        <v>2005</v>
      </c>
      <c r="G61" s="37" t="n">
        <v>468.2</v>
      </c>
    </row>
    <row r="62">
      <c r="B62" s="13" t="inlineStr">
        <is>
          <t>Intercooler: shell-and-tube head type</t>
        </is>
      </c>
      <c r="C62" s="19" t="inlineStr">
        <is>
          <t>Floating Head</t>
        </is>
      </c>
      <c r="F62" s="36" t="n">
        <v>2006</v>
      </c>
      <c r="G62" s="37" t="n">
        <v>499.6</v>
      </c>
    </row>
    <row r="63">
      <c r="B63" s="4" t="inlineStr">
        <is>
          <t>Intercooler shell/tube material</t>
        </is>
      </c>
      <c r="C63" s="19" t="inlineStr">
        <is>
          <t>Carbon steel/Carbon steel</t>
        </is>
      </c>
      <c r="F63" s="36" t="n">
        <v>2007</v>
      </c>
      <c r="G63" s="37" t="n">
        <v>525.4</v>
      </c>
    </row>
    <row r="64">
      <c r="B64" s="4" t="inlineStr">
        <is>
          <t>Intercooler tube length (ft)</t>
        </is>
      </c>
      <c r="C64" s="26" t="n">
        <v>20</v>
      </c>
      <c r="F64" s="36" t="n">
        <v>2008</v>
      </c>
      <c r="G64" s="37" t="n">
        <v>575.4</v>
      </c>
    </row>
    <row r="65">
      <c r="B65" s="4" t="inlineStr">
        <is>
          <t>Overall heat-transfer coefficient, U (Btu/(hr·ft²·°F))</t>
        </is>
      </c>
      <c r="C65" s="26" t="n">
        <v>50</v>
      </c>
      <c r="D65" s="2" t="inlineStr">
        <is>
          <t>50 per Seider Example 16.10 (gas-side service) — adjust if you have a better estimate for this duty.</t>
        </is>
      </c>
      <c r="F65" s="36" t="n">
        <v>2009</v>
      </c>
      <c r="G65" s="37" t="n">
        <v>521.9</v>
      </c>
    </row>
    <row r="66">
      <c r="B66" s="4" t="inlineStr">
        <is>
          <t>Cooling water inlet temperature (°F)</t>
        </is>
      </c>
      <c r="C66" s="26" t="n">
        <v>90</v>
      </c>
      <c r="F66" s="36" t="n">
        <v>2010</v>
      </c>
      <c r="G66" s="37" t="n">
        <v>550.8</v>
      </c>
    </row>
    <row r="67">
      <c r="B67" s="4" t="inlineStr">
        <is>
          <t>Cooling water outlet temperature (°F)</t>
        </is>
      </c>
      <c r="C67" s="26" t="n">
        <v>120</v>
      </c>
      <c r="D67" s="2" t="inlineStr">
        <is>
          <t>90/120°F is Seider's own standard cooling-water assumption (Ch. 17.2).</t>
        </is>
      </c>
      <c r="F67" s="36" t="n">
        <v>2011</v>
      </c>
      <c r="G67" s="37" t="n">
        <v>585.7</v>
      </c>
    </row>
    <row r="68">
      <c r="B68" s="4" t="inlineStr">
        <is>
          <t>Intercooler bare-module factor, BMF</t>
        </is>
      </c>
      <c r="C68" s="20" t="n">
        <v>3.29</v>
      </c>
      <c r="F68" s="36" t="n">
        <v>2012</v>
      </c>
      <c r="G68" s="37" t="n">
        <v>584.6</v>
      </c>
    </row>
    <row r="69">
      <c r="F69" s="36" t="n">
        <v>2013</v>
      </c>
      <c r="G69" s="37" t="n">
        <v>567.3</v>
      </c>
    </row>
    <row r="70">
      <c r="B70" s="13" t="inlineStr">
        <is>
          <t>Combined income tax rate, t (for after-tax cash flow, Seider Eq. 17.8)</t>
        </is>
      </c>
      <c r="C70" s="38" t="n">
        <v>0.21</v>
      </c>
      <c r="D70" s="2" t="inlineStr">
        <is>
          <t>21% flat federal (current US corporate rate, post-2017 TCJA) + 0% state — Texas has no state corporate income tax. Seider's own Table 17.4 graduated schedule (up to 35% federal + 5% state = 40%) predates the 2018 tax-law change; using it here would overstate the tax shield.</t>
        </is>
      </c>
      <c r="F70" s="36" t="n">
        <v>2014</v>
      </c>
      <c r="G70" s="37" t="n">
        <v>576.1</v>
      </c>
    </row>
    <row r="71">
      <c r="F71" s="36" t="n">
        <v>2015</v>
      </c>
      <c r="G71" s="37" t="n">
        <v>556.8</v>
      </c>
    </row>
    <row r="72">
      <c r="B72" s="3" t="inlineStr">
        <is>
          <t>Derived Quantities (do not edit)</t>
        </is>
      </c>
      <c r="F72" s="36" t="n">
        <v>2016</v>
      </c>
      <c r="G72" s="37" t="n">
        <v>541.7</v>
      </c>
    </row>
    <row r="73">
      <c r="B73" s="4" t="inlineStr">
        <is>
          <t>T1 (°R)</t>
        </is>
      </c>
      <c r="C73" s="39">
        <f>C11+459.67</f>
        <v/>
      </c>
      <c r="F73" s="36" t="n">
        <v>2017</v>
      </c>
      <c r="G73" s="37" t="n">
        <v>567.5</v>
      </c>
    </row>
    <row r="74">
      <c r="B74" s="4" t="inlineStr">
        <is>
          <t>Specific gas constant, R' = 1545.349/MW (ft·lbf/(lbm·°R))</t>
        </is>
      </c>
      <c r="C74" s="40">
        <f>1545.349/C6</f>
        <v/>
      </c>
      <c r="F74" s="36" t="n">
        <v>2018</v>
      </c>
      <c r="G74" s="37" t="n">
        <v>603.1</v>
      </c>
    </row>
    <row r="75">
      <c r="B75" s="4" t="inlineStr">
        <is>
          <t>Overall pressure ratio, r_total = P2/P1</t>
        </is>
      </c>
      <c r="C75" s="39">
        <f>C13/C12</f>
        <v/>
      </c>
      <c r="F75" s="36" t="n">
        <v>2019</v>
      </c>
      <c r="G75" s="37" t="n">
        <v>607.5</v>
      </c>
    </row>
    <row r="76">
      <c r="B76" s="4" t="inlineStr">
        <is>
          <t>Per-stage pressure ratio, r_stage = r_total^(1/N_stages)</t>
        </is>
      </c>
      <c r="C76" s="40">
        <f>C75^(1/C15)</f>
        <v/>
      </c>
      <c r="F76" s="36" t="n">
        <v>2020</v>
      </c>
      <c r="G76" s="37" t="n">
        <v>596.2</v>
      </c>
    </row>
    <row r="77">
      <c r="B77" s="4" t="inlineStr">
        <is>
          <t>Suction density, rho1 (lbm/ft³) [ideal: rho=P/(R′ZT), P in psia, R′ in psia·ft³/(lbm·R) form]</t>
        </is>
      </c>
      <c r="C77" s="40">
        <f>(C12*C6)/(10.7316*C8*C73)</f>
        <v/>
      </c>
      <c r="D77" s="2" t="inlineStr">
        <is>
          <t>rho uses R = 10.7316 psia·ft³/(lbmol·°R) ÷ MW; R' above (1545.349 ft·lbf/(lbm·R)) is the head-equation form of the same specific gas constant, just different units.</t>
        </is>
      </c>
      <c r="F77" s="36" t="n">
        <v>2021</v>
      </c>
      <c r="G77" s="37" t="n">
        <v>708.8</v>
      </c>
    </row>
    <row r="78">
      <c r="B78" s="4" t="inlineStr">
        <is>
          <t>Inlet actual volumetric flow, Q (ACFM = ft³/min)</t>
        </is>
      </c>
      <c r="C78" s="41">
        <f>(C14/60)/C77</f>
        <v/>
      </c>
      <c r="F78" s="36" t="n">
        <v>2022</v>
      </c>
      <c r="G78" s="37" t="n">
        <v>816</v>
      </c>
    </row>
    <row r="79">
      <c r="F79" s="36" t="n">
        <v>2023</v>
      </c>
      <c r="G79" s="37" t="n">
        <v>797.9</v>
      </c>
    </row>
    <row r="80">
      <c r="F80" s="36" t="n">
        <v>2024</v>
      </c>
      <c r="G80" s="37" t="n">
        <v>795.4</v>
      </c>
    </row>
    <row r="81">
      <c r="F81" s="2" t="inlineStr">
        <is>
          <t>2024 is a Jan-2024 monthly value (annual average not yet finalized in the source) — treat as approximate. Only escalate a few years at a time; the index's cost-component weighting drifts over long spans, so accuracy degrades the further apart the two years are.</t>
        </is>
      </c>
    </row>
  </sheetData>
  <mergeCells count="29">
    <mergeCell ref="C30:D30"/>
    <mergeCell ref="D15"/>
    <mergeCell ref="B17:D17"/>
    <mergeCell ref="B53:D53"/>
    <mergeCell ref="D67"/>
    <mergeCell ref="B10:D10"/>
    <mergeCell ref="C29:D29"/>
    <mergeCell ref="C55:D55"/>
    <mergeCell ref="D19"/>
    <mergeCell ref="B23:C23"/>
    <mergeCell ref="G6:H6"/>
    <mergeCell ref="B33:D33"/>
    <mergeCell ref="D65"/>
    <mergeCell ref="B5:D5"/>
    <mergeCell ref="B32:D32"/>
    <mergeCell ref="F81:G81"/>
    <mergeCell ref="D6"/>
    <mergeCell ref="B26:D26"/>
    <mergeCell ref="D77"/>
    <mergeCell ref="D57"/>
    <mergeCell ref="B25:D25"/>
    <mergeCell ref="F9:G9"/>
    <mergeCell ref="D70"/>
    <mergeCell ref="B72:D72"/>
    <mergeCell ref="B3:D3"/>
    <mergeCell ref="D7"/>
    <mergeCell ref="C28:D28"/>
    <mergeCell ref="B52:D52"/>
    <mergeCell ref="B2:D2"/>
  </mergeCells>
  <dataValidations count="10">
    <dataValidation sqref="G6" showDropDown="0" showInputMessage="0" showErrorMessage="0" allowBlank="0" type="list">
      <formula1>$F$11:$F$31</formula1>
    </dataValidation>
    <dataValidation sqref="C20" showDropDown="0" showInputMessage="0" showErrorMessage="0" allowBlank="0" type="list">
      <formula1>"Safe - cost of capital,Low - new capacity / established market,Medium - new product/established market or new process tech,High - new product/process / new application,Very High - all-new / high R&amp;D and marketing"</formula1>
    </dataValidation>
    <dataValidation sqref="C29" showDropDown="0" showInputMessage="0" showErrorMessage="0" allowBlank="0" type="list">
      <formula1>"Auto,Diaphragm,Reciprocating,Rotary - Straight Lobe,Rotary - Screw,Rotary - Sliding Vane,Rotary - Liquid Piston,Centrifugal - Single Stage,Centrifugal - Multistage,Axial - Multistage,Fan / Blower"</formula1>
    </dataValidation>
    <dataValidation sqref="C35" showDropDown="0" showInputMessage="0" showErrorMessage="0" allowBlank="0" type="list">
      <formula1>"Auto,Empirical Correlation,Quick Default,Scale-Up,Balje,Manual"</formula1>
    </dataValidation>
    <dataValidation sqref="C55" showDropDown="0" showInputMessage="0" showErrorMessage="0" allowBlank="0" type="list">
      <formula1>$F$56:$F$80</formula1>
    </dataValidation>
    <dataValidation sqref="C58" showDropDown="0" showInputMessage="0" showErrorMessage="0" allowBlank="0" type="list">
      <formula1>"Electric Motor,Steam Turbine,Gas Turbine"</formula1>
    </dataValidation>
    <dataValidation sqref="C59" showDropDown="0" showInputMessage="0" showErrorMessage="0" allowBlank="0" type="list">
      <formula1>"Carbon Steel,Stainless Steel,Nickel Alloy"</formula1>
    </dataValidation>
    <dataValidation sqref="C62" showDropDown="0" showInputMessage="0" showErrorMessage="0" allowBlank="0" type="list">
      <formula1>"Floating Head,Fixed Head,U-Tube,Kettle Vaporizer"</formula1>
    </dataValidation>
    <dataValidation sqref="C63" showDropDown="0" showInputMessage="0" showErrorMessage="0" allowBlank="0" type="list">
      <formula1>"Carbon steel/Carbon steel,Carbon steel/Stainless steel,Stainless steel/Stainless steel"</formula1>
    </dataValidation>
    <dataValidation sqref="C64" showDropDown="0" showInputMessage="0" showErrorMessage="0" allowBlank="0" type="list">
      <formula1>"8,12,16,20"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45"/>
  <sheetViews>
    <sheetView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45" customWidth="1" min="7" max="7"/>
  </cols>
  <sheetData>
    <row r="2" ht="24" customHeight="1">
      <c r="B2" s="1" t="inlineStr">
        <is>
          <t>2. Compressor Type Selection</t>
        </is>
      </c>
    </row>
    <row r="3">
      <c r="B3" s="2" t="inlineStr">
        <is>
          <t>"Compressor selection is primarily based on capacity and head requirements" — Compressor Selection.pptx slide 7. Boundaries below are approximate, eyeballed from the embedded Fig. 10-64 coverage chart. Change the selected type on Sheet 1, not here.</t>
        </is>
      </c>
    </row>
    <row r="5">
      <c r="B5" s="3" t="inlineStr">
        <is>
          <t>Computed Operating Point</t>
        </is>
      </c>
    </row>
    <row r="6">
      <c r="B6" s="4" t="inlineStr">
        <is>
          <t>Capacity, Q (ACFM at suction)</t>
        </is>
      </c>
      <c r="C6" s="41">
        <f>'1. Inputs'!$C$78</f>
        <v/>
      </c>
    </row>
    <row r="7">
      <c r="B7" s="4" t="inlineStr">
        <is>
          <t>Adiabatic head, H_ad (ft) [n=k, per stage]</t>
        </is>
      </c>
      <c r="C7" s="42">
        <f>('1. Inputs'!$C$7/('1. Inputs'!$C$7-1))*'1. Inputs'!$C$74*'1. Inputs'!$C$73*('1. Inputs'!$C$76^(('1. Inputs'!$C$7-1)/'1. Inputs'!$C$7)-1)</f>
        <v/>
      </c>
    </row>
    <row r="8">
      <c r="B8" s="13" t="inlineStr">
        <is>
          <t>Effective compressor type (auto-computed on Sheet 1 from Q/H_ad above; override available there)</t>
        </is>
      </c>
      <c r="C8" s="43">
        <f>'1. Inputs'!$C$30</f>
        <v/>
      </c>
      <c r="D8" s="12" t="n"/>
    </row>
    <row r="10">
      <c r="B10" s="3" t="inlineStr">
        <is>
          <t>Approx. Coverage Ranges (digitized from Fig. 10-64) — the highlighted row(s) contain your current operating point</t>
        </is>
      </c>
    </row>
    <row r="11">
      <c r="B11" s="2" t="inlineStr">
        <is>
          <t>A live chart was tried here and dropped — Excel's charting has no clean way to shade a log-log rectangular region, and a ScatterChart approximation proved unreliable in practice. Row highlighting (conditional formatting, driven by the same Q/H comparison) is simpler and equally informative.</t>
        </is>
      </c>
    </row>
    <row r="13">
      <c r="B13" s="13" t="inlineStr">
        <is>
          <t>Type</t>
        </is>
      </c>
      <c r="C13" s="13" t="inlineStr">
        <is>
          <t>Q_min (ACFM)</t>
        </is>
      </c>
      <c r="D13" s="13" t="inlineStr">
        <is>
          <t>Q_max (ACFM)</t>
        </is>
      </c>
      <c r="E13" s="13" t="inlineStr">
        <is>
          <t>H_min (ft)</t>
        </is>
      </c>
      <c r="F13" s="13" t="inlineStr">
        <is>
          <t>H_max (ft)</t>
        </is>
      </c>
    </row>
    <row r="14">
      <c r="B14" s="4" t="inlineStr">
        <is>
          <t>Diaphragm</t>
        </is>
      </c>
      <c r="C14" s="44" t="n">
        <v>1</v>
      </c>
      <c r="D14" s="44" t="n">
        <v>10</v>
      </c>
      <c r="E14" s="44" t="n">
        <v>1000</v>
      </c>
      <c r="F14" s="44" t="n">
        <v>100000</v>
      </c>
    </row>
    <row r="15">
      <c r="B15" s="4" t="inlineStr">
        <is>
          <t>Reciprocating</t>
        </is>
      </c>
      <c r="C15" s="44" t="n">
        <v>1</v>
      </c>
      <c r="D15" s="44" t="n">
        <v>3000</v>
      </c>
      <c r="E15" s="44" t="n">
        <v>500</v>
      </c>
      <c r="F15" s="44" t="n">
        <v>100000</v>
      </c>
    </row>
    <row r="16">
      <c r="B16" s="4" t="inlineStr">
        <is>
          <t>Rotary - Straight Lobe</t>
        </is>
      </c>
      <c r="C16" s="44" t="n">
        <v>100</v>
      </c>
      <c r="D16" s="44" t="n">
        <v>3000</v>
      </c>
      <c r="E16" s="44" t="n">
        <v>100</v>
      </c>
      <c r="F16" s="44" t="n">
        <v>1000</v>
      </c>
    </row>
    <row r="17">
      <c r="B17" s="4" t="inlineStr">
        <is>
          <t>Rotary - Screw</t>
        </is>
      </c>
      <c r="C17" s="44" t="n">
        <v>10</v>
      </c>
      <c r="D17" s="44" t="n">
        <v>3000</v>
      </c>
      <c r="E17" s="44" t="n">
        <v>100</v>
      </c>
      <c r="F17" s="44" t="n">
        <v>10000</v>
      </c>
    </row>
    <row r="18">
      <c r="B18" s="4" t="inlineStr">
        <is>
          <t>Rotary - Sliding Vane</t>
        </is>
      </c>
      <c r="C18" s="44" t="n">
        <v>10</v>
      </c>
      <c r="D18" s="44" t="n">
        <v>1000</v>
      </c>
      <c r="E18" s="44" t="n">
        <v>100</v>
      </c>
      <c r="F18" s="44" t="n">
        <v>3000</v>
      </c>
    </row>
    <row r="19">
      <c r="B19" s="4" t="inlineStr">
        <is>
          <t>Rotary - Liquid Piston</t>
        </is>
      </c>
      <c r="C19" s="44" t="n">
        <v>1</v>
      </c>
      <c r="D19" s="44" t="n">
        <v>300</v>
      </c>
      <c r="E19" s="44" t="n">
        <v>1000</v>
      </c>
      <c r="F19" s="44" t="n">
        <v>10000</v>
      </c>
    </row>
    <row r="20">
      <c r="B20" s="4" t="inlineStr">
        <is>
          <t>Centrifugal - Single Stage</t>
        </is>
      </c>
      <c r="C20" s="44" t="n">
        <v>1000</v>
      </c>
      <c r="D20" s="44" t="n">
        <v>100000</v>
      </c>
      <c r="E20" s="44" t="n">
        <v>100</v>
      </c>
      <c r="F20" s="44" t="n">
        <v>10000</v>
      </c>
    </row>
    <row r="21">
      <c r="B21" s="4" t="inlineStr">
        <is>
          <t>Centrifugal - Multistage</t>
        </is>
      </c>
      <c r="C21" s="44" t="n">
        <v>500</v>
      </c>
      <c r="D21" s="44" t="n">
        <v>100000</v>
      </c>
      <c r="E21" s="44" t="n">
        <v>1000</v>
      </c>
      <c r="F21" s="44" t="n">
        <v>100000</v>
      </c>
    </row>
    <row r="22">
      <c r="B22" s="4" t="inlineStr">
        <is>
          <t>Axial - Multistage</t>
        </is>
      </c>
      <c r="C22" s="44" t="n">
        <v>3000</v>
      </c>
      <c r="D22" s="44" t="n">
        <v>100000</v>
      </c>
      <c r="E22" s="44" t="n">
        <v>100</v>
      </c>
      <c r="F22" s="44" t="n">
        <v>3000</v>
      </c>
    </row>
    <row r="23">
      <c r="B23" s="4" t="inlineStr">
        <is>
          <t>Fan / Blower</t>
        </is>
      </c>
      <c r="C23" s="44" t="n">
        <v>1000</v>
      </c>
      <c r="D23" s="44" t="n">
        <v>100000</v>
      </c>
      <c r="E23" s="44" t="n">
        <v>10</v>
      </c>
      <c r="F23" s="44" t="n">
        <v>1000</v>
      </c>
    </row>
    <row r="25">
      <c r="B25" s="3" t="inlineStr">
        <is>
          <t>Auto-Suggestion (candidates whose box contains the operating point)</t>
        </is>
      </c>
    </row>
    <row r="26">
      <c r="B26" s="4" t="inlineStr">
        <is>
          <t>Candidate type(s)</t>
        </is>
      </c>
      <c r="C26" s="43">
        <f>IF(LEN(H26)=0,"(no boundary match - inspect Fig. 10-64 chart manually)",LEFT(H26,LEN(H26)-2))</f>
        <v/>
      </c>
      <c r="D26" s="45" t="n"/>
      <c r="E26" s="45" t="n"/>
      <c r="F26" s="12" t="n"/>
      <c r="H26" s="30">
        <f>IF(AND($C$6&gt;=C14,$C$6&lt;=D14,$C$7&gt;=E14,$C$7&lt;=F14),B14&amp;", ","")&amp;IF(AND($C$6&gt;=C15,$C$6&lt;=D15,$C$7&gt;=E15,$C$7&lt;=F15),B15&amp;", ","")&amp;IF(AND($C$6&gt;=C16,$C$6&lt;=D16,$C$7&gt;=E16,$C$7&lt;=F16),B16&amp;", ","")&amp;IF(AND($C$6&gt;=C17,$C$6&lt;=D17,$C$7&gt;=E17,$C$7&lt;=F17),B17&amp;", ","")&amp;IF(AND($C$6&gt;=C18,$C$6&lt;=D18,$C$7&gt;=E18,$C$7&lt;=F18),B18&amp;", ","")&amp;IF(AND($C$6&gt;=C19,$C$6&lt;=D19,$C$7&gt;=E19,$C$7&lt;=F19),B19&amp;", ","")&amp;IF(AND($C$6&gt;=C20,$C$6&lt;=D20,$C$7&gt;=E20,$C$7&lt;=F20),B20&amp;", ","")&amp;IF(AND($C$6&gt;=C21,$C$6&lt;=D21,$C$7&gt;=E21,$C$7&lt;=F21),B21&amp;", ","")&amp;IF(AND($C$6&gt;=C22,$C$6&lt;=D22,$C$7&gt;=E22,$C$7&lt;=F22),B22&amp;", ","")&amp;IF(AND($C$6&gt;=C23,$C$6&lt;=D23,$C$7&gt;=E23,$C$7&lt;=F23),B23&amp;", ","")</f>
        <v/>
      </c>
    </row>
    <row r="28">
      <c r="B28" s="2" t="inlineStr">
        <is>
          <t>Additional selection parameters mentioned in the deck (Reynolds number, specific speed Ns, specific diameter Ds, flow coefficient φ, pressure coefficient Ψ) are standard turbomachinery similarity parameters used mainly to refine centrifugal-stage/impeller choice once a vendor curve is available — not computed here since the deck names them without giving the specific formulas used.</t>
        </is>
      </c>
    </row>
    <row r="31">
      <c r="B31" s="3" t="inlineStr">
        <is>
          <t>Qualitative Notes by Type (from Compressor Selection.pptx)</t>
        </is>
      </c>
    </row>
    <row r="32" ht="40" customHeight="1">
      <c r="B32" s="13" t="inlineStr">
        <is>
          <t>Centrifugal [Continuous, Dynamic]</t>
        </is>
      </c>
      <c r="C32" s="2" t="inlineStr">
        <is>
          <t>Multiple stages for lower power input; backward-curved blades most common; surges at min flow, chokes at max flow.</t>
        </is>
      </c>
    </row>
    <row r="34" ht="40" customHeight="1">
      <c r="B34" s="13" t="inlineStr">
        <is>
          <t>Reciprocating [Positive Displacement]</t>
        </is>
      </c>
      <c r="C34" s="2" t="inlineStr">
        <is>
          <t>High pressure ratio, low flow; discharge temperature limits pressure ratio (lubricant degradation, thermal expansion); multi-stage needs interstage coolers; ~80% efficient; rod-packing failure is an overpressure scenario — PSV required on vent piping.</t>
        </is>
      </c>
    </row>
    <row r="36" ht="40" customHeight="1">
      <c r="B36" s="13" t="inlineStr">
        <is>
          <t>Rotary [Positive Displacement]</t>
        </is>
      </c>
      <c r="C36" s="2" t="inlineStr">
        <is>
          <t>Straight lobe, screw, sliding vane, or liquid piston sub-types.</t>
        </is>
      </c>
    </row>
    <row r="38" ht="40" customHeight="1">
      <c r="B38" s="13" t="inlineStr">
        <is>
          <t>Axial [Continuous, Dynamic]</t>
        </is>
      </c>
      <c r="C38" s="2" t="inlineStr">
        <is>
          <t>Low head, high flow, small operating range; used for gas turbines/aircraft.</t>
        </is>
      </c>
    </row>
    <row r="40" ht="40" customHeight="1">
      <c r="B40" s="13" t="inlineStr">
        <is>
          <t>Fans / Blowers</t>
        </is>
      </c>
      <c r="C40" s="2" t="inlineStr">
        <is>
          <t>Fans &lt;0.5 psi, blowers &lt;1.5 psi delivery; axial fans for high flow/low pressure; centrifugal blowers most common, no cooling required (ratio ~3.5).</t>
        </is>
      </c>
    </row>
    <row r="42" ht="40" customHeight="1">
      <c r="B42" s="13" t="inlineStr">
        <is>
          <t>Ejectors [Continuous]</t>
        </is>
      </c>
      <c r="C42" s="2" t="inlineStr">
        <is>
          <t>Steam-driven vacuum alternative to a compressor; low maintenance/cost, environmental tradeoff; not sized on this sheet.</t>
        </is>
      </c>
    </row>
    <row r="45">
      <c r="B45" s="13" t="inlineStr">
        <is>
          <t>Fig. 10-64 — Compressor coverage chart (Perry's, via Compressor Selection.pptx), for visual cross-check against the live plot above</t>
        </is>
      </c>
    </row>
  </sheetData>
  <mergeCells count="16">
    <mergeCell ref="B3:G3"/>
    <mergeCell ref="B2:G2"/>
    <mergeCell ref="C40:F40"/>
    <mergeCell ref="B5:D5"/>
    <mergeCell ref="B10:G10"/>
    <mergeCell ref="B28:G28"/>
    <mergeCell ref="C26:F26"/>
    <mergeCell ref="B31:G31"/>
    <mergeCell ref="B25:G25"/>
    <mergeCell ref="C34:F34"/>
    <mergeCell ref="C38:F38"/>
    <mergeCell ref="C32:F32"/>
    <mergeCell ref="C42:F42"/>
    <mergeCell ref="C36:F36"/>
    <mergeCell ref="C8:D8"/>
    <mergeCell ref="B11:G11"/>
  </mergeCells>
  <conditionalFormatting sqref="B14:F23">
    <cfRule type="expression" priority="1" dxfId="0">
      <formula>AND($C$6&gt;=C14,$C$6&lt;=D14,$C$7&gt;=E14,$C$7&lt;=F14)</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H80"/>
  <sheetViews>
    <sheetView workbookViewId="0">
      <selection activeCell="A1" sqref="A1"/>
    </sheetView>
  </sheetViews>
  <sheetFormatPr baseColWidth="8" defaultRowHeight="15"/>
  <cols>
    <col width="3" customWidth="1" min="1" max="1"/>
    <col width="34" customWidth="1" min="2" max="2"/>
    <col width="12" customWidth="1" min="3" max="3"/>
    <col width="12" customWidth="1" min="4" max="4"/>
    <col width="12" customWidth="1" min="5" max="5"/>
    <col width="12" customWidth="1" min="6" max="6"/>
    <col width="12" customWidth="1" min="7" max="7"/>
    <col width="40" customWidth="1" min="8" max="8"/>
  </cols>
  <sheetData>
    <row r="2" ht="24" customHeight="1">
      <c r="B2" s="1" t="inlineStr">
        <is>
          <t>3. Polytropic Efficiency Estimation</t>
        </is>
      </c>
    </row>
    <row r="3">
      <c r="B3" s="2" t="inlineStr">
        <is>
          <t>Three methods from Compressor Sizing.pptx slide 4-7. The method choice and all manual inputs (Scale-Up, Balje, Manual ηp) are set on Sheet 1 — this sheet shows the resulting computation for each.</t>
        </is>
      </c>
    </row>
    <row r="5">
      <c r="B5" s="3" t="inlineStr">
        <is>
          <t>Method 1: Empirical Correlation — three digitized curves by type</t>
        </is>
      </c>
    </row>
    <row r="6">
      <c r="B6" s="2" t="inlineStr">
        <is>
          <t>ηp increases with flow rate and pressure ratio; general range 70-80% (Compressor Sizing.pptx slide 5). Reciprocating uses Fig. 3 (vs. pressure ratio); Centrifugal and Axial use the two curves on Fig. 1 (vs. suction ACFM) — added when the deck was updated with that chart. Any other type still has no digitized chart and falls back to Quick Defaults below.</t>
        </is>
      </c>
    </row>
    <row r="8">
      <c r="B8" s="13" t="inlineStr">
        <is>
          <t>Reciprocating (Fig. 3, vs. pressure ratio)</t>
        </is>
      </c>
    </row>
    <row r="9">
      <c r="B9" s="13" t="inlineStr">
        <is>
          <t>Pressure ratio</t>
        </is>
      </c>
      <c r="C9" s="13" t="inlineStr">
        <is>
          <t>ηp</t>
        </is>
      </c>
    </row>
    <row r="10">
      <c r="B10" s="37" t="n">
        <v>1.5</v>
      </c>
      <c r="C10" s="46" t="n">
        <v>0.74</v>
      </c>
    </row>
    <row r="11">
      <c r="B11" s="37" t="n">
        <v>2</v>
      </c>
      <c r="C11" s="46" t="n">
        <v>0.79</v>
      </c>
    </row>
    <row r="12">
      <c r="B12" s="37" t="n">
        <v>2.5</v>
      </c>
      <c r="C12" s="46" t="n">
        <v>0.8149999999999999</v>
      </c>
    </row>
    <row r="13">
      <c r="B13" s="37" t="n">
        <v>3</v>
      </c>
      <c r="C13" s="46" t="n">
        <v>0.825</v>
      </c>
    </row>
    <row r="14">
      <c r="B14" s="37" t="n">
        <v>3.5</v>
      </c>
      <c r="C14" s="46" t="n">
        <v>0.833</v>
      </c>
    </row>
    <row r="15">
      <c r="B15" s="37" t="n">
        <v>4</v>
      </c>
      <c r="C15" s="46" t="n">
        <v>0.84</v>
      </c>
    </row>
    <row r="16">
      <c r="B16" s="37" t="n">
        <v>4.5</v>
      </c>
      <c r="C16" s="46" t="n">
        <v>0.843</v>
      </c>
    </row>
    <row r="17">
      <c r="B17" s="37" t="n">
        <v>5</v>
      </c>
      <c r="C17" s="46" t="n">
        <v>0.846</v>
      </c>
    </row>
    <row r="18">
      <c r="B18" s="37" t="n">
        <v>5.5</v>
      </c>
      <c r="C18" s="46" t="n">
        <v>0.848</v>
      </c>
    </row>
    <row r="19">
      <c r="B19" s="37" t="n">
        <v>6</v>
      </c>
      <c r="C19" s="46" t="n">
        <v>0.846</v>
      </c>
    </row>
    <row r="20">
      <c r="B20" s="37" t="n">
        <v>6.5</v>
      </c>
      <c r="C20" s="46" t="n">
        <v>0.843</v>
      </c>
    </row>
    <row r="21">
      <c r="B21" s="4" t="inlineStr">
        <is>
          <t>Interpolated ηp (Reciprocating)</t>
        </is>
      </c>
      <c r="C21" s="27">
        <f>IF('1. Inputs'!$C$76&lt;=B10,C10,IF('1. Inputs'!$C$76&gt;=B20,C20,INDEX($C$10:$C$20,MATCH('1. Inputs'!$C$76,$B$10:$B$20,1))+(INDEX($C$10:$C$20,MATCH('1. Inputs'!$C$76,$B$10:$B$20,1)+1)-INDEX($C$10:$C$20,MATCH('1. Inputs'!$C$76,$B$10:$B$20,1)))*('1. Inputs'!$C$76-INDEX($B$10:$B$20,MATCH('1. Inputs'!$C$76,$B$10:$B$20,1)))/(INDEX($B$10:$B$20,MATCH('1. Inputs'!$C$76,$B$10:$B$20,1)+1)-INDEX($B$10:$B$20,MATCH('1. Inputs'!$C$76,$B$10:$B$20,1)))))</f>
        <v/>
      </c>
    </row>
    <row r="23">
      <c r="B23" s="13" t="inlineStr">
        <is>
          <t>Centrifugal (Fig. 1, vs. suction ACFM)</t>
        </is>
      </c>
    </row>
    <row r="24">
      <c r="B24" s="13" t="inlineStr">
        <is>
          <t>Suction ACFM</t>
        </is>
      </c>
      <c r="C24" s="13" t="inlineStr">
        <is>
          <t>ηp</t>
        </is>
      </c>
    </row>
    <row r="25">
      <c r="B25" s="44" t="n">
        <v>1000</v>
      </c>
      <c r="C25" s="46" t="n">
        <v>0.65</v>
      </c>
    </row>
    <row r="26">
      <c r="B26" s="44" t="n">
        <v>2000</v>
      </c>
      <c r="C26" s="46" t="n">
        <v>0.7</v>
      </c>
    </row>
    <row r="27">
      <c r="B27" s="44" t="n">
        <v>4000</v>
      </c>
      <c r="C27" s="46" t="n">
        <v>0.72</v>
      </c>
    </row>
    <row r="28">
      <c r="B28" s="44" t="n">
        <v>7000</v>
      </c>
      <c r="C28" s="46" t="n">
        <v>0.73</v>
      </c>
    </row>
    <row r="29">
      <c r="B29" s="44" t="n">
        <v>10000</v>
      </c>
      <c r="C29" s="46" t="n">
        <v>0.735</v>
      </c>
    </row>
    <row r="30">
      <c r="B30" s="44" t="n">
        <v>20000</v>
      </c>
      <c r="C30" s="46" t="n">
        <v>0.745</v>
      </c>
    </row>
    <row r="31">
      <c r="B31" s="44" t="n">
        <v>40000</v>
      </c>
      <c r="C31" s="46" t="n">
        <v>0.755</v>
      </c>
    </row>
    <row r="32">
      <c r="B32" s="44" t="n">
        <v>70000</v>
      </c>
      <c r="C32" s="46" t="n">
        <v>0.763</v>
      </c>
    </row>
    <row r="33">
      <c r="B33" s="44" t="n">
        <v>100000</v>
      </c>
      <c r="C33" s="46" t="n">
        <v>0.766</v>
      </c>
    </row>
    <row r="34">
      <c r="B34" s="44" t="n">
        <v>200000</v>
      </c>
      <c r="C34" s="46" t="n">
        <v>0.77</v>
      </c>
    </row>
    <row r="35">
      <c r="B35" s="4" t="inlineStr">
        <is>
          <t>Interpolated ηp (Centrifugal)</t>
        </is>
      </c>
      <c r="C35" s="27">
        <f>IF('1. Inputs'!$C$78&lt;=B25,C25,IF('1. Inputs'!$C$78&gt;=B34,C34,INDEX($C$25:$C$34,MATCH('1. Inputs'!$C$78,$B$25:$B$34,1))+(INDEX($C$25:$C$34,MATCH('1. Inputs'!$C$78,$B$25:$B$34,1)+1)-INDEX($C$25:$C$34,MATCH('1. Inputs'!$C$78,$B$25:$B$34,1)))*('1. Inputs'!$C$78-INDEX($B$25:$B$34,MATCH('1. Inputs'!$C$78,$B$25:$B$34,1)))/(INDEX($B$25:$B$34,MATCH('1. Inputs'!$C$78,$B$25:$B$34,1)+1)-INDEX($B$25:$B$34,MATCH('1. Inputs'!$C$78,$B$25:$B$34,1)))))</f>
        <v/>
      </c>
    </row>
    <row r="37">
      <c r="B37" s="13" t="inlineStr">
        <is>
          <t>Axial (Fig. 1, vs. suction ACFM)</t>
        </is>
      </c>
    </row>
    <row r="38">
      <c r="B38" s="13" t="inlineStr">
        <is>
          <t>Suction ACFM</t>
        </is>
      </c>
      <c r="C38" s="13" t="inlineStr">
        <is>
          <t>ηp</t>
        </is>
      </c>
    </row>
    <row r="39">
      <c r="B39" s="44" t="n">
        <v>75000</v>
      </c>
      <c r="C39" s="46" t="n">
        <v>0.8129999999999999</v>
      </c>
    </row>
    <row r="40">
      <c r="B40" s="44" t="n">
        <v>100000</v>
      </c>
      <c r="C40" s="46" t="n">
        <v>0.8169999999999999</v>
      </c>
    </row>
    <row r="41">
      <c r="B41" s="44" t="n">
        <v>200000</v>
      </c>
      <c r="C41" s="46" t="n">
        <v>0.827</v>
      </c>
    </row>
    <row r="42">
      <c r="B42" s="44" t="n">
        <v>400000</v>
      </c>
      <c r="C42" s="46" t="n">
        <v>0.832</v>
      </c>
    </row>
    <row r="43">
      <c r="B43" s="44" t="n">
        <v>600000</v>
      </c>
      <c r="C43" s="46" t="n">
        <v>0.836</v>
      </c>
    </row>
    <row r="44">
      <c r="B44" s="4" t="inlineStr">
        <is>
          <t>Interpolated ηp (Axial)</t>
        </is>
      </c>
      <c r="C44" s="27">
        <f>IF('1. Inputs'!$C$78&lt;=B39,C39,IF('1. Inputs'!$C$78&gt;=B43,C43,INDEX($C$39:$C$43,MATCH('1. Inputs'!$C$78,$B$39:$B$43,1))+(INDEX($C$39:$C$43,MATCH('1. Inputs'!$C$78,$B$39:$B$43,1)+1)-INDEX($C$39:$C$43,MATCH('1. Inputs'!$C$78,$B$39:$B$43,1)))*('1. Inputs'!$C$78-INDEX($B$39:$B$43,MATCH('1. Inputs'!$C$78,$B$39:$B$43,1)))/(INDEX($B$39:$B$43,MATCH('1. Inputs'!$C$78,$B$39:$B$43,1)+1)-INDEX($B$39:$B$43,MATCH('1. Inputs'!$C$78,$B$39:$B$43,1)))))</f>
        <v/>
      </c>
    </row>
    <row r="46">
      <c r="B46" s="13" t="inlineStr">
        <is>
          <t>Empirical Correlation result (routes by effective type)</t>
        </is>
      </c>
      <c r="C46" s="27">
        <f>IF(ISNUMBER(SEARCH("Reciprocating",'1. Inputs'!$C$30)),C21,IF(ISNUMBER(SEARCH("Centrifugal",'1. Inputs'!$C$30)),C35,IF(ISNUMBER(SEARCH("Axial",'1. Inputs'!$C$30)),C44,"n/a - no digitized chart for this type, use Quick Default")))</f>
        <v/>
      </c>
    </row>
    <row r="48">
      <c r="B48" s="3" t="inlineStr">
        <is>
          <t>Quick Defaults by Type (rule-of-thumb, 65-90% range per selection deck)</t>
        </is>
      </c>
    </row>
    <row r="49">
      <c r="B49" s="4" t="inlineStr">
        <is>
          <t>Reciprocating</t>
        </is>
      </c>
      <c r="C49" s="47" t="n">
        <v>0.8</v>
      </c>
    </row>
    <row r="50">
      <c r="B50" s="4" t="inlineStr">
        <is>
          <t>Centrifugal - Single Stage</t>
        </is>
      </c>
      <c r="C50" s="47" t="n">
        <v>0.76</v>
      </c>
    </row>
    <row r="51">
      <c r="B51" s="4" t="inlineStr">
        <is>
          <t>Centrifugal - Multistage</t>
        </is>
      </c>
      <c r="C51" s="47" t="n">
        <v>0.75</v>
      </c>
    </row>
    <row r="52">
      <c r="B52" s="4" t="inlineStr">
        <is>
          <t>Axial - Multistage</t>
        </is>
      </c>
      <c r="C52" s="47" t="n">
        <v>0.87</v>
      </c>
    </row>
    <row r="53">
      <c r="B53" s="4" t="inlineStr">
        <is>
          <t>Rotary - Screw</t>
        </is>
      </c>
      <c r="C53" s="47" t="n">
        <v>0.72</v>
      </c>
    </row>
    <row r="54">
      <c r="B54" s="4" t="inlineStr">
        <is>
          <t>Rotary - Sliding Vane</t>
        </is>
      </c>
      <c r="C54" s="47" t="n">
        <v>0.7</v>
      </c>
    </row>
    <row r="55">
      <c r="B55" s="4" t="inlineStr">
        <is>
          <t>Rotary - Straight Lobe</t>
        </is>
      </c>
      <c r="C55" s="47" t="n">
        <v>0.68</v>
      </c>
    </row>
    <row r="56">
      <c r="B56" s="4" t="inlineStr">
        <is>
          <t>Rotary - Liquid Piston</t>
        </is>
      </c>
      <c r="C56" s="47" t="n">
        <v>0.65</v>
      </c>
    </row>
    <row r="57">
      <c r="B57" s="4" t="inlineStr">
        <is>
          <t>Fan / Blower</t>
        </is>
      </c>
      <c r="C57" s="47" t="n">
        <v>0.72</v>
      </c>
    </row>
    <row r="59">
      <c r="B59" s="13" t="inlineStr">
        <is>
          <t>Default ηp for Sheet-1 selected type</t>
        </is>
      </c>
      <c r="C59" s="27">
        <f>IFERROR(INDEX($C$49:$C$57,MATCH('1. Inputs'!$C$30,$B$49:$B$57,0)),0.75)</f>
        <v/>
      </c>
    </row>
    <row r="60">
      <c r="B60" s="3" t="inlineStr">
        <is>
          <t>Method 2: Casey &amp; Robinson Scale-Up (Eq. 17) — needs external friction-factor data</t>
        </is>
      </c>
    </row>
    <row r="61">
      <c r="B61" s="2" t="inlineStr">
        <is>
          <t>Δη = η2 - η1 = -Bref · (f2-f1)/fref. Friction factors f come from equations 23/24 in Appendix 1 of the Casey &amp; Robinson paper — not included in Compressor Sizing.pptx. Inputs (η1, Bref, fref, f1, f2) are set on Sheet 1.</t>
        </is>
      </c>
    </row>
    <row r="62">
      <c r="B62" s="4" t="inlineStr">
        <is>
          <t>η1 (reference efficiency)</t>
        </is>
      </c>
      <c r="C62" s="40">
        <f>'1. Inputs'!$C$41</f>
        <v/>
      </c>
    </row>
    <row r="63">
      <c r="B63" s="4" t="inlineStr">
        <is>
          <t>Bref</t>
        </is>
      </c>
      <c r="C63" s="40">
        <f>'1. Inputs'!$C$42</f>
        <v/>
      </c>
    </row>
    <row r="64">
      <c r="B64" s="4" t="inlineStr">
        <is>
          <t>fref</t>
        </is>
      </c>
      <c r="C64" s="40">
        <f>'1. Inputs'!$C$43</f>
        <v/>
      </c>
    </row>
    <row r="65">
      <c r="B65" s="4" t="inlineStr">
        <is>
          <t>f1</t>
        </is>
      </c>
      <c r="C65" s="40">
        <f>'1. Inputs'!$C$44</f>
        <v/>
      </c>
    </row>
    <row r="66">
      <c r="B66" s="4" t="inlineStr">
        <is>
          <t>f2</t>
        </is>
      </c>
      <c r="C66" s="40">
        <f>'1. Inputs'!$C$45</f>
        <v/>
      </c>
    </row>
    <row r="67">
      <c r="B67" s="13" t="inlineStr">
        <is>
          <t>η2 = η1 + Δη</t>
        </is>
      </c>
      <c r="C67" s="27">
        <f>C62-IF(C64=0,0,C63*(C66-C65)/C64)</f>
        <v/>
      </c>
    </row>
    <row r="69">
      <c r="B69" s="3" t="inlineStr">
        <is>
          <t>Method 3: Balje Chart (centrifugal) — chart is external, Ns/Ds computed only</t>
        </is>
      </c>
    </row>
    <row r="70">
      <c r="B70" s="2" t="inlineStr">
        <is>
          <t>Specific speed Ns = N·√Q / (g·Had)^0.75 ; specific diameter Ds = D·(g·Had)^0.25 / √Q (standard turbomachinery similarity parameters, N in rad/s, Q in ft³/s, Had in ft, D in ft). N, D, and ηc are set on Sheet 1 — the Balje chart image itself is not in the deck.</t>
        </is>
      </c>
    </row>
    <row r="71">
      <c r="B71" s="4" t="inlineStr">
        <is>
          <t>Shaft speed, N (rpm)</t>
        </is>
      </c>
      <c r="C71" s="42">
        <f>'1. Inputs'!$C$48</f>
        <v/>
      </c>
    </row>
    <row r="72">
      <c r="B72" s="4" t="inlineStr">
        <is>
          <t>Impeller diameter, D (ft)</t>
        </is>
      </c>
      <c r="C72" s="39">
        <f>'1. Inputs'!$C$49</f>
        <v/>
      </c>
    </row>
    <row r="73">
      <c r="B73" s="4" t="inlineStr">
        <is>
          <t>Ns (dimensionless)</t>
        </is>
      </c>
      <c r="C73" s="40">
        <f>(C71*2*PI()/60)*SQRT('2. Type Selection'!$C$6/60)/(32.174*'2. Type Selection'!$C$7)^0.75</f>
        <v/>
      </c>
    </row>
    <row r="74">
      <c r="B74" s="4" t="inlineStr">
        <is>
          <t>Ds (dimensionless)</t>
        </is>
      </c>
      <c r="C74" s="40">
        <f>C72*(32.174*'2. Type Selection'!$C$7)^0.25/SQRT('2. Type Selection'!$C$6/60)</f>
        <v/>
      </c>
    </row>
    <row r="76">
      <c r="B76" s="13" t="inlineStr">
        <is>
          <t>ηc read from Balje chart (set on Sheet 1)</t>
        </is>
      </c>
      <c r="C76" s="27">
        <f>'1. Inputs'!$C$50</f>
        <v/>
      </c>
    </row>
    <row r="78">
      <c r="B78" s="3" t="inlineStr">
        <is>
          <t>Selected ηp (feeds Sheet 4 and 5) — method chosen on Sheet 1</t>
        </is>
      </c>
    </row>
    <row r="79">
      <c r="B79" s="4" t="inlineStr">
        <is>
          <t>Method used</t>
        </is>
      </c>
      <c r="C79" s="43">
        <f>'1. Inputs'!$C$36</f>
        <v/>
      </c>
    </row>
    <row r="80">
      <c r="B80" s="13" t="inlineStr">
        <is>
          <t>Selected ηp</t>
        </is>
      </c>
      <c r="C80" s="27">
        <f>IF(C79="Empirical Correlation",C46,IF(C79="Quick Default",C59,IF(C79="Scale-Up",C67,IF(C79="Balje",C76,'1. Inputs'!$C$38))))</f>
        <v/>
      </c>
    </row>
  </sheetData>
  <mergeCells count="10">
    <mergeCell ref="B69:H69"/>
    <mergeCell ref="B6:H6"/>
    <mergeCell ref="B70:H70"/>
    <mergeCell ref="B2:H2"/>
    <mergeCell ref="B48:H48"/>
    <mergeCell ref="B78:H78"/>
    <mergeCell ref="B3:H3"/>
    <mergeCell ref="B5:H5"/>
    <mergeCell ref="B60:H60"/>
    <mergeCell ref="B61:H6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I23"/>
  <sheetViews>
    <sheetView workbookViewId="0">
      <selection activeCell="A1" sqref="A1"/>
    </sheetView>
  </sheetViews>
  <sheetFormatPr baseColWidth="8" defaultRowHeight="15"/>
  <cols>
    <col width="3" customWidth="1" min="1" max="1"/>
    <col width="4" customWidth="1" min="2" max="2"/>
    <col width="14" customWidth="1" min="3" max="3"/>
    <col width="14" customWidth="1" min="4" max="4"/>
    <col width="14" customWidth="1" min="5" max="5"/>
    <col width="14" customWidth="1" min="6" max="6"/>
    <col width="14" customWidth="1" min="7" max="7"/>
    <col width="14" customWidth="1" min="8" max="8"/>
    <col width="44" customWidth="1" min="9" max="9"/>
  </cols>
  <sheetData>
    <row r="2" ht="24" customHeight="1">
      <c r="B2" s="1" t="inlineStr">
        <is>
          <t>4. Polytropic Coefficient n and Discharge Temperature per Stage</t>
        </is>
      </c>
    </row>
    <row r="3">
      <c r="B3" s="2" t="inlineStr">
        <is>
          <t>ηp = [n/(n-1)] / [k/(k-1)]  (Compressor Selection.pptx slide 6) solved for n. Discharge temp Tout = T1·r_stage^((n-1)/n), assuming each stage's suction is intercooled back to T1. Compare against Tallow (Compressor Sizing.pptx slide 8, Table below).</t>
        </is>
      </c>
    </row>
    <row r="5">
      <c r="B5" s="3" t="inlineStr">
        <is>
          <t>Max Allowable Discharge Temperature, Tallow (°F) — RANGES, not single limits</t>
        </is>
      </c>
    </row>
    <row r="6">
      <c r="B6" s="13" t="inlineStr">
        <is>
          <t>Type</t>
        </is>
      </c>
      <c r="C6" s="13" t="inlineStr">
        <is>
          <t>Min (°F)</t>
        </is>
      </c>
      <c r="D6" s="13" t="inlineStr">
        <is>
          <t>Max (°F)</t>
        </is>
      </c>
      <c r="E6" s="13" t="inlineStr">
        <is>
          <t>Notes</t>
        </is>
      </c>
    </row>
    <row r="7">
      <c r="B7" s="4" t="inlineStr">
        <is>
          <t>Reciprocating</t>
        </is>
      </c>
      <c r="C7" s="36" t="n">
        <v>300</v>
      </c>
      <c r="D7" s="36" t="n">
        <v>350</v>
      </c>
      <c r="E7" s="2" t="inlineStr">
        <is>
          <t>Flammable gases (e.g. H2) push the effective limit toward 300F</t>
        </is>
      </c>
    </row>
    <row r="8">
      <c r="B8" s="4" t="inlineStr">
        <is>
          <t>Centrifugal</t>
        </is>
      </c>
      <c r="C8" s="36" t="n">
        <v>392</v>
      </c>
      <c r="D8" s="36" t="n">
        <v>446</v>
      </c>
      <c r="E8" s="2" t="inlineStr">
        <is>
          <t>API 617 + industry practice</t>
        </is>
      </c>
    </row>
    <row r="9">
      <c r="B9" s="4" t="inlineStr">
        <is>
          <t>Rotary</t>
        </is>
      </c>
      <c r="C9" s="36" t="n">
        <v>212</v>
      </c>
      <c r="D9" s="36" t="n">
        <v>350</v>
      </c>
      <c r="E9" s="2" t="inlineStr">
        <is>
          <t>Heavily dependent on oil type — some oils degrade at temperatures as low as 212F</t>
        </is>
      </c>
    </row>
    <row r="11">
      <c r="B11" s="2" t="inlineStr">
        <is>
          <t>The range reflects real variability by construction/lubricant, not measurement uncertainty. Tout between Min and Max does not mean "safe" — it means the specific vendor/oil/seal rating must be checked; this spreadsheet flags it rather than silently picking an endpoint.</t>
        </is>
      </c>
    </row>
    <row r="13">
      <c r="B13" s="3" t="inlineStr">
        <is>
          <t>Per-Stage Calculation (up to 6 stages; blank rows beyond N_stages)</t>
        </is>
      </c>
    </row>
    <row r="14">
      <c r="B14" s="13" t="inlineStr">
        <is>
          <t>Stage</t>
        </is>
      </c>
      <c r="C14" s="13" t="inlineStr">
        <is>
          <t>Suction P (psia)</t>
        </is>
      </c>
      <c r="D14" s="13" t="inlineStr">
        <is>
          <t>Discharge P (psia)</t>
        </is>
      </c>
      <c r="E14" s="13" t="inlineStr">
        <is>
          <t>T1 (°R)</t>
        </is>
      </c>
      <c r="F14" s="13" t="inlineStr">
        <is>
          <t>n</t>
        </is>
      </c>
      <c r="G14" s="13" t="inlineStr">
        <is>
          <t>Tout (°R)</t>
        </is>
      </c>
      <c r="H14" s="13" t="inlineStr">
        <is>
          <t>Tout (°F)</t>
        </is>
      </c>
      <c r="I14" s="13" t="inlineStr">
        <is>
          <t>vs. Tallow</t>
        </is>
      </c>
    </row>
    <row r="15" ht="30" customHeight="1">
      <c r="B15" s="4" t="n">
        <v>1</v>
      </c>
      <c r="C15" s="41">
        <f>IF(B15&lt;='1. Inputs'!$C$15,'1. Inputs'!$C$12*'1. Inputs'!$C$76^(B15-1),"")</f>
        <v/>
      </c>
      <c r="D15" s="41">
        <f>IF(B15&lt;='1. Inputs'!$C$15,'1. Inputs'!$C$12*'1. Inputs'!$C$76^B15,"")</f>
        <v/>
      </c>
      <c r="E15" s="48">
        <f>IF(B15&lt;='1. Inputs'!$C$15,'1. Inputs'!$C$73,"")</f>
        <v/>
      </c>
      <c r="F15" s="40">
        <f>IF(B15&lt;='1. Inputs'!$C$15,1/(1-(('1. Inputs'!$C$7-1)/('1. Inputs'!$C$7*'3. Efficiency'!$C$80))),"")</f>
        <v/>
      </c>
      <c r="G15" s="41">
        <f>IF(B15&lt;='1. Inputs'!$C$15,E15*'1. Inputs'!$C$76^((F15-1)/F15),"")</f>
        <v/>
      </c>
      <c r="H15" s="41">
        <f>IF(B15&lt;='1. Inputs'!$C$15,G15-459.67,"")</f>
        <v/>
      </c>
      <c r="I15" s="49">
        <f>IF(B15&gt;'1. Inputs'!$C$15,"",IF('1. Inputs'!$C$30="None","UNKNOWN TYPE - no compressor in the coverage table fits these conditions; cannot verify Tallow, treated as EXCEEDS until inspected manually",IF(ISNUMBER(SEARCH("Reciprocating",'1. Inputs'!$C$30)),IF(H15&gt;350,"EXCEEDS 350F - add a stage",IF(H15&gt;300,"CAUTION: 300-350F is vendor/lubricant dependent - inspect the specific compressor rating (outside scope of this spreadsheet)","OK")),IF(ISNUMBER(SEARCH("Centrifugal",'1. Inputs'!$C$30)),IF(H15&gt;446,"EXCEEDS 446F - add a stage",IF(H15&gt;392,"CAUTION: 392-446F is vendor/lubricant dependent - inspect the specific compressor rating (outside scope of this spreadsheet)","OK")),IF(ISNUMBER(SEARCH("Rotary",'1. Inputs'!$C$30)),IF(H15&gt;350,"EXCEEDS 350F - add a stage",IF(H15&gt;212,"CAUTION: 212-350F is vendor/lubricant dependent - inspect the specific compressor rating (outside scope of this spreadsheet)","OK")),"n/a (Axial/Fan - no Tallow range given in the deck)")))))</f>
        <v/>
      </c>
    </row>
    <row r="16">
      <c r="B16" s="4" t="n">
        <v>2</v>
      </c>
      <c r="C16" s="41">
        <f>IF(B16&lt;='1. Inputs'!$C$15,'1. Inputs'!$C$12*'1. Inputs'!$C$76^(B16-1),"")</f>
        <v/>
      </c>
      <c r="D16" s="41">
        <f>IF(B16&lt;='1. Inputs'!$C$15,'1. Inputs'!$C$12*'1. Inputs'!$C$76^B16,"")</f>
        <v/>
      </c>
      <c r="E16" s="48">
        <f>IF(B16&lt;='1. Inputs'!$C$15,'1. Inputs'!$C$73,"")</f>
        <v/>
      </c>
      <c r="F16" s="40">
        <f>IF(B16&lt;='1. Inputs'!$C$15,1/(1-(('1. Inputs'!$C$7-1)/('1. Inputs'!$C$7*'3. Efficiency'!$C$80))),"")</f>
        <v/>
      </c>
      <c r="G16" s="41">
        <f>IF(B16&lt;='1. Inputs'!$C$15,E16*'1. Inputs'!$C$76^((F16-1)/F16),"")</f>
        <v/>
      </c>
      <c r="H16" s="41">
        <f>IF(B16&lt;='1. Inputs'!$C$15,G16-459.67,"")</f>
        <v/>
      </c>
      <c r="I16" s="49">
        <f>IF(B16&gt;'1. Inputs'!$C$15,"",IF('1. Inputs'!$C$30="None","UNKNOWN TYPE - no compressor in the coverage table fits these conditions; cannot verify Tallow, treated as EXCEEDS until inspected manually",IF(ISNUMBER(SEARCH("Reciprocating",'1. Inputs'!$C$30)),IF(H16&gt;350,"EXCEEDS 350F - add a stage",IF(H16&gt;300,"CAUTION: 300-350F is vendor/lubricant dependent - inspect the specific compressor rating (outside scope of this spreadsheet)","OK")),IF(ISNUMBER(SEARCH("Centrifugal",'1. Inputs'!$C$30)),IF(H16&gt;446,"EXCEEDS 446F - add a stage",IF(H16&gt;392,"CAUTION: 392-446F is vendor/lubricant dependent - inspect the specific compressor rating (outside scope of this spreadsheet)","OK")),IF(ISNUMBER(SEARCH("Rotary",'1. Inputs'!$C$30)),IF(H16&gt;350,"EXCEEDS 350F - add a stage",IF(H16&gt;212,"CAUTION: 212-350F is vendor/lubricant dependent - inspect the specific compressor rating (outside scope of this spreadsheet)","OK")),"n/a (Axial/Fan - no Tallow range given in the deck)")))))</f>
        <v/>
      </c>
    </row>
    <row r="17">
      <c r="B17" s="4" t="n">
        <v>3</v>
      </c>
      <c r="C17" s="41">
        <f>IF(B17&lt;='1. Inputs'!$C$15,'1. Inputs'!$C$12*'1. Inputs'!$C$76^(B17-1),"")</f>
        <v/>
      </c>
      <c r="D17" s="41">
        <f>IF(B17&lt;='1. Inputs'!$C$15,'1. Inputs'!$C$12*'1. Inputs'!$C$76^B17,"")</f>
        <v/>
      </c>
      <c r="E17" s="48">
        <f>IF(B17&lt;='1. Inputs'!$C$15,'1. Inputs'!$C$73,"")</f>
        <v/>
      </c>
      <c r="F17" s="40">
        <f>IF(B17&lt;='1. Inputs'!$C$15,1/(1-(('1. Inputs'!$C$7-1)/('1. Inputs'!$C$7*'3. Efficiency'!$C$80))),"")</f>
        <v/>
      </c>
      <c r="G17" s="41">
        <f>IF(B17&lt;='1. Inputs'!$C$15,E17*'1. Inputs'!$C$76^((F17-1)/F17),"")</f>
        <v/>
      </c>
      <c r="H17" s="41">
        <f>IF(B17&lt;='1. Inputs'!$C$15,G17-459.67,"")</f>
        <v/>
      </c>
      <c r="I17" s="49">
        <f>IF(B17&gt;'1. Inputs'!$C$15,"",IF('1. Inputs'!$C$30="None","UNKNOWN TYPE - no compressor in the coverage table fits these conditions; cannot verify Tallow, treated as EXCEEDS until inspected manually",IF(ISNUMBER(SEARCH("Reciprocating",'1. Inputs'!$C$30)),IF(H17&gt;350,"EXCEEDS 350F - add a stage",IF(H17&gt;300,"CAUTION: 300-350F is vendor/lubricant dependent - inspect the specific compressor rating (outside scope of this spreadsheet)","OK")),IF(ISNUMBER(SEARCH("Centrifugal",'1. Inputs'!$C$30)),IF(H17&gt;446,"EXCEEDS 446F - add a stage",IF(H17&gt;392,"CAUTION: 392-446F is vendor/lubricant dependent - inspect the specific compressor rating (outside scope of this spreadsheet)","OK")),IF(ISNUMBER(SEARCH("Rotary",'1. Inputs'!$C$30)),IF(H17&gt;350,"EXCEEDS 350F - add a stage",IF(H17&gt;212,"CAUTION: 212-350F is vendor/lubricant dependent - inspect the specific compressor rating (outside scope of this spreadsheet)","OK")),"n/a (Axial/Fan - no Tallow range given in the deck)")))))</f>
        <v/>
      </c>
    </row>
    <row r="18">
      <c r="B18" s="4" t="n">
        <v>4</v>
      </c>
      <c r="C18" s="41">
        <f>IF(B18&lt;='1. Inputs'!$C$15,'1. Inputs'!$C$12*'1. Inputs'!$C$76^(B18-1),"")</f>
        <v/>
      </c>
      <c r="D18" s="41">
        <f>IF(B18&lt;='1. Inputs'!$C$15,'1. Inputs'!$C$12*'1. Inputs'!$C$76^B18,"")</f>
        <v/>
      </c>
      <c r="E18" s="48">
        <f>IF(B18&lt;='1. Inputs'!$C$15,'1. Inputs'!$C$73,"")</f>
        <v/>
      </c>
      <c r="F18" s="40">
        <f>IF(B18&lt;='1. Inputs'!$C$15,1/(1-(('1. Inputs'!$C$7-1)/('1. Inputs'!$C$7*'3. Efficiency'!$C$80))),"")</f>
        <v/>
      </c>
      <c r="G18" s="41">
        <f>IF(B18&lt;='1. Inputs'!$C$15,E18*'1. Inputs'!$C$76^((F18-1)/F18),"")</f>
        <v/>
      </c>
      <c r="H18" s="41">
        <f>IF(B18&lt;='1. Inputs'!$C$15,G18-459.67,"")</f>
        <v/>
      </c>
      <c r="I18" s="49">
        <f>IF(B18&gt;'1. Inputs'!$C$15,"",IF('1. Inputs'!$C$30="None","UNKNOWN TYPE - no compressor in the coverage table fits these conditions; cannot verify Tallow, treated as EXCEEDS until inspected manually",IF(ISNUMBER(SEARCH("Reciprocating",'1. Inputs'!$C$30)),IF(H18&gt;350,"EXCEEDS 350F - add a stage",IF(H18&gt;300,"CAUTION: 300-350F is vendor/lubricant dependent - inspect the specific compressor rating (outside scope of this spreadsheet)","OK")),IF(ISNUMBER(SEARCH("Centrifugal",'1. Inputs'!$C$30)),IF(H18&gt;446,"EXCEEDS 446F - add a stage",IF(H18&gt;392,"CAUTION: 392-446F is vendor/lubricant dependent - inspect the specific compressor rating (outside scope of this spreadsheet)","OK")),IF(ISNUMBER(SEARCH("Rotary",'1. Inputs'!$C$30)),IF(H18&gt;350,"EXCEEDS 350F - add a stage",IF(H18&gt;212,"CAUTION: 212-350F is vendor/lubricant dependent - inspect the specific compressor rating (outside scope of this spreadsheet)","OK")),"n/a (Axial/Fan - no Tallow range given in the deck)")))))</f>
        <v/>
      </c>
    </row>
    <row r="19">
      <c r="B19" s="4" t="n">
        <v>5</v>
      </c>
      <c r="C19" s="41">
        <f>IF(B19&lt;='1. Inputs'!$C$15,'1. Inputs'!$C$12*'1. Inputs'!$C$76^(B19-1),"")</f>
        <v/>
      </c>
      <c r="D19" s="41">
        <f>IF(B19&lt;='1. Inputs'!$C$15,'1. Inputs'!$C$12*'1. Inputs'!$C$76^B19,"")</f>
        <v/>
      </c>
      <c r="E19" s="48">
        <f>IF(B19&lt;='1. Inputs'!$C$15,'1. Inputs'!$C$73,"")</f>
        <v/>
      </c>
      <c r="F19" s="40">
        <f>IF(B19&lt;='1. Inputs'!$C$15,1/(1-(('1. Inputs'!$C$7-1)/('1. Inputs'!$C$7*'3. Efficiency'!$C$80))),"")</f>
        <v/>
      </c>
      <c r="G19" s="41">
        <f>IF(B19&lt;='1. Inputs'!$C$15,E19*'1. Inputs'!$C$76^((F19-1)/F19),"")</f>
        <v/>
      </c>
      <c r="H19" s="41">
        <f>IF(B19&lt;='1. Inputs'!$C$15,G19-459.67,"")</f>
        <v/>
      </c>
      <c r="I19" s="49">
        <f>IF(B19&gt;'1. Inputs'!$C$15,"",IF('1. Inputs'!$C$30="None","UNKNOWN TYPE - no compressor in the coverage table fits these conditions; cannot verify Tallow, treated as EXCEEDS until inspected manually",IF(ISNUMBER(SEARCH("Reciprocating",'1. Inputs'!$C$30)),IF(H19&gt;350,"EXCEEDS 350F - add a stage",IF(H19&gt;300,"CAUTION: 300-350F is vendor/lubricant dependent - inspect the specific compressor rating (outside scope of this spreadsheet)","OK")),IF(ISNUMBER(SEARCH("Centrifugal",'1. Inputs'!$C$30)),IF(H19&gt;446,"EXCEEDS 446F - add a stage",IF(H19&gt;392,"CAUTION: 392-446F is vendor/lubricant dependent - inspect the specific compressor rating (outside scope of this spreadsheet)","OK")),IF(ISNUMBER(SEARCH("Rotary",'1. Inputs'!$C$30)),IF(H19&gt;350,"EXCEEDS 350F - add a stage",IF(H19&gt;212,"CAUTION: 212-350F is vendor/lubricant dependent - inspect the specific compressor rating (outside scope of this spreadsheet)","OK")),"n/a (Axial/Fan - no Tallow range given in the deck)")))))</f>
        <v/>
      </c>
    </row>
    <row r="20">
      <c r="B20" s="4" t="n">
        <v>6</v>
      </c>
      <c r="C20" s="41">
        <f>IF(B20&lt;='1. Inputs'!$C$15,'1. Inputs'!$C$12*'1. Inputs'!$C$76^(B20-1),"")</f>
        <v/>
      </c>
      <c r="D20" s="41">
        <f>IF(B20&lt;='1. Inputs'!$C$15,'1. Inputs'!$C$12*'1. Inputs'!$C$76^B20,"")</f>
        <v/>
      </c>
      <c r="E20" s="48">
        <f>IF(B20&lt;='1. Inputs'!$C$15,'1. Inputs'!$C$73,"")</f>
        <v/>
      </c>
      <c r="F20" s="40">
        <f>IF(B20&lt;='1. Inputs'!$C$15,1/(1-(('1. Inputs'!$C$7-1)/('1. Inputs'!$C$7*'3. Efficiency'!$C$80))),"")</f>
        <v/>
      </c>
      <c r="G20" s="41">
        <f>IF(B20&lt;='1. Inputs'!$C$15,E20*'1. Inputs'!$C$76^((F20-1)/F20),"")</f>
        <v/>
      </c>
      <c r="H20" s="41">
        <f>IF(B20&lt;='1. Inputs'!$C$15,G20-459.67,"")</f>
        <v/>
      </c>
      <c r="I20" s="49">
        <f>IF(B20&gt;'1. Inputs'!$C$15,"",IF('1. Inputs'!$C$30="None","UNKNOWN TYPE - no compressor in the coverage table fits these conditions; cannot verify Tallow, treated as EXCEEDS until inspected manually",IF(ISNUMBER(SEARCH("Reciprocating",'1. Inputs'!$C$30)),IF(H20&gt;350,"EXCEEDS 350F - add a stage",IF(H20&gt;300,"CAUTION: 300-350F is vendor/lubricant dependent - inspect the specific compressor rating (outside scope of this spreadsheet)","OK")),IF(ISNUMBER(SEARCH("Centrifugal",'1. Inputs'!$C$30)),IF(H20&gt;446,"EXCEEDS 446F - add a stage",IF(H20&gt;392,"CAUTION: 392-446F is vendor/lubricant dependent - inspect the specific compressor rating (outside scope of this spreadsheet)","OK")),IF(ISNUMBER(SEARCH("Rotary",'1. Inputs'!$C$30)),IF(H20&gt;350,"EXCEEDS 350F - add a stage",IF(H20&gt;212,"CAUTION: 212-350F is vendor/lubricant dependent - inspect the specific compressor rating (outside scope of this spreadsheet)","OK")),"n/a (Axial/Fan - no Tallow range given in the deck)")))))</f>
        <v/>
      </c>
    </row>
    <row r="23">
      <c r="E23" s="2" t="inlineStr">
        <is>
          <t>n=1 isothermal, n=k adiabatic, n&gt;k polytropic — higher n gives greater temperature rise (Compressor Selection.pptx slide 5).</t>
        </is>
      </c>
    </row>
  </sheetData>
  <mergeCells count="9">
    <mergeCell ref="B13:I13"/>
    <mergeCell ref="E23:H23"/>
    <mergeCell ref="B11:I11"/>
    <mergeCell ref="B2:I2"/>
    <mergeCell ref="E8:G8"/>
    <mergeCell ref="B3:I3"/>
    <mergeCell ref="B5:I5"/>
    <mergeCell ref="E9:G9"/>
    <mergeCell ref="E7:G7"/>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F15"/>
  <sheetViews>
    <sheetView workbookViewId="0">
      <selection activeCell="A1" sqref="A1"/>
    </sheetView>
  </sheetViews>
  <sheetFormatPr baseColWidth="8" defaultRowHeight="15"/>
  <cols>
    <col width="3" customWidth="1" min="1" max="1"/>
    <col width="4" customWidth="1" min="2" max="2"/>
    <col width="16" customWidth="1" min="3" max="3"/>
    <col width="16" customWidth="1" min="4" max="4"/>
    <col width="16" customWidth="1" min="5" max="5"/>
    <col width="16" customWidth="1" min="6" max="6"/>
  </cols>
  <sheetData>
    <row r="2" ht="24" customHeight="1">
      <c r="B2" s="1" t="inlineStr">
        <is>
          <t>5. Polytropic Head and Power per Stage</t>
        </is>
      </c>
    </row>
    <row r="3">
      <c r="B3" s="2" t="inlineStr">
        <is>
          <t>Hp = [n/(n-1)]·Z·R'·T1·[(P2/P1)^((n-1)/n) - 1]  (ft·lbf/lbm ≡ ft of gas). Pgas = mdot·Hp/ηp (Compressor Selection.pptx slide 6). All US units — hp only, no kW column.</t>
        </is>
      </c>
    </row>
    <row r="5">
      <c r="B5" s="13" t="inlineStr">
        <is>
          <t>Stage</t>
        </is>
      </c>
      <c r="C5" s="13" t="inlineStr">
        <is>
          <t>Hp (ft)</t>
        </is>
      </c>
      <c r="D5" s="13" t="inlineStr">
        <is>
          <t>ηp</t>
        </is>
      </c>
      <c r="E5" s="13" t="inlineStr">
        <is>
          <t>Pgas (ft·lbf/hr)</t>
        </is>
      </c>
      <c r="F5" s="13" t="inlineStr">
        <is>
          <t>Pgas (hp)</t>
        </is>
      </c>
    </row>
    <row r="6">
      <c r="B6" s="4" t="n">
        <v>1</v>
      </c>
      <c r="C6" s="42">
        <f>IF(B6&gt;'1. Inputs'!$C$15,"",(('4. Temp Rise &amp; n'!F15)/('4. Temp Rise &amp; n'!F15-1))*'1. Inputs'!$C$8*'1. Inputs'!$C$74*'4. Temp Rise &amp; n'!E15*('1. Inputs'!$C$76^(('4. Temp Rise &amp; n'!F15-1)/'4. Temp Rise &amp; n'!F15)-1))</f>
        <v/>
      </c>
      <c r="D6" s="27">
        <f>'3. Efficiency'!$C$80</f>
        <v/>
      </c>
      <c r="E6" s="42">
        <f>IF(B6&gt;'1. Inputs'!$C$15,"",'1. Inputs'!$C$14*C6/D6)</f>
        <v/>
      </c>
      <c r="F6" s="41">
        <f>IF(B6&gt;'1. Inputs'!$C$15,"",E6/1980000)</f>
        <v/>
      </c>
    </row>
    <row r="7">
      <c r="B7" s="4" t="n">
        <v>2</v>
      </c>
      <c r="C7" s="42">
        <f>IF(B7&gt;'1. Inputs'!$C$15,"",(('4. Temp Rise &amp; n'!F16)/('4. Temp Rise &amp; n'!F16-1))*'1. Inputs'!$C$8*'1. Inputs'!$C$74*'4. Temp Rise &amp; n'!E16*('1. Inputs'!$C$76^(('4. Temp Rise &amp; n'!F16-1)/'4. Temp Rise &amp; n'!F16)-1))</f>
        <v/>
      </c>
      <c r="D7" s="27">
        <f>'3. Efficiency'!$C$80</f>
        <v/>
      </c>
      <c r="E7" s="42">
        <f>IF(B7&gt;'1. Inputs'!$C$15,"",'1. Inputs'!$C$14*C7/D7)</f>
        <v/>
      </c>
      <c r="F7" s="41">
        <f>IF(B7&gt;'1. Inputs'!$C$15,"",E7/1980000)</f>
        <v/>
      </c>
    </row>
    <row r="8">
      <c r="B8" s="4" t="n">
        <v>3</v>
      </c>
      <c r="C8" s="42">
        <f>IF(B8&gt;'1. Inputs'!$C$15,"",(('4. Temp Rise &amp; n'!F17)/('4. Temp Rise &amp; n'!F17-1))*'1. Inputs'!$C$8*'1. Inputs'!$C$74*'4. Temp Rise &amp; n'!E17*('1. Inputs'!$C$76^(('4. Temp Rise &amp; n'!F17-1)/'4. Temp Rise &amp; n'!F17)-1))</f>
        <v/>
      </c>
      <c r="D8" s="27">
        <f>'3. Efficiency'!$C$80</f>
        <v/>
      </c>
      <c r="E8" s="42">
        <f>IF(B8&gt;'1. Inputs'!$C$15,"",'1. Inputs'!$C$14*C8/D8)</f>
        <v/>
      </c>
      <c r="F8" s="41">
        <f>IF(B8&gt;'1. Inputs'!$C$15,"",E8/1980000)</f>
        <v/>
      </c>
    </row>
    <row r="9">
      <c r="B9" s="4" t="n">
        <v>4</v>
      </c>
      <c r="C9" s="42">
        <f>IF(B9&gt;'1. Inputs'!$C$15,"",(('4. Temp Rise &amp; n'!F18)/('4. Temp Rise &amp; n'!F18-1))*'1. Inputs'!$C$8*'1. Inputs'!$C$74*'4. Temp Rise &amp; n'!E18*('1. Inputs'!$C$76^(('4. Temp Rise &amp; n'!F18-1)/'4. Temp Rise &amp; n'!F18)-1))</f>
        <v/>
      </c>
      <c r="D9" s="27">
        <f>'3. Efficiency'!$C$80</f>
        <v/>
      </c>
      <c r="E9" s="42">
        <f>IF(B9&gt;'1. Inputs'!$C$15,"",'1. Inputs'!$C$14*C9/D9)</f>
        <v/>
      </c>
      <c r="F9" s="41">
        <f>IF(B9&gt;'1. Inputs'!$C$15,"",E9/1980000)</f>
        <v/>
      </c>
    </row>
    <row r="10">
      <c r="B10" s="4" t="n">
        <v>5</v>
      </c>
      <c r="C10" s="42">
        <f>IF(B10&gt;'1. Inputs'!$C$15,"",(('4. Temp Rise &amp; n'!F19)/('4. Temp Rise &amp; n'!F19-1))*'1. Inputs'!$C$8*'1. Inputs'!$C$74*'4. Temp Rise &amp; n'!E19*('1. Inputs'!$C$76^(('4. Temp Rise &amp; n'!F19-1)/'4. Temp Rise &amp; n'!F19)-1))</f>
        <v/>
      </c>
      <c r="D10" s="27">
        <f>'3. Efficiency'!$C$80</f>
        <v/>
      </c>
      <c r="E10" s="42">
        <f>IF(B10&gt;'1. Inputs'!$C$15,"",'1. Inputs'!$C$14*C10/D10)</f>
        <v/>
      </c>
      <c r="F10" s="41">
        <f>IF(B10&gt;'1. Inputs'!$C$15,"",E10/1980000)</f>
        <v/>
      </c>
    </row>
    <row r="11">
      <c r="B11" s="4" t="n">
        <v>6</v>
      </c>
      <c r="C11" s="42">
        <f>IF(B11&gt;'1. Inputs'!$C$15,"",(('4. Temp Rise &amp; n'!F20)/('4. Temp Rise &amp; n'!F20-1))*'1. Inputs'!$C$8*'1. Inputs'!$C$74*'4. Temp Rise &amp; n'!E20*('1. Inputs'!$C$76^(('4. Temp Rise &amp; n'!F20-1)/'4. Temp Rise &amp; n'!F20)-1))</f>
        <v/>
      </c>
      <c r="D11" s="27">
        <f>'3. Efficiency'!$C$80</f>
        <v/>
      </c>
      <c r="E11" s="42">
        <f>IF(B11&gt;'1. Inputs'!$C$15,"",'1. Inputs'!$C$14*C11/D11)</f>
        <v/>
      </c>
      <c r="F11" s="41">
        <f>IF(B11&gt;'1. Inputs'!$C$15,"",E11/1980000)</f>
        <v/>
      </c>
    </row>
    <row r="13">
      <c r="B13" s="3" t="inlineStr">
        <is>
          <t>Train Totals (at Sheet 1's N_stages)</t>
        </is>
      </c>
    </row>
    <row r="14">
      <c r="B14" s="4" t="inlineStr">
        <is>
          <t>Total gas power, sum(Pgas)</t>
        </is>
      </c>
      <c r="C14" s="41">
        <f>SUM(F6:F11)</f>
        <v/>
      </c>
      <c r="D14" s="4" t="inlineStr">
        <is>
          <t>hp</t>
        </is>
      </c>
    </row>
    <row r="15">
      <c r="B15" s="4" t="inlineStr">
        <is>
          <t>Per-stage gas power (all stages equal under the equal-split / full-intercool assumption)</t>
        </is>
      </c>
      <c r="C15" s="41">
        <f>F6</f>
        <v/>
      </c>
      <c r="D15" s="4" t="inlineStr">
        <is>
          <t>hp/stage</t>
        </is>
      </c>
    </row>
  </sheetData>
  <mergeCells count="3">
    <mergeCell ref="B2:F2"/>
    <mergeCell ref="B13:F13"/>
    <mergeCell ref="B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G53"/>
  <sheetViews>
    <sheetView workbookViewId="0">
      <selection activeCell="A1" sqref="A1"/>
    </sheetView>
  </sheetViews>
  <sheetFormatPr baseColWidth="8" defaultRowHeight="15"/>
  <cols>
    <col width="3" customWidth="1" min="1" max="1"/>
    <col width="46" customWidth="1" min="2" max="2"/>
    <col width="9" customWidth="1" min="3" max="3"/>
    <col width="10" customWidth="1" min="4" max="4"/>
    <col width="30" customWidth="1" min="5" max="5"/>
    <col width="9" customWidth="1" min="6" max="6"/>
    <col width="32" customWidth="1" min="7" max="7"/>
    <col width="12" customWidth="1" min="8" max="8"/>
    <col width="12" customWidth="1" min="9" max="9"/>
    <col width="12" customWidth="1" min="10" max="10"/>
    <col width="12" customWidth="1" min="11" max="11"/>
    <col width="8" customWidth="1" min="12" max="12"/>
    <col width="13" customWidth="1" min="13" max="13"/>
    <col width="13" customWidth="1" min="14" max="14"/>
    <col width="13" customWidth="1" min="15" max="15"/>
    <col width="12" customWidth="1" min="16" max="16"/>
    <col width="12" customWidth="1" min="17" max="17"/>
    <col width="12" customWidth="1" min="18" max="18"/>
    <col width="12" customWidth="1" min="19" max="19"/>
    <col width="13" customWidth="1" min="20" max="20"/>
    <col width="13" customWidth="1" min="21" max="21"/>
    <col width="11" customWidth="1" min="22" max="22"/>
    <col width="9" customWidth="1" min="23" max="23"/>
    <col width="13" customWidth="1" min="24" max="24"/>
    <col width="11" customWidth="1" min="25" max="25"/>
    <col width="15" customWidth="1" min="26" max="26"/>
    <col width="12" customWidth="1" min="27" max="27"/>
    <col width="12" customWidth="1" min="28" max="28"/>
    <col width="12" customWidth="1" min="29" max="29"/>
    <col width="11" customWidth="1" min="30" max="30"/>
    <col width="10" customWidth="1" min="31" max="31"/>
  </cols>
  <sheetData>
    <row r="2" ht="24" customHeight="1">
      <c r="B2" s="1" t="inlineStr">
        <is>
          <t>6. Stage-Count Optimizer — How Many Stages Should There Be?</t>
        </is>
      </c>
    </row>
    <row r="3">
      <c r="B3" s="2" t="inlineStr">
        <is>
          <t>This sheet answers a DIFFERENT question than Sheets 2-5: not "is my chosen N_stages OK" but "what is the economically optimal N, from 1 to 6". It sweeps every stage count, costs the compressor + intercoolers actually implied at each one, and finds the largest N whose next stage still pays for itself — subject to the Tallow temperature constraint always winning if it's violated. Compressor Sizing.pptx slide 4's "back to step 1 with 1 additional stage" loop is what this sweep automates.</t>
        </is>
      </c>
    </row>
    <row r="4">
      <c r="B4" s="2" t="inlineStr">
        <is>
          <t>Simplification: ηp is held constant across the sweep at Sheet 3's Selected ηp (computed at Sheet 1's current N_stages) — re-deriving ηp per row would need the full method-selection logic duplicated 6 times. Acceptable at this Class-5 (±30-50%) estimate accuracy; ηp does shift slightly with pressure ratio in reality.</t>
        </is>
      </c>
    </row>
    <row r="6">
      <c r="B6" s="3" t="inlineStr">
        <is>
          <t>Reference Example (from the annotated PBP PDF — self-check only, do not edit)</t>
        </is>
      </c>
    </row>
    <row r="7">
      <c r="B7" s="4" t="inlineStr">
        <is>
          <t>ΔTCI: compressor stage (BMF 2.15) + intercooler HX (BMF 3.29), built up through contingency/fee/working capital</t>
        </is>
      </c>
      <c r="C7" s="50" t="n">
        <v>631880</v>
      </c>
    </row>
    <row r="8">
      <c r="B8" s="4" t="inlineStr">
        <is>
          <t>ΔCOM: annual power-savings cash flow</t>
        </is>
      </c>
      <c r="C8" s="50" t="n">
        <v>129163</v>
      </c>
    </row>
    <row r="9">
      <c r="B9" s="4" t="inlineStr">
        <is>
          <t>mar (Low-Medium risk, Table 8-1)</t>
        </is>
      </c>
      <c r="C9" s="47" t="n">
        <v>0.12</v>
      </c>
    </row>
    <row r="10">
      <c r="B10" s="4" t="inlineStr">
        <is>
          <t>N, evaluation period (yr)</t>
        </is>
      </c>
      <c r="C10" s="36" t="n">
        <v>15</v>
      </c>
    </row>
    <row r="11">
      <c r="B11" s="13" t="inlineStr">
        <is>
          <t>PBP = ΔTCI/ΔCOM  (Eq. 8-2a)</t>
        </is>
      </c>
      <c r="C11" s="39">
        <f>C7/C8</f>
        <v/>
      </c>
    </row>
    <row r="12">
      <c r="B12" s="13" t="inlineStr">
        <is>
          <t>PBPref = 0.85/(mar+0.85/N)  (Eq. 8-2c)</t>
        </is>
      </c>
      <c r="C12" s="39">
        <f>0.85/(C9+0.85/C10)</f>
        <v/>
      </c>
    </row>
    <row r="13">
      <c r="B13" s="4" t="inlineStr">
        <is>
          <t>Decision</t>
        </is>
      </c>
      <c r="C13" s="43">
        <f>IF(AND(C11&lt;=C12,C11&lt;=5),"ACCEPT",IF(C11&lt;=C12*1.05,"BORDERLINE - REJECT","REJECT"))</f>
        <v/>
      </c>
    </row>
    <row r="14">
      <c r="B14" s="2" t="inlineStr">
        <is>
          <t>Expected result: PBP=4.89 yr vs PBPref=4.81 yr → borderline reject. If this cell doesn't show that, a formula above is broken.</t>
        </is>
      </c>
    </row>
    <row r="16">
      <c r="B16" s="3" t="inlineStr">
        <is>
          <t>Table 8-1 — mar by Risk Level (Peters &amp; Timmerhaus) — reference for Sheet 1's mar input</t>
        </is>
      </c>
    </row>
    <row r="17">
      <c r="B17" s="13" t="inlineStr">
        <is>
          <t>Risk level</t>
        </is>
      </c>
      <c r="C17" s="13" t="inlineStr">
        <is>
          <t>mar min</t>
        </is>
      </c>
      <c r="D17" s="13" t="inlineStr">
        <is>
          <t>mar max</t>
        </is>
      </c>
    </row>
    <row r="18">
      <c r="B18" s="4" t="inlineStr">
        <is>
          <t>Safe - cost of capital</t>
        </is>
      </c>
      <c r="C18" s="47" t="n">
        <v>0.04</v>
      </c>
      <c r="D18" s="47" t="n">
        <v>0.08</v>
      </c>
    </row>
    <row r="19">
      <c r="B19" s="4" t="inlineStr">
        <is>
          <t>Low - new capacity / established market</t>
        </is>
      </c>
      <c r="C19" s="47" t="n">
        <v>0.08</v>
      </c>
      <c r="D19" s="47" t="n">
        <v>0.16</v>
      </c>
    </row>
    <row r="20">
      <c r="B20" s="4" t="inlineStr">
        <is>
          <t>Medium - new product/established market or new process tech</t>
        </is>
      </c>
      <c r="C20" s="47" t="n">
        <v>0.16</v>
      </c>
      <c r="D20" s="47" t="n">
        <v>0.24</v>
      </c>
    </row>
    <row r="21">
      <c r="B21" s="4" t="inlineStr">
        <is>
          <t>High - new product/process / new application</t>
        </is>
      </c>
      <c r="C21" s="47" t="n">
        <v>0.24</v>
      </c>
      <c r="D21" s="47" t="n">
        <v>0.32</v>
      </c>
    </row>
    <row r="22">
      <c r="B22" s="4" t="inlineStr">
        <is>
          <t>Very High - all-new / high R&amp;D and marketing</t>
        </is>
      </c>
      <c r="C22" s="47" t="n">
        <v>0.32</v>
      </c>
      <c r="D22" s="47" t="n">
        <v>0.48</v>
      </c>
    </row>
    <row r="24">
      <c r="B24" s="3" t="inlineStr">
        <is>
          <t>Stage-Count Sweep — one row per N, every cost constituent visible (what stage cost what)</t>
        </is>
      </c>
    </row>
    <row r="25">
      <c r="B25" s="2" t="inlineStr">
        <is>
          <t>Compressor selection is re-done for each N, not fixed at Sheet 1's choice: adiabatic head drops non-linearly as stages are added (Compressor Sizing.pptx slide 4), so a different N can genuinely land in a different Fig. 10-64 box. "Suggested Type" below recomputes the box match per row, the same way Sheet 2 does for a single N. Within one fixed N (Sheets 2-5), all individual stages share the same head under the equal-split/full-intercool assumption, so type does not differ stage-to-stage there — it's only across different N choices, here, that it can.</t>
        </is>
      </c>
    </row>
    <row r="27" ht="48" customHeight="1">
      <c r="B27" s="51" t="inlineStr">
        <is>
          <t>N</t>
        </is>
      </c>
      <c r="C27" s="51" t="inlineStr">
        <is>
          <t>r_stage</t>
        </is>
      </c>
      <c r="D27" s="51" t="inlineStr">
        <is>
          <t>H_ad (ft)</t>
        </is>
      </c>
      <c r="E27" s="51" t="inlineStr">
        <is>
          <t>Suggested Type(s)</t>
        </is>
      </c>
      <c r="F27" s="51" t="inlineStr">
        <is>
          <t>Tout (°F)</t>
        </is>
      </c>
      <c r="G27" s="51" t="inlineStr">
        <is>
          <t>Temp Flag</t>
        </is>
      </c>
      <c r="H27" s="51" t="inlineStr">
        <is>
          <t>Train Power = Pc (hp)</t>
        </is>
      </c>
      <c r="I27" s="51" t="inlineStr">
        <is>
          <t>Compressor Cb @CE567 ($)</t>
        </is>
      </c>
      <c r="J27" s="51" t="inlineStr">
        <is>
          <t>Compressor Cp ($)</t>
        </is>
      </c>
      <c r="K27" s="51" t="inlineStr">
        <is>
          <t>Compressor BMC ($)</t>
        </is>
      </c>
      <c r="L27" s="51" t="inlineStr">
        <is>
          <t>Coolers (qty)</t>
        </is>
      </c>
      <c r="M27" s="51" t="inlineStr">
        <is>
          <t>Cooling Duty/unit (Btu/hr)</t>
        </is>
      </c>
      <c r="N27" s="51" t="inlineStr">
        <is>
          <t>Design Pressure (psig)</t>
        </is>
      </c>
      <c r="O27" s="51" t="inlineStr">
        <is>
          <t>LMTD (°F)</t>
        </is>
      </c>
      <c r="P27" s="51" t="inlineStr">
        <is>
          <t>HX Area/unit (ft²)</t>
        </is>
      </c>
      <c r="Q27" s="51" t="inlineStr">
        <is>
          <t>HX Cb @CE567 ($)</t>
        </is>
      </c>
      <c r="R27" s="51" t="inlineStr">
        <is>
          <t>HX Cp/unit ($)</t>
        </is>
      </c>
      <c r="S27" s="51" t="inlineStr">
        <is>
          <t>HX BMC/unit ($)</t>
        </is>
      </c>
      <c r="T27" s="51" t="inlineStr">
        <is>
          <t>HX BMC Total ($)</t>
        </is>
      </c>
      <c r="U27" s="51" t="inlineStr">
        <is>
          <t>Total Bare Module ($)</t>
        </is>
      </c>
      <c r="V27" s="51" t="inlineStr">
        <is>
          <t>Contingency 18% ($)</t>
        </is>
      </c>
      <c r="W27" s="51" t="inlineStr">
        <is>
          <t>Fee 3% ($)</t>
        </is>
      </c>
      <c r="X27" s="51" t="inlineStr">
        <is>
          <t>Total Module Cost ($)</t>
        </is>
      </c>
      <c r="Y27" s="51" t="inlineStr">
        <is>
          <t>Working Capital 15% ($)</t>
        </is>
      </c>
      <c r="Z27" s="51" t="inlineStr">
        <is>
          <t>TOTAL INSTALLED COST ($)</t>
        </is>
      </c>
      <c r="AA27" s="51" t="inlineStr">
        <is>
          <t>Incr. Capex ($)</t>
        </is>
      </c>
      <c r="AB27" s="51" t="inlineStr">
        <is>
          <t>Pretax Savings ($/yr)</t>
        </is>
      </c>
      <c r="AC27" s="51" t="inlineStr">
        <is>
          <t>After-Tax Cash Flow ($/yr)</t>
        </is>
      </c>
      <c r="AD27" s="51" t="inlineStr">
        <is>
          <t>Incr. PBP vs N-1</t>
        </is>
      </c>
      <c r="AE27" s="51" t="inlineStr">
        <is>
          <t>Passes Econ?</t>
        </is>
      </c>
    </row>
    <row r="28">
      <c r="B28" s="4" t="n">
        <v>1</v>
      </c>
      <c r="C28" s="40">
        <f>'1. Inputs'!$C$75^(1/B28)</f>
        <v/>
      </c>
      <c r="D28" s="42">
        <f>('1. Inputs'!$C$7/('1. Inputs'!$C$7-1))*'1. Inputs'!$C$74*'1. Inputs'!$C$73*(C28^(('1. Inputs'!$C$7-1)/'1. Inputs'!$C$7)-1)</f>
        <v/>
      </c>
      <c r="E28" s="52">
        <f>IF(LEN(AG28)=0,"(no match)",LEFT(AG28,LEN(AG28)-2))</f>
        <v/>
      </c>
      <c r="F28" s="41">
        <f>'1. Inputs'!$C$73*C28^(((1/(1-(('1. Inputs'!$C$7-1)/('1. Inputs'!$C$7*'3. Efficiency'!$C$80))))-1)/(1/(1-(('1. Inputs'!$C$7-1)/('1. Inputs'!$C$7*'3. Efficiency'!$C$80)))))-459.67</f>
        <v/>
      </c>
      <c r="G28" s="52">
        <f>IF(B28&gt;999,"",IF(IF(LEN(AG28)=0,"None",LEFT(AG28,SEARCH(", ",AG28)-1))="None","UNKNOWN TYPE - no compressor in the coverage table fits these conditions; cannot verify Tallow, treated as EXCEEDS until inspected manually",IF(ISNUMBER(SEARCH("Reciprocating",IF(LEN(AG28)=0,"None",LEFT(AG28,SEARCH(", ",AG28)-1)))),IF(F28&gt;350,"EXCEEDS 350F - add a stage",IF(F28&gt;300,"CAUTION: 300-350F is vendor/lubricant dependent - inspect the specific compressor rating (outside scope of this spreadsheet)","OK")),IF(ISNUMBER(SEARCH("Centrifugal",IF(LEN(AG28)=0,"None",LEFT(AG28,SEARCH(", ",AG28)-1)))),IF(F28&gt;446,"EXCEEDS 446F - add a stage",IF(F28&gt;392,"CAUTION: 392-446F is vendor/lubricant dependent - inspect the specific compressor rating (outside scope of this spreadsheet)","OK")),IF(ISNUMBER(SEARCH("Rotary",IF(LEN(AG28)=0,"None",LEFT(AG28,SEARCH(", ",AG28)-1)))),IF(F28&gt;350,"EXCEEDS 350F - add a stage",IF(F28&gt;212,"CAUTION: 212-350F is vendor/lubricant dependent - inspect the specific compressor rating (outside scope of this spreadsheet)","OK")),"n/a (Axial/Fan - no Tallow range given in the deck)")))))</f>
        <v/>
      </c>
      <c r="H28" s="41">
        <f>B28*'1. Inputs'!$C$14*(((1/(1-(('1. Inputs'!$C$7-1)/('1. Inputs'!$C$7*'3. Efficiency'!$C$80))))/((1/(1-(('1. Inputs'!$C$7-1)/('1. Inputs'!$C$7*'3. Efficiency'!$C$80))))-1))*'1. Inputs'!$C$8*'1. Inputs'!$C$74*'1. Inputs'!$C$73*(C28^((((1/(1-(('1. Inputs'!$C$7-1)/('1. Inputs'!$C$7*'3. Efficiency'!$C$80)))))-1)/((1/(1-(('1. Inputs'!$C$7-1)/('1. Inputs'!$C$7*'3. Efficiency'!$C$80))))))-1))/'3. Efficiency'!$C$80/1980000</f>
        <v/>
      </c>
      <c r="I28" s="43">
        <f>IF(ISNUMBER(SEARCH("Centrifugal",IF(LEN(AG28)=0,"None",LEFT(AG28,SEARCH(", ",AG28)-1)))),EXP(9.1553+0.63*LN(H28)),IF(ISNUMBER(SEARCH("Reciprocating",IF(LEN(AG28)=0,"None",LEFT(AG28,SEARCH(", ",AG28)-1)))),EXP(4.6762+1.23*LN(H28)),IF(ISNUMBER(SEARCH("Screw",IF(LEN(AG28)=0,"None",LEFT(AG28,SEARCH(", ",AG28)-1)))),EXP(8.2496+0.7243*LN(H28)),"n/a - outside Seider Ch.16.5 correlation coverage")))</f>
        <v/>
      </c>
      <c r="J28" s="53">
        <f>IF(ISNUMBER(I28),I28*(IF('1. Inputs'!$C$58="Electric Motor",1,IF('1. Inputs'!$C$58="Steam Turbine",1.15,1.25)))*(IF('1. Inputs'!$C$59="Carbon Steel",1,IF('1. Inputs'!$C$59="Stainless Steel",2.5,5)))*('1. Inputs'!$C$57/567),"n/a - outside Seider correlation")</f>
        <v/>
      </c>
      <c r="K28" s="53">
        <f>IF(ISNUMBER(J28),J28*'1. Inputs'!$C$60,"n/a")</f>
        <v/>
      </c>
      <c r="L28" s="54">
        <f>MAX(B28-1,0)</f>
        <v/>
      </c>
      <c r="M28" s="42">
        <f>'1. Inputs'!$C$14*(('1. Inputs'!$C$7/('1. Inputs'!$C$7-1))*'1. Inputs'!$C$74/778.169)*((F28+459.67)-'1. Inputs'!$C$73)</f>
        <v/>
      </c>
      <c r="N28" s="42">
        <f>'1. Inputs'!$C$12*C28-14.696</f>
        <v/>
      </c>
      <c r="O28" s="48">
        <f>IF((F28-'1. Inputs'!$C$67)=('1. Inputs'!$C$11-'1. Inputs'!$C$66),(F28-'1. Inputs'!$C$67),((F28-'1. Inputs'!$C$67)-('1. Inputs'!$C$11-'1. Inputs'!$C$66))/LN((F28-'1. Inputs'!$C$67)/('1. Inputs'!$C$11-'1. Inputs'!$C$66)))</f>
        <v/>
      </c>
      <c r="P28" s="42">
        <f>IF(O28&lt;=0,"n/a - LMTD&lt;=0, check cooling water temps",M28/('1. Inputs'!$C$65*O28))</f>
        <v/>
      </c>
      <c r="Q28" s="43">
        <f>IF(ISNUMBER(P28),IF('1. Inputs'!$C$62="Floating Head",EXP(12.0310-0.8709*LN(P28)+0.09005*LN(P28)^2),IF('1. Inputs'!$C$62="Fixed Head",EXP(11.4185-0.9228*LN(P28)+0.09861*LN(P28)^2),IF('1. Inputs'!$C$62="U-Tube",EXP(11.5510-0.9186*LN(P28)+0.09790*LN(P28)^2),EXP(12.3310-0.8709*LN(P28)+0.09005*LN(P28)^2)))),"n/a")</f>
        <v/>
      </c>
      <c r="R28" s="53">
        <f>IF(ISNUMBER(Q28),Q28*(0.9803+0.018*(N28/100)+0.0017*(N28/100)^2)*((IF('1. Inputs'!$C$63="Carbon steel/Carbon steel",0,IF('1. Inputs'!$C$63="Carbon steel/Stainless steel",1.75,2.70)))+(P28/100)^(IF('1. Inputs'!$C$63="Carbon steel/Carbon steel",0,IF('1. Inputs'!$C$63="Carbon steel/Stainless steel",0.13,0.07))))*(IF('1. Inputs'!$C$64=8,1.25,IF('1. Inputs'!$C$64=12,1.12,IF('1. Inputs'!$C$64=16,1.05,1))))*('1. Inputs'!$C$57/567),"n/a")</f>
        <v/>
      </c>
      <c r="S28" s="53">
        <f>IF(ISNUMBER(R28),R28*'1. Inputs'!$C$68,"n/a")</f>
        <v/>
      </c>
      <c r="T28" s="53">
        <f>IF(ISNUMBER(S28),L28*S28,"n/a")</f>
        <v/>
      </c>
      <c r="U28" s="53">
        <f>IF(AND(ISNUMBER(K28),ISNUMBER(T28)),K28+T28,"n/a - unsupported type for Seider costing")</f>
        <v/>
      </c>
      <c r="V28" s="53">
        <f>IF(ISNUMBER(U28),0.18*U28,"n/a")</f>
        <v/>
      </c>
      <c r="W28" s="53">
        <f>IF(ISNUMBER(U28),0.03*U28,"n/a")</f>
        <v/>
      </c>
      <c r="X28" s="53">
        <f>IF(AND(ISNUMBER(U28),ISNUMBER(V28),ISNUMBER(W28)),U28+V28+W28,"n/a")</f>
        <v/>
      </c>
      <c r="Y28" s="53">
        <f>IF(ISNUMBER(X28),0.15*X28,"n/a")</f>
        <v/>
      </c>
      <c r="Z28" s="55">
        <f>IF(AND(ISNUMBER(X28),ISNUMBER(Y28)),X28+Y28,"n/a")</f>
        <v/>
      </c>
      <c r="AA28" s="56" t="inlineStr">
        <is>
          <t>n/a (baseline)</t>
        </is>
      </c>
      <c r="AB28" s="56" t="inlineStr">
        <is>
          <t>n/a (baseline)</t>
        </is>
      </c>
      <c r="AC28" s="56" t="inlineStr">
        <is>
          <t>n/a (baseline)</t>
        </is>
      </c>
      <c r="AD28" s="56" t="inlineStr">
        <is>
          <t>n/a (baseline)</t>
        </is>
      </c>
      <c r="AE28" s="56" t="inlineStr">
        <is>
          <t>TRUE (baseline)</t>
        </is>
      </c>
      <c r="AG28" s="30">
        <f>IF(AND('1. Inputs'!$C$78&gt;='2. Type Selection'!C14,'1. Inputs'!$C$78&lt;='2. Type Selection'!D14,D28&gt;='2. Type Selection'!E14,D28&lt;='2. Type Selection'!F14),'2. Type Selection'!B14&amp;", ","")&amp;IF(AND('1. Inputs'!$C$78&gt;='2. Type Selection'!C15,'1. Inputs'!$C$78&lt;='2. Type Selection'!D15,D28&gt;='2. Type Selection'!E15,D28&lt;='2. Type Selection'!F15),'2. Type Selection'!B15&amp;", ","")&amp;IF(AND('1. Inputs'!$C$78&gt;='2. Type Selection'!C16,'1. Inputs'!$C$78&lt;='2. Type Selection'!D16,D28&gt;='2. Type Selection'!E16,D28&lt;='2. Type Selection'!F16),'2. Type Selection'!B16&amp;", ","")&amp;IF(AND('1. Inputs'!$C$78&gt;='2. Type Selection'!C17,'1. Inputs'!$C$78&lt;='2. Type Selection'!D17,D28&gt;='2. Type Selection'!E17,D28&lt;='2. Type Selection'!F17),'2. Type Selection'!B17&amp;", ","")&amp;IF(AND('1. Inputs'!$C$78&gt;='2. Type Selection'!C18,'1. Inputs'!$C$78&lt;='2. Type Selection'!D18,D28&gt;='2. Type Selection'!E18,D28&lt;='2. Type Selection'!F18),'2. Type Selection'!B18&amp;", ","")&amp;IF(AND('1. Inputs'!$C$78&gt;='2. Type Selection'!C19,'1. Inputs'!$C$78&lt;='2. Type Selection'!D19,D28&gt;='2. Type Selection'!E19,D28&lt;='2. Type Selection'!F19),'2. Type Selection'!B19&amp;", ","")&amp;IF(AND('1. Inputs'!$C$78&gt;='2. Type Selection'!C20,'1. Inputs'!$C$78&lt;='2. Type Selection'!D20,D28&gt;='2. Type Selection'!E20,D28&lt;='2. Type Selection'!F20),'2. Type Selection'!B20&amp;", ","")&amp;IF(AND('1. Inputs'!$C$78&gt;='2. Type Selection'!C21,'1. Inputs'!$C$78&lt;='2. Type Selection'!D21,D28&gt;='2. Type Selection'!E21,D28&lt;='2. Type Selection'!F21),'2. Type Selection'!B21&amp;", ","")&amp;IF(AND('1. Inputs'!$C$78&gt;='2. Type Selection'!C22,'1. Inputs'!$C$78&lt;='2. Type Selection'!D22,D28&gt;='2. Type Selection'!E22,D28&lt;='2. Type Selection'!F22),'2. Type Selection'!B22&amp;", ","")&amp;IF(AND('1. Inputs'!$C$78&gt;='2. Type Selection'!C23,'1. Inputs'!$C$78&lt;='2. Type Selection'!D23,D28&gt;='2. Type Selection'!E23,D28&lt;='2. Type Selection'!F23),'2. Type Selection'!B23&amp;", ","")</f>
        <v/>
      </c>
    </row>
    <row r="29">
      <c r="B29" s="4" t="n">
        <v>2</v>
      </c>
      <c r="C29" s="40">
        <f>'1. Inputs'!$C$75^(1/B29)</f>
        <v/>
      </c>
      <c r="D29" s="42">
        <f>('1. Inputs'!$C$7/('1. Inputs'!$C$7-1))*'1. Inputs'!$C$74*'1. Inputs'!$C$73*(C29^(('1. Inputs'!$C$7-1)/'1. Inputs'!$C$7)-1)</f>
        <v/>
      </c>
      <c r="E29" s="52">
        <f>IF(LEN(AG29)=0,"(no match)",LEFT(AG29,LEN(AG29)-2))</f>
        <v/>
      </c>
      <c r="F29" s="41">
        <f>'1. Inputs'!$C$73*C29^(((1/(1-(('1. Inputs'!$C$7-1)/('1. Inputs'!$C$7*'3. Efficiency'!$C$80))))-1)/(1/(1-(('1. Inputs'!$C$7-1)/('1. Inputs'!$C$7*'3. Efficiency'!$C$80)))))-459.67</f>
        <v/>
      </c>
      <c r="G29" s="52">
        <f>IF(B29&gt;999,"",IF(IF(LEN(AG29)=0,"None",LEFT(AG29,SEARCH(", ",AG29)-1))="None","UNKNOWN TYPE - no compressor in the coverage table fits these conditions; cannot verify Tallow, treated as EXCEEDS until inspected manually",IF(ISNUMBER(SEARCH("Reciprocating",IF(LEN(AG29)=0,"None",LEFT(AG29,SEARCH(", ",AG29)-1)))),IF(F29&gt;350,"EXCEEDS 350F - add a stage",IF(F29&gt;300,"CAUTION: 300-350F is vendor/lubricant dependent - inspect the specific compressor rating (outside scope of this spreadsheet)","OK")),IF(ISNUMBER(SEARCH("Centrifugal",IF(LEN(AG29)=0,"None",LEFT(AG29,SEARCH(", ",AG29)-1)))),IF(F29&gt;446,"EXCEEDS 446F - add a stage",IF(F29&gt;392,"CAUTION: 392-446F is vendor/lubricant dependent - inspect the specific compressor rating (outside scope of this spreadsheet)","OK")),IF(ISNUMBER(SEARCH("Rotary",IF(LEN(AG29)=0,"None",LEFT(AG29,SEARCH(", ",AG29)-1)))),IF(F29&gt;350,"EXCEEDS 350F - add a stage",IF(F29&gt;212,"CAUTION: 212-350F is vendor/lubricant dependent - inspect the specific compressor rating (outside scope of this spreadsheet)","OK")),"n/a (Axial/Fan - no Tallow range given in the deck)")))))</f>
        <v/>
      </c>
      <c r="H29" s="41">
        <f>B29*'1. Inputs'!$C$14*(((1/(1-(('1. Inputs'!$C$7-1)/('1. Inputs'!$C$7*'3. Efficiency'!$C$80))))/((1/(1-(('1. Inputs'!$C$7-1)/('1. Inputs'!$C$7*'3. Efficiency'!$C$80))))-1))*'1. Inputs'!$C$8*'1. Inputs'!$C$74*'1. Inputs'!$C$73*(C29^((((1/(1-(('1. Inputs'!$C$7-1)/('1. Inputs'!$C$7*'3. Efficiency'!$C$80)))))-1)/((1/(1-(('1. Inputs'!$C$7-1)/('1. Inputs'!$C$7*'3. Efficiency'!$C$80))))))-1))/'3. Efficiency'!$C$80/1980000</f>
        <v/>
      </c>
      <c r="I29" s="43">
        <f>IF(ISNUMBER(SEARCH("Centrifugal",IF(LEN(AG29)=0,"None",LEFT(AG29,SEARCH(", ",AG29)-1)))),EXP(9.1553+0.63*LN(H29)),IF(ISNUMBER(SEARCH("Reciprocating",IF(LEN(AG29)=0,"None",LEFT(AG29,SEARCH(", ",AG29)-1)))),EXP(4.6762+1.23*LN(H29)),IF(ISNUMBER(SEARCH("Screw",IF(LEN(AG29)=0,"None",LEFT(AG29,SEARCH(", ",AG29)-1)))),EXP(8.2496+0.7243*LN(H29)),"n/a - outside Seider Ch.16.5 correlation coverage")))</f>
        <v/>
      </c>
      <c r="J29" s="53">
        <f>IF(ISNUMBER(I29),I29*(IF('1. Inputs'!$C$58="Electric Motor",1,IF('1. Inputs'!$C$58="Steam Turbine",1.15,1.25)))*(IF('1. Inputs'!$C$59="Carbon Steel",1,IF('1. Inputs'!$C$59="Stainless Steel",2.5,5)))*('1. Inputs'!$C$57/567),"n/a - outside Seider correlation")</f>
        <v/>
      </c>
      <c r="K29" s="53">
        <f>IF(ISNUMBER(J29),J29*'1. Inputs'!$C$60,"n/a")</f>
        <v/>
      </c>
      <c r="L29" s="54">
        <f>MAX(B29-1,0)</f>
        <v/>
      </c>
      <c r="M29" s="42">
        <f>'1. Inputs'!$C$14*(('1. Inputs'!$C$7/('1. Inputs'!$C$7-1))*'1. Inputs'!$C$74/778.169)*((F29+459.67)-'1. Inputs'!$C$73)</f>
        <v/>
      </c>
      <c r="N29" s="42">
        <f>'1. Inputs'!$C$12*C29-14.696</f>
        <v/>
      </c>
      <c r="O29" s="48">
        <f>IF((F29-'1. Inputs'!$C$67)=('1. Inputs'!$C$11-'1. Inputs'!$C$66),(F29-'1. Inputs'!$C$67),((F29-'1. Inputs'!$C$67)-('1. Inputs'!$C$11-'1. Inputs'!$C$66))/LN((F29-'1. Inputs'!$C$67)/('1. Inputs'!$C$11-'1. Inputs'!$C$66)))</f>
        <v/>
      </c>
      <c r="P29" s="42">
        <f>IF(O29&lt;=0,"n/a - LMTD&lt;=0, check cooling water temps",M29/('1. Inputs'!$C$65*O29))</f>
        <v/>
      </c>
      <c r="Q29" s="43">
        <f>IF(ISNUMBER(P29),IF('1. Inputs'!$C$62="Floating Head",EXP(12.0310-0.8709*LN(P29)+0.09005*LN(P29)^2),IF('1. Inputs'!$C$62="Fixed Head",EXP(11.4185-0.9228*LN(P29)+0.09861*LN(P29)^2),IF('1. Inputs'!$C$62="U-Tube",EXP(11.5510-0.9186*LN(P29)+0.09790*LN(P29)^2),EXP(12.3310-0.8709*LN(P29)+0.09005*LN(P29)^2)))),"n/a")</f>
        <v/>
      </c>
      <c r="R29" s="53">
        <f>IF(ISNUMBER(Q29),Q29*(0.9803+0.018*(N29/100)+0.0017*(N29/100)^2)*((IF('1. Inputs'!$C$63="Carbon steel/Carbon steel",0,IF('1. Inputs'!$C$63="Carbon steel/Stainless steel",1.75,2.70)))+(P29/100)^(IF('1. Inputs'!$C$63="Carbon steel/Carbon steel",0,IF('1. Inputs'!$C$63="Carbon steel/Stainless steel",0.13,0.07))))*(IF('1. Inputs'!$C$64=8,1.25,IF('1. Inputs'!$C$64=12,1.12,IF('1. Inputs'!$C$64=16,1.05,1))))*('1. Inputs'!$C$57/567),"n/a")</f>
        <v/>
      </c>
      <c r="S29" s="53">
        <f>IF(ISNUMBER(R29),R29*'1. Inputs'!$C$68,"n/a")</f>
        <v/>
      </c>
      <c r="T29" s="53">
        <f>IF(ISNUMBER(S29),L29*S29,"n/a")</f>
        <v/>
      </c>
      <c r="U29" s="53">
        <f>IF(AND(ISNUMBER(K29),ISNUMBER(T29)),K29+T29,"n/a - unsupported type for Seider costing")</f>
        <v/>
      </c>
      <c r="V29" s="53">
        <f>IF(ISNUMBER(U29),0.18*U29,"n/a")</f>
        <v/>
      </c>
      <c r="W29" s="53">
        <f>IF(ISNUMBER(U29),0.03*U29,"n/a")</f>
        <v/>
      </c>
      <c r="X29" s="53">
        <f>IF(AND(ISNUMBER(U29),ISNUMBER(V29),ISNUMBER(W29)),U29+V29+W29,"n/a")</f>
        <v/>
      </c>
      <c r="Y29" s="53">
        <f>IF(ISNUMBER(X29),0.15*X29,"n/a")</f>
        <v/>
      </c>
      <c r="Z29" s="55">
        <f>IF(AND(ISNUMBER(X29),ISNUMBER(Y29)),X29+Y29,"n/a")</f>
        <v/>
      </c>
      <c r="AA29" s="53">
        <f>IF(AND(ISNUMBER(Z29),ISNUMBER(Z28)),Z29-Z28,"n/a")</f>
        <v/>
      </c>
      <c r="AB29" s="53">
        <f>(H28-H29)*0.7457*'1. Inputs'!$C$18*'1. Inputs'!$C$19</f>
        <v/>
      </c>
      <c r="AC29" s="53">
        <f>IF(ISNUMBER(AA29),(1-'1. Inputs'!$C$70)*AB29+AA29/'1. Inputs'!$C$22,"n/a")</f>
        <v/>
      </c>
      <c r="AD29" s="43">
        <f>IF(NOT(ISNUMBER(AA29)),"n/a",IF(AA29&lt;=0,"FREE - cheaper capital AND lower operating cost",IF(OR(NOT(ISNUMBER(AC29)),AC29&lt;=0),"n/a",AA29/AC29)))</f>
        <v/>
      </c>
      <c r="AE29" s="43">
        <f>IF(OR(AD29="n/a"),FALSE,IF(AD29="FREE - cheaper capital AND lower operating cost",TRUE,IF(AND(ISNUMBER(AD29),AD29&lt;=0.85/('1. Inputs'!$C$21+0.85/'1. Inputs'!$C$22),AD29&lt;=5),TRUE,FALSE)))</f>
        <v/>
      </c>
      <c r="AG29" s="30">
        <f>IF(AND('1. Inputs'!$C$78&gt;='2. Type Selection'!C14,'1. Inputs'!$C$78&lt;='2. Type Selection'!D14,D29&gt;='2. Type Selection'!E14,D29&lt;='2. Type Selection'!F14),'2. Type Selection'!B14&amp;", ","")&amp;IF(AND('1. Inputs'!$C$78&gt;='2. Type Selection'!C15,'1. Inputs'!$C$78&lt;='2. Type Selection'!D15,D29&gt;='2. Type Selection'!E15,D29&lt;='2. Type Selection'!F15),'2. Type Selection'!B15&amp;", ","")&amp;IF(AND('1. Inputs'!$C$78&gt;='2. Type Selection'!C16,'1. Inputs'!$C$78&lt;='2. Type Selection'!D16,D29&gt;='2. Type Selection'!E16,D29&lt;='2. Type Selection'!F16),'2. Type Selection'!B16&amp;", ","")&amp;IF(AND('1. Inputs'!$C$78&gt;='2. Type Selection'!C17,'1. Inputs'!$C$78&lt;='2. Type Selection'!D17,D29&gt;='2. Type Selection'!E17,D29&lt;='2. Type Selection'!F17),'2. Type Selection'!B17&amp;", ","")&amp;IF(AND('1. Inputs'!$C$78&gt;='2. Type Selection'!C18,'1. Inputs'!$C$78&lt;='2. Type Selection'!D18,D29&gt;='2. Type Selection'!E18,D29&lt;='2. Type Selection'!F18),'2. Type Selection'!B18&amp;", ","")&amp;IF(AND('1. Inputs'!$C$78&gt;='2. Type Selection'!C19,'1. Inputs'!$C$78&lt;='2. Type Selection'!D19,D29&gt;='2. Type Selection'!E19,D29&lt;='2. Type Selection'!F19),'2. Type Selection'!B19&amp;", ","")&amp;IF(AND('1. Inputs'!$C$78&gt;='2. Type Selection'!C20,'1. Inputs'!$C$78&lt;='2. Type Selection'!D20,D29&gt;='2. Type Selection'!E20,D29&lt;='2. Type Selection'!F20),'2. Type Selection'!B20&amp;", ","")&amp;IF(AND('1. Inputs'!$C$78&gt;='2. Type Selection'!C21,'1. Inputs'!$C$78&lt;='2. Type Selection'!D21,D29&gt;='2. Type Selection'!E21,D29&lt;='2. Type Selection'!F21),'2. Type Selection'!B21&amp;", ","")&amp;IF(AND('1. Inputs'!$C$78&gt;='2. Type Selection'!C22,'1. Inputs'!$C$78&lt;='2. Type Selection'!D22,D29&gt;='2. Type Selection'!E22,D29&lt;='2. Type Selection'!F22),'2. Type Selection'!B22&amp;", ","")&amp;IF(AND('1. Inputs'!$C$78&gt;='2. Type Selection'!C23,'1. Inputs'!$C$78&lt;='2. Type Selection'!D23,D29&gt;='2. Type Selection'!E23,D29&lt;='2. Type Selection'!F23),'2. Type Selection'!B23&amp;", ","")</f>
        <v/>
      </c>
    </row>
    <row r="30">
      <c r="B30" s="4" t="n">
        <v>3</v>
      </c>
      <c r="C30" s="40">
        <f>'1. Inputs'!$C$75^(1/B30)</f>
        <v/>
      </c>
      <c r="D30" s="42">
        <f>('1. Inputs'!$C$7/('1. Inputs'!$C$7-1))*'1. Inputs'!$C$74*'1. Inputs'!$C$73*(C30^(('1. Inputs'!$C$7-1)/'1. Inputs'!$C$7)-1)</f>
        <v/>
      </c>
      <c r="E30" s="52">
        <f>IF(LEN(AG30)=0,"(no match)",LEFT(AG30,LEN(AG30)-2))</f>
        <v/>
      </c>
      <c r="F30" s="41">
        <f>'1. Inputs'!$C$73*C30^(((1/(1-(('1. Inputs'!$C$7-1)/('1. Inputs'!$C$7*'3. Efficiency'!$C$80))))-1)/(1/(1-(('1. Inputs'!$C$7-1)/('1. Inputs'!$C$7*'3. Efficiency'!$C$80)))))-459.67</f>
        <v/>
      </c>
      <c r="G30" s="52">
        <f>IF(B30&gt;999,"",IF(IF(LEN(AG30)=0,"None",LEFT(AG30,SEARCH(", ",AG30)-1))="None","UNKNOWN TYPE - no compressor in the coverage table fits these conditions; cannot verify Tallow, treated as EXCEEDS until inspected manually",IF(ISNUMBER(SEARCH("Reciprocating",IF(LEN(AG30)=0,"None",LEFT(AG30,SEARCH(", ",AG30)-1)))),IF(F30&gt;350,"EXCEEDS 350F - add a stage",IF(F30&gt;300,"CAUTION: 300-350F is vendor/lubricant dependent - inspect the specific compressor rating (outside scope of this spreadsheet)","OK")),IF(ISNUMBER(SEARCH("Centrifugal",IF(LEN(AG30)=0,"None",LEFT(AG30,SEARCH(", ",AG30)-1)))),IF(F30&gt;446,"EXCEEDS 446F - add a stage",IF(F30&gt;392,"CAUTION: 392-446F is vendor/lubricant dependent - inspect the specific compressor rating (outside scope of this spreadsheet)","OK")),IF(ISNUMBER(SEARCH("Rotary",IF(LEN(AG30)=0,"None",LEFT(AG30,SEARCH(", ",AG30)-1)))),IF(F30&gt;350,"EXCEEDS 350F - add a stage",IF(F30&gt;212,"CAUTION: 212-350F is vendor/lubricant dependent - inspect the specific compressor rating (outside scope of this spreadsheet)","OK")),"n/a (Axial/Fan - no Tallow range given in the deck)")))))</f>
        <v/>
      </c>
      <c r="H30" s="41">
        <f>B30*'1. Inputs'!$C$14*(((1/(1-(('1. Inputs'!$C$7-1)/('1. Inputs'!$C$7*'3. Efficiency'!$C$80))))/((1/(1-(('1. Inputs'!$C$7-1)/('1. Inputs'!$C$7*'3. Efficiency'!$C$80))))-1))*'1. Inputs'!$C$8*'1. Inputs'!$C$74*'1. Inputs'!$C$73*(C30^((((1/(1-(('1. Inputs'!$C$7-1)/('1. Inputs'!$C$7*'3. Efficiency'!$C$80)))))-1)/((1/(1-(('1. Inputs'!$C$7-1)/('1. Inputs'!$C$7*'3. Efficiency'!$C$80))))))-1))/'3. Efficiency'!$C$80/1980000</f>
        <v/>
      </c>
      <c r="I30" s="43">
        <f>IF(ISNUMBER(SEARCH("Centrifugal",IF(LEN(AG30)=0,"None",LEFT(AG30,SEARCH(", ",AG30)-1)))),EXP(9.1553+0.63*LN(H30)),IF(ISNUMBER(SEARCH("Reciprocating",IF(LEN(AG30)=0,"None",LEFT(AG30,SEARCH(", ",AG30)-1)))),EXP(4.6762+1.23*LN(H30)),IF(ISNUMBER(SEARCH("Screw",IF(LEN(AG30)=0,"None",LEFT(AG30,SEARCH(", ",AG30)-1)))),EXP(8.2496+0.7243*LN(H30)),"n/a - outside Seider Ch.16.5 correlation coverage")))</f>
        <v/>
      </c>
      <c r="J30" s="53">
        <f>IF(ISNUMBER(I30),I30*(IF('1. Inputs'!$C$58="Electric Motor",1,IF('1. Inputs'!$C$58="Steam Turbine",1.15,1.25)))*(IF('1. Inputs'!$C$59="Carbon Steel",1,IF('1. Inputs'!$C$59="Stainless Steel",2.5,5)))*('1. Inputs'!$C$57/567),"n/a - outside Seider correlation")</f>
        <v/>
      </c>
      <c r="K30" s="53">
        <f>IF(ISNUMBER(J30),J30*'1. Inputs'!$C$60,"n/a")</f>
        <v/>
      </c>
      <c r="L30" s="54">
        <f>MAX(B30-1,0)</f>
        <v/>
      </c>
      <c r="M30" s="42">
        <f>'1. Inputs'!$C$14*(('1. Inputs'!$C$7/('1. Inputs'!$C$7-1))*'1. Inputs'!$C$74/778.169)*((F30+459.67)-'1. Inputs'!$C$73)</f>
        <v/>
      </c>
      <c r="N30" s="42">
        <f>'1. Inputs'!$C$12*C30-14.696</f>
        <v/>
      </c>
      <c r="O30" s="48">
        <f>IF((F30-'1. Inputs'!$C$67)=('1. Inputs'!$C$11-'1. Inputs'!$C$66),(F30-'1. Inputs'!$C$67),((F30-'1. Inputs'!$C$67)-('1. Inputs'!$C$11-'1. Inputs'!$C$66))/LN((F30-'1. Inputs'!$C$67)/('1. Inputs'!$C$11-'1. Inputs'!$C$66)))</f>
        <v/>
      </c>
      <c r="P30" s="42">
        <f>IF(O30&lt;=0,"n/a - LMTD&lt;=0, check cooling water temps",M30/('1. Inputs'!$C$65*O30))</f>
        <v/>
      </c>
      <c r="Q30" s="43">
        <f>IF(ISNUMBER(P30),IF('1. Inputs'!$C$62="Floating Head",EXP(12.0310-0.8709*LN(P30)+0.09005*LN(P30)^2),IF('1. Inputs'!$C$62="Fixed Head",EXP(11.4185-0.9228*LN(P30)+0.09861*LN(P30)^2),IF('1. Inputs'!$C$62="U-Tube",EXP(11.5510-0.9186*LN(P30)+0.09790*LN(P30)^2),EXP(12.3310-0.8709*LN(P30)+0.09005*LN(P30)^2)))),"n/a")</f>
        <v/>
      </c>
      <c r="R30" s="53">
        <f>IF(ISNUMBER(Q30),Q30*(0.9803+0.018*(N30/100)+0.0017*(N30/100)^2)*((IF('1. Inputs'!$C$63="Carbon steel/Carbon steel",0,IF('1. Inputs'!$C$63="Carbon steel/Stainless steel",1.75,2.70)))+(P30/100)^(IF('1. Inputs'!$C$63="Carbon steel/Carbon steel",0,IF('1. Inputs'!$C$63="Carbon steel/Stainless steel",0.13,0.07))))*(IF('1. Inputs'!$C$64=8,1.25,IF('1. Inputs'!$C$64=12,1.12,IF('1. Inputs'!$C$64=16,1.05,1))))*('1. Inputs'!$C$57/567),"n/a")</f>
        <v/>
      </c>
      <c r="S30" s="53">
        <f>IF(ISNUMBER(R30),R30*'1. Inputs'!$C$68,"n/a")</f>
        <v/>
      </c>
      <c r="T30" s="53">
        <f>IF(ISNUMBER(S30),L30*S30,"n/a")</f>
        <v/>
      </c>
      <c r="U30" s="53">
        <f>IF(AND(ISNUMBER(K30),ISNUMBER(T30)),K30+T30,"n/a - unsupported type for Seider costing")</f>
        <v/>
      </c>
      <c r="V30" s="53">
        <f>IF(ISNUMBER(U30),0.18*U30,"n/a")</f>
        <v/>
      </c>
      <c r="W30" s="53">
        <f>IF(ISNUMBER(U30),0.03*U30,"n/a")</f>
        <v/>
      </c>
      <c r="X30" s="53">
        <f>IF(AND(ISNUMBER(U30),ISNUMBER(V30),ISNUMBER(W30)),U30+V30+W30,"n/a")</f>
        <v/>
      </c>
      <c r="Y30" s="53">
        <f>IF(ISNUMBER(X30),0.15*X30,"n/a")</f>
        <v/>
      </c>
      <c r="Z30" s="55">
        <f>IF(AND(ISNUMBER(X30),ISNUMBER(Y30)),X30+Y30,"n/a")</f>
        <v/>
      </c>
      <c r="AA30" s="53">
        <f>IF(AND(ISNUMBER(Z30),ISNUMBER(Z29)),Z30-Z29,"n/a")</f>
        <v/>
      </c>
      <c r="AB30" s="53">
        <f>(H29-H30)*0.7457*'1. Inputs'!$C$18*'1. Inputs'!$C$19</f>
        <v/>
      </c>
      <c r="AC30" s="53">
        <f>IF(ISNUMBER(AA30),(1-'1. Inputs'!$C$70)*AB30+AA30/'1. Inputs'!$C$22,"n/a")</f>
        <v/>
      </c>
      <c r="AD30" s="43">
        <f>IF(NOT(ISNUMBER(AA30)),"n/a",IF(AA30&lt;=0,"FREE - cheaper capital AND lower operating cost",IF(OR(NOT(ISNUMBER(AC30)),AC30&lt;=0),"n/a",AA30/AC30)))</f>
        <v/>
      </c>
      <c r="AE30" s="43">
        <f>IF(OR(AD30="n/a"),FALSE,IF(AD30="FREE - cheaper capital AND lower operating cost",TRUE,IF(AND(ISNUMBER(AD30),AD30&lt;=0.85/('1. Inputs'!$C$21+0.85/'1. Inputs'!$C$22),AD30&lt;=5),TRUE,FALSE)))</f>
        <v/>
      </c>
      <c r="AG30" s="30">
        <f>IF(AND('1. Inputs'!$C$78&gt;='2. Type Selection'!C14,'1. Inputs'!$C$78&lt;='2. Type Selection'!D14,D30&gt;='2. Type Selection'!E14,D30&lt;='2. Type Selection'!F14),'2. Type Selection'!B14&amp;", ","")&amp;IF(AND('1. Inputs'!$C$78&gt;='2. Type Selection'!C15,'1. Inputs'!$C$78&lt;='2. Type Selection'!D15,D30&gt;='2. Type Selection'!E15,D30&lt;='2. Type Selection'!F15),'2. Type Selection'!B15&amp;", ","")&amp;IF(AND('1. Inputs'!$C$78&gt;='2. Type Selection'!C16,'1. Inputs'!$C$78&lt;='2. Type Selection'!D16,D30&gt;='2. Type Selection'!E16,D30&lt;='2. Type Selection'!F16),'2. Type Selection'!B16&amp;", ","")&amp;IF(AND('1. Inputs'!$C$78&gt;='2. Type Selection'!C17,'1. Inputs'!$C$78&lt;='2. Type Selection'!D17,D30&gt;='2. Type Selection'!E17,D30&lt;='2. Type Selection'!F17),'2. Type Selection'!B17&amp;", ","")&amp;IF(AND('1. Inputs'!$C$78&gt;='2. Type Selection'!C18,'1. Inputs'!$C$78&lt;='2. Type Selection'!D18,D30&gt;='2. Type Selection'!E18,D30&lt;='2. Type Selection'!F18),'2. Type Selection'!B18&amp;", ","")&amp;IF(AND('1. Inputs'!$C$78&gt;='2. Type Selection'!C19,'1. Inputs'!$C$78&lt;='2. Type Selection'!D19,D30&gt;='2. Type Selection'!E19,D30&lt;='2. Type Selection'!F19),'2. Type Selection'!B19&amp;", ","")&amp;IF(AND('1. Inputs'!$C$78&gt;='2. Type Selection'!C20,'1. Inputs'!$C$78&lt;='2. Type Selection'!D20,D30&gt;='2. Type Selection'!E20,D30&lt;='2. Type Selection'!F20),'2. Type Selection'!B20&amp;", ","")&amp;IF(AND('1. Inputs'!$C$78&gt;='2. Type Selection'!C21,'1. Inputs'!$C$78&lt;='2. Type Selection'!D21,D30&gt;='2. Type Selection'!E21,D30&lt;='2. Type Selection'!F21),'2. Type Selection'!B21&amp;", ","")&amp;IF(AND('1. Inputs'!$C$78&gt;='2. Type Selection'!C22,'1. Inputs'!$C$78&lt;='2. Type Selection'!D22,D30&gt;='2. Type Selection'!E22,D30&lt;='2. Type Selection'!F22),'2. Type Selection'!B22&amp;", ","")&amp;IF(AND('1. Inputs'!$C$78&gt;='2. Type Selection'!C23,'1. Inputs'!$C$78&lt;='2. Type Selection'!D23,D30&gt;='2. Type Selection'!E23,D30&lt;='2. Type Selection'!F23),'2. Type Selection'!B23&amp;", ","")</f>
        <v/>
      </c>
    </row>
    <row r="31">
      <c r="B31" s="4" t="n">
        <v>4</v>
      </c>
      <c r="C31" s="40">
        <f>'1. Inputs'!$C$75^(1/B31)</f>
        <v/>
      </c>
      <c r="D31" s="42">
        <f>('1. Inputs'!$C$7/('1. Inputs'!$C$7-1))*'1. Inputs'!$C$74*'1. Inputs'!$C$73*(C31^(('1. Inputs'!$C$7-1)/'1. Inputs'!$C$7)-1)</f>
        <v/>
      </c>
      <c r="E31" s="52">
        <f>IF(LEN(AG31)=0,"(no match)",LEFT(AG31,LEN(AG31)-2))</f>
        <v/>
      </c>
      <c r="F31" s="41">
        <f>'1. Inputs'!$C$73*C31^(((1/(1-(('1. Inputs'!$C$7-1)/('1. Inputs'!$C$7*'3. Efficiency'!$C$80))))-1)/(1/(1-(('1. Inputs'!$C$7-1)/('1. Inputs'!$C$7*'3. Efficiency'!$C$80)))))-459.67</f>
        <v/>
      </c>
      <c r="G31" s="52">
        <f>IF(B31&gt;999,"",IF(IF(LEN(AG31)=0,"None",LEFT(AG31,SEARCH(", ",AG31)-1))="None","UNKNOWN TYPE - no compressor in the coverage table fits these conditions; cannot verify Tallow, treated as EXCEEDS until inspected manually",IF(ISNUMBER(SEARCH("Reciprocating",IF(LEN(AG31)=0,"None",LEFT(AG31,SEARCH(", ",AG31)-1)))),IF(F31&gt;350,"EXCEEDS 350F - add a stage",IF(F31&gt;300,"CAUTION: 300-350F is vendor/lubricant dependent - inspect the specific compressor rating (outside scope of this spreadsheet)","OK")),IF(ISNUMBER(SEARCH("Centrifugal",IF(LEN(AG31)=0,"None",LEFT(AG31,SEARCH(", ",AG31)-1)))),IF(F31&gt;446,"EXCEEDS 446F - add a stage",IF(F31&gt;392,"CAUTION: 392-446F is vendor/lubricant dependent - inspect the specific compressor rating (outside scope of this spreadsheet)","OK")),IF(ISNUMBER(SEARCH("Rotary",IF(LEN(AG31)=0,"None",LEFT(AG31,SEARCH(", ",AG31)-1)))),IF(F31&gt;350,"EXCEEDS 350F - add a stage",IF(F31&gt;212,"CAUTION: 212-350F is vendor/lubricant dependent - inspect the specific compressor rating (outside scope of this spreadsheet)","OK")),"n/a (Axial/Fan - no Tallow range given in the deck)")))))</f>
        <v/>
      </c>
      <c r="H31" s="41">
        <f>B31*'1. Inputs'!$C$14*(((1/(1-(('1. Inputs'!$C$7-1)/('1. Inputs'!$C$7*'3. Efficiency'!$C$80))))/((1/(1-(('1. Inputs'!$C$7-1)/('1. Inputs'!$C$7*'3. Efficiency'!$C$80))))-1))*'1. Inputs'!$C$8*'1. Inputs'!$C$74*'1. Inputs'!$C$73*(C31^((((1/(1-(('1. Inputs'!$C$7-1)/('1. Inputs'!$C$7*'3. Efficiency'!$C$80)))))-1)/((1/(1-(('1. Inputs'!$C$7-1)/('1. Inputs'!$C$7*'3. Efficiency'!$C$80))))))-1))/'3. Efficiency'!$C$80/1980000</f>
        <v/>
      </c>
      <c r="I31" s="43">
        <f>IF(ISNUMBER(SEARCH("Centrifugal",IF(LEN(AG31)=0,"None",LEFT(AG31,SEARCH(", ",AG31)-1)))),EXP(9.1553+0.63*LN(H31)),IF(ISNUMBER(SEARCH("Reciprocating",IF(LEN(AG31)=0,"None",LEFT(AG31,SEARCH(", ",AG31)-1)))),EXP(4.6762+1.23*LN(H31)),IF(ISNUMBER(SEARCH("Screw",IF(LEN(AG31)=0,"None",LEFT(AG31,SEARCH(", ",AG31)-1)))),EXP(8.2496+0.7243*LN(H31)),"n/a - outside Seider Ch.16.5 correlation coverage")))</f>
        <v/>
      </c>
      <c r="J31" s="53">
        <f>IF(ISNUMBER(I31),I31*(IF('1. Inputs'!$C$58="Electric Motor",1,IF('1. Inputs'!$C$58="Steam Turbine",1.15,1.25)))*(IF('1. Inputs'!$C$59="Carbon Steel",1,IF('1. Inputs'!$C$59="Stainless Steel",2.5,5)))*('1. Inputs'!$C$57/567),"n/a - outside Seider correlation")</f>
        <v/>
      </c>
      <c r="K31" s="53">
        <f>IF(ISNUMBER(J31),J31*'1. Inputs'!$C$60,"n/a")</f>
        <v/>
      </c>
      <c r="L31" s="54">
        <f>MAX(B31-1,0)</f>
        <v/>
      </c>
      <c r="M31" s="42">
        <f>'1. Inputs'!$C$14*(('1. Inputs'!$C$7/('1. Inputs'!$C$7-1))*'1. Inputs'!$C$74/778.169)*((F31+459.67)-'1. Inputs'!$C$73)</f>
        <v/>
      </c>
      <c r="N31" s="42">
        <f>'1. Inputs'!$C$12*C31-14.696</f>
        <v/>
      </c>
      <c r="O31" s="48">
        <f>IF((F31-'1. Inputs'!$C$67)=('1. Inputs'!$C$11-'1. Inputs'!$C$66),(F31-'1. Inputs'!$C$67),((F31-'1. Inputs'!$C$67)-('1. Inputs'!$C$11-'1. Inputs'!$C$66))/LN((F31-'1. Inputs'!$C$67)/('1. Inputs'!$C$11-'1. Inputs'!$C$66)))</f>
        <v/>
      </c>
      <c r="P31" s="42">
        <f>IF(O31&lt;=0,"n/a - LMTD&lt;=0, check cooling water temps",M31/('1. Inputs'!$C$65*O31))</f>
        <v/>
      </c>
      <c r="Q31" s="43">
        <f>IF(ISNUMBER(P31),IF('1. Inputs'!$C$62="Floating Head",EXP(12.0310-0.8709*LN(P31)+0.09005*LN(P31)^2),IF('1. Inputs'!$C$62="Fixed Head",EXP(11.4185-0.9228*LN(P31)+0.09861*LN(P31)^2),IF('1. Inputs'!$C$62="U-Tube",EXP(11.5510-0.9186*LN(P31)+0.09790*LN(P31)^2),EXP(12.3310-0.8709*LN(P31)+0.09005*LN(P31)^2)))),"n/a")</f>
        <v/>
      </c>
      <c r="R31" s="53">
        <f>IF(ISNUMBER(Q31),Q31*(0.9803+0.018*(N31/100)+0.0017*(N31/100)^2)*((IF('1. Inputs'!$C$63="Carbon steel/Carbon steel",0,IF('1. Inputs'!$C$63="Carbon steel/Stainless steel",1.75,2.70)))+(P31/100)^(IF('1. Inputs'!$C$63="Carbon steel/Carbon steel",0,IF('1. Inputs'!$C$63="Carbon steel/Stainless steel",0.13,0.07))))*(IF('1. Inputs'!$C$64=8,1.25,IF('1. Inputs'!$C$64=12,1.12,IF('1. Inputs'!$C$64=16,1.05,1))))*('1. Inputs'!$C$57/567),"n/a")</f>
        <v/>
      </c>
      <c r="S31" s="53">
        <f>IF(ISNUMBER(R31),R31*'1. Inputs'!$C$68,"n/a")</f>
        <v/>
      </c>
      <c r="T31" s="53">
        <f>IF(ISNUMBER(S31),L31*S31,"n/a")</f>
        <v/>
      </c>
      <c r="U31" s="53">
        <f>IF(AND(ISNUMBER(K31),ISNUMBER(T31)),K31+T31,"n/a - unsupported type for Seider costing")</f>
        <v/>
      </c>
      <c r="V31" s="53">
        <f>IF(ISNUMBER(U31),0.18*U31,"n/a")</f>
        <v/>
      </c>
      <c r="W31" s="53">
        <f>IF(ISNUMBER(U31),0.03*U31,"n/a")</f>
        <v/>
      </c>
      <c r="X31" s="53">
        <f>IF(AND(ISNUMBER(U31),ISNUMBER(V31),ISNUMBER(W31)),U31+V31+W31,"n/a")</f>
        <v/>
      </c>
      <c r="Y31" s="53">
        <f>IF(ISNUMBER(X31),0.15*X31,"n/a")</f>
        <v/>
      </c>
      <c r="Z31" s="55">
        <f>IF(AND(ISNUMBER(X31),ISNUMBER(Y31)),X31+Y31,"n/a")</f>
        <v/>
      </c>
      <c r="AA31" s="53">
        <f>IF(AND(ISNUMBER(Z31),ISNUMBER(Z30)),Z31-Z30,"n/a")</f>
        <v/>
      </c>
      <c r="AB31" s="53">
        <f>(H30-H31)*0.7457*'1. Inputs'!$C$18*'1. Inputs'!$C$19</f>
        <v/>
      </c>
      <c r="AC31" s="53">
        <f>IF(ISNUMBER(AA31),(1-'1. Inputs'!$C$70)*AB31+AA31/'1. Inputs'!$C$22,"n/a")</f>
        <v/>
      </c>
      <c r="AD31" s="43">
        <f>IF(NOT(ISNUMBER(AA31)),"n/a",IF(AA31&lt;=0,"FREE - cheaper capital AND lower operating cost",IF(OR(NOT(ISNUMBER(AC31)),AC31&lt;=0),"n/a",AA31/AC31)))</f>
        <v/>
      </c>
      <c r="AE31" s="43">
        <f>IF(OR(AD31="n/a"),FALSE,IF(AD31="FREE - cheaper capital AND lower operating cost",TRUE,IF(AND(ISNUMBER(AD31),AD31&lt;=0.85/('1. Inputs'!$C$21+0.85/'1. Inputs'!$C$22),AD31&lt;=5),TRUE,FALSE)))</f>
        <v/>
      </c>
      <c r="AG31" s="30">
        <f>IF(AND('1. Inputs'!$C$78&gt;='2. Type Selection'!C14,'1. Inputs'!$C$78&lt;='2. Type Selection'!D14,D31&gt;='2. Type Selection'!E14,D31&lt;='2. Type Selection'!F14),'2. Type Selection'!B14&amp;", ","")&amp;IF(AND('1. Inputs'!$C$78&gt;='2. Type Selection'!C15,'1. Inputs'!$C$78&lt;='2. Type Selection'!D15,D31&gt;='2. Type Selection'!E15,D31&lt;='2. Type Selection'!F15),'2. Type Selection'!B15&amp;", ","")&amp;IF(AND('1. Inputs'!$C$78&gt;='2. Type Selection'!C16,'1. Inputs'!$C$78&lt;='2. Type Selection'!D16,D31&gt;='2. Type Selection'!E16,D31&lt;='2. Type Selection'!F16),'2. Type Selection'!B16&amp;", ","")&amp;IF(AND('1. Inputs'!$C$78&gt;='2. Type Selection'!C17,'1. Inputs'!$C$78&lt;='2. Type Selection'!D17,D31&gt;='2. Type Selection'!E17,D31&lt;='2. Type Selection'!F17),'2. Type Selection'!B17&amp;", ","")&amp;IF(AND('1. Inputs'!$C$78&gt;='2. Type Selection'!C18,'1. Inputs'!$C$78&lt;='2. Type Selection'!D18,D31&gt;='2. Type Selection'!E18,D31&lt;='2. Type Selection'!F18),'2. Type Selection'!B18&amp;", ","")&amp;IF(AND('1. Inputs'!$C$78&gt;='2. Type Selection'!C19,'1. Inputs'!$C$78&lt;='2. Type Selection'!D19,D31&gt;='2. Type Selection'!E19,D31&lt;='2. Type Selection'!F19),'2. Type Selection'!B19&amp;", ","")&amp;IF(AND('1. Inputs'!$C$78&gt;='2. Type Selection'!C20,'1. Inputs'!$C$78&lt;='2. Type Selection'!D20,D31&gt;='2. Type Selection'!E20,D31&lt;='2. Type Selection'!F20),'2. Type Selection'!B20&amp;", ","")&amp;IF(AND('1. Inputs'!$C$78&gt;='2. Type Selection'!C21,'1. Inputs'!$C$78&lt;='2. Type Selection'!D21,D31&gt;='2. Type Selection'!E21,D31&lt;='2. Type Selection'!F21),'2. Type Selection'!B21&amp;", ","")&amp;IF(AND('1. Inputs'!$C$78&gt;='2. Type Selection'!C22,'1. Inputs'!$C$78&lt;='2. Type Selection'!D22,D31&gt;='2. Type Selection'!E22,D31&lt;='2. Type Selection'!F22),'2. Type Selection'!B22&amp;", ","")&amp;IF(AND('1. Inputs'!$C$78&gt;='2. Type Selection'!C23,'1. Inputs'!$C$78&lt;='2. Type Selection'!D23,D31&gt;='2. Type Selection'!E23,D31&lt;='2. Type Selection'!F23),'2. Type Selection'!B23&amp;", ","")</f>
        <v/>
      </c>
    </row>
    <row r="32">
      <c r="B32" s="4" t="n">
        <v>5</v>
      </c>
      <c r="C32" s="40">
        <f>'1. Inputs'!$C$75^(1/B32)</f>
        <v/>
      </c>
      <c r="D32" s="42">
        <f>('1. Inputs'!$C$7/('1. Inputs'!$C$7-1))*'1. Inputs'!$C$74*'1. Inputs'!$C$73*(C32^(('1. Inputs'!$C$7-1)/'1. Inputs'!$C$7)-1)</f>
        <v/>
      </c>
      <c r="E32" s="52">
        <f>IF(LEN(AG32)=0,"(no match)",LEFT(AG32,LEN(AG32)-2))</f>
        <v/>
      </c>
      <c r="F32" s="41">
        <f>'1. Inputs'!$C$73*C32^(((1/(1-(('1. Inputs'!$C$7-1)/('1. Inputs'!$C$7*'3. Efficiency'!$C$80))))-1)/(1/(1-(('1. Inputs'!$C$7-1)/('1. Inputs'!$C$7*'3. Efficiency'!$C$80)))))-459.67</f>
        <v/>
      </c>
      <c r="G32" s="52">
        <f>IF(B32&gt;999,"",IF(IF(LEN(AG32)=0,"None",LEFT(AG32,SEARCH(", ",AG32)-1))="None","UNKNOWN TYPE - no compressor in the coverage table fits these conditions; cannot verify Tallow, treated as EXCEEDS until inspected manually",IF(ISNUMBER(SEARCH("Reciprocating",IF(LEN(AG32)=0,"None",LEFT(AG32,SEARCH(", ",AG32)-1)))),IF(F32&gt;350,"EXCEEDS 350F - add a stage",IF(F32&gt;300,"CAUTION: 300-350F is vendor/lubricant dependent - inspect the specific compressor rating (outside scope of this spreadsheet)","OK")),IF(ISNUMBER(SEARCH("Centrifugal",IF(LEN(AG32)=0,"None",LEFT(AG32,SEARCH(", ",AG32)-1)))),IF(F32&gt;446,"EXCEEDS 446F - add a stage",IF(F32&gt;392,"CAUTION: 392-446F is vendor/lubricant dependent - inspect the specific compressor rating (outside scope of this spreadsheet)","OK")),IF(ISNUMBER(SEARCH("Rotary",IF(LEN(AG32)=0,"None",LEFT(AG32,SEARCH(", ",AG32)-1)))),IF(F32&gt;350,"EXCEEDS 350F - add a stage",IF(F32&gt;212,"CAUTION: 212-350F is vendor/lubricant dependent - inspect the specific compressor rating (outside scope of this spreadsheet)","OK")),"n/a (Axial/Fan - no Tallow range given in the deck)")))))</f>
        <v/>
      </c>
      <c r="H32" s="41">
        <f>B32*'1. Inputs'!$C$14*(((1/(1-(('1. Inputs'!$C$7-1)/('1. Inputs'!$C$7*'3. Efficiency'!$C$80))))/((1/(1-(('1. Inputs'!$C$7-1)/('1. Inputs'!$C$7*'3. Efficiency'!$C$80))))-1))*'1. Inputs'!$C$8*'1. Inputs'!$C$74*'1. Inputs'!$C$73*(C32^((((1/(1-(('1. Inputs'!$C$7-1)/('1. Inputs'!$C$7*'3. Efficiency'!$C$80)))))-1)/((1/(1-(('1. Inputs'!$C$7-1)/('1. Inputs'!$C$7*'3. Efficiency'!$C$80))))))-1))/'3. Efficiency'!$C$80/1980000</f>
        <v/>
      </c>
      <c r="I32" s="43">
        <f>IF(ISNUMBER(SEARCH("Centrifugal",IF(LEN(AG32)=0,"None",LEFT(AG32,SEARCH(", ",AG32)-1)))),EXP(9.1553+0.63*LN(H32)),IF(ISNUMBER(SEARCH("Reciprocating",IF(LEN(AG32)=0,"None",LEFT(AG32,SEARCH(", ",AG32)-1)))),EXP(4.6762+1.23*LN(H32)),IF(ISNUMBER(SEARCH("Screw",IF(LEN(AG32)=0,"None",LEFT(AG32,SEARCH(", ",AG32)-1)))),EXP(8.2496+0.7243*LN(H32)),"n/a - outside Seider Ch.16.5 correlation coverage")))</f>
        <v/>
      </c>
      <c r="J32" s="53">
        <f>IF(ISNUMBER(I32),I32*(IF('1. Inputs'!$C$58="Electric Motor",1,IF('1. Inputs'!$C$58="Steam Turbine",1.15,1.25)))*(IF('1. Inputs'!$C$59="Carbon Steel",1,IF('1. Inputs'!$C$59="Stainless Steel",2.5,5)))*('1. Inputs'!$C$57/567),"n/a - outside Seider correlation")</f>
        <v/>
      </c>
      <c r="K32" s="53">
        <f>IF(ISNUMBER(J32),J32*'1. Inputs'!$C$60,"n/a")</f>
        <v/>
      </c>
      <c r="L32" s="54">
        <f>MAX(B32-1,0)</f>
        <v/>
      </c>
      <c r="M32" s="42">
        <f>'1. Inputs'!$C$14*(('1. Inputs'!$C$7/('1. Inputs'!$C$7-1))*'1. Inputs'!$C$74/778.169)*((F32+459.67)-'1. Inputs'!$C$73)</f>
        <v/>
      </c>
      <c r="N32" s="42">
        <f>'1. Inputs'!$C$12*C32-14.696</f>
        <v/>
      </c>
      <c r="O32" s="48">
        <f>IF((F32-'1. Inputs'!$C$67)=('1. Inputs'!$C$11-'1. Inputs'!$C$66),(F32-'1. Inputs'!$C$67),((F32-'1. Inputs'!$C$67)-('1. Inputs'!$C$11-'1. Inputs'!$C$66))/LN((F32-'1. Inputs'!$C$67)/('1. Inputs'!$C$11-'1. Inputs'!$C$66)))</f>
        <v/>
      </c>
      <c r="P32" s="42">
        <f>IF(O32&lt;=0,"n/a - LMTD&lt;=0, check cooling water temps",M32/('1. Inputs'!$C$65*O32))</f>
        <v/>
      </c>
      <c r="Q32" s="43">
        <f>IF(ISNUMBER(P32),IF('1. Inputs'!$C$62="Floating Head",EXP(12.0310-0.8709*LN(P32)+0.09005*LN(P32)^2),IF('1. Inputs'!$C$62="Fixed Head",EXP(11.4185-0.9228*LN(P32)+0.09861*LN(P32)^2),IF('1. Inputs'!$C$62="U-Tube",EXP(11.5510-0.9186*LN(P32)+0.09790*LN(P32)^2),EXP(12.3310-0.8709*LN(P32)+0.09005*LN(P32)^2)))),"n/a")</f>
        <v/>
      </c>
      <c r="R32" s="53">
        <f>IF(ISNUMBER(Q32),Q32*(0.9803+0.018*(N32/100)+0.0017*(N32/100)^2)*((IF('1. Inputs'!$C$63="Carbon steel/Carbon steel",0,IF('1. Inputs'!$C$63="Carbon steel/Stainless steel",1.75,2.70)))+(P32/100)^(IF('1. Inputs'!$C$63="Carbon steel/Carbon steel",0,IF('1. Inputs'!$C$63="Carbon steel/Stainless steel",0.13,0.07))))*(IF('1. Inputs'!$C$64=8,1.25,IF('1. Inputs'!$C$64=12,1.12,IF('1. Inputs'!$C$64=16,1.05,1))))*('1. Inputs'!$C$57/567),"n/a")</f>
        <v/>
      </c>
      <c r="S32" s="53">
        <f>IF(ISNUMBER(R32),R32*'1. Inputs'!$C$68,"n/a")</f>
        <v/>
      </c>
      <c r="T32" s="53">
        <f>IF(ISNUMBER(S32),L32*S32,"n/a")</f>
        <v/>
      </c>
      <c r="U32" s="53">
        <f>IF(AND(ISNUMBER(K32),ISNUMBER(T32)),K32+T32,"n/a - unsupported type for Seider costing")</f>
        <v/>
      </c>
      <c r="V32" s="53">
        <f>IF(ISNUMBER(U32),0.18*U32,"n/a")</f>
        <v/>
      </c>
      <c r="W32" s="53">
        <f>IF(ISNUMBER(U32),0.03*U32,"n/a")</f>
        <v/>
      </c>
      <c r="X32" s="53">
        <f>IF(AND(ISNUMBER(U32),ISNUMBER(V32),ISNUMBER(W32)),U32+V32+W32,"n/a")</f>
        <v/>
      </c>
      <c r="Y32" s="53">
        <f>IF(ISNUMBER(X32),0.15*X32,"n/a")</f>
        <v/>
      </c>
      <c r="Z32" s="55">
        <f>IF(AND(ISNUMBER(X32),ISNUMBER(Y32)),X32+Y32,"n/a")</f>
        <v/>
      </c>
      <c r="AA32" s="53">
        <f>IF(AND(ISNUMBER(Z32),ISNUMBER(Z31)),Z32-Z31,"n/a")</f>
        <v/>
      </c>
      <c r="AB32" s="53">
        <f>(H31-H32)*0.7457*'1. Inputs'!$C$18*'1. Inputs'!$C$19</f>
        <v/>
      </c>
      <c r="AC32" s="53">
        <f>IF(ISNUMBER(AA32),(1-'1. Inputs'!$C$70)*AB32+AA32/'1. Inputs'!$C$22,"n/a")</f>
        <v/>
      </c>
      <c r="AD32" s="43">
        <f>IF(NOT(ISNUMBER(AA32)),"n/a",IF(AA32&lt;=0,"FREE - cheaper capital AND lower operating cost",IF(OR(NOT(ISNUMBER(AC32)),AC32&lt;=0),"n/a",AA32/AC32)))</f>
        <v/>
      </c>
      <c r="AE32" s="43">
        <f>IF(OR(AD32="n/a"),FALSE,IF(AD32="FREE - cheaper capital AND lower operating cost",TRUE,IF(AND(ISNUMBER(AD32),AD32&lt;=0.85/('1. Inputs'!$C$21+0.85/'1. Inputs'!$C$22),AD32&lt;=5),TRUE,FALSE)))</f>
        <v/>
      </c>
      <c r="AG32" s="30">
        <f>IF(AND('1. Inputs'!$C$78&gt;='2. Type Selection'!C14,'1. Inputs'!$C$78&lt;='2. Type Selection'!D14,D32&gt;='2. Type Selection'!E14,D32&lt;='2. Type Selection'!F14),'2. Type Selection'!B14&amp;", ","")&amp;IF(AND('1. Inputs'!$C$78&gt;='2. Type Selection'!C15,'1. Inputs'!$C$78&lt;='2. Type Selection'!D15,D32&gt;='2. Type Selection'!E15,D32&lt;='2. Type Selection'!F15),'2. Type Selection'!B15&amp;", ","")&amp;IF(AND('1. Inputs'!$C$78&gt;='2. Type Selection'!C16,'1. Inputs'!$C$78&lt;='2. Type Selection'!D16,D32&gt;='2. Type Selection'!E16,D32&lt;='2. Type Selection'!F16),'2. Type Selection'!B16&amp;", ","")&amp;IF(AND('1. Inputs'!$C$78&gt;='2. Type Selection'!C17,'1. Inputs'!$C$78&lt;='2. Type Selection'!D17,D32&gt;='2. Type Selection'!E17,D32&lt;='2. Type Selection'!F17),'2. Type Selection'!B17&amp;", ","")&amp;IF(AND('1. Inputs'!$C$78&gt;='2. Type Selection'!C18,'1. Inputs'!$C$78&lt;='2. Type Selection'!D18,D32&gt;='2. Type Selection'!E18,D32&lt;='2. Type Selection'!F18),'2. Type Selection'!B18&amp;", ","")&amp;IF(AND('1. Inputs'!$C$78&gt;='2. Type Selection'!C19,'1. Inputs'!$C$78&lt;='2. Type Selection'!D19,D32&gt;='2. Type Selection'!E19,D32&lt;='2. Type Selection'!F19),'2. Type Selection'!B19&amp;", ","")&amp;IF(AND('1. Inputs'!$C$78&gt;='2. Type Selection'!C20,'1. Inputs'!$C$78&lt;='2. Type Selection'!D20,D32&gt;='2. Type Selection'!E20,D32&lt;='2. Type Selection'!F20),'2. Type Selection'!B20&amp;", ","")&amp;IF(AND('1. Inputs'!$C$78&gt;='2. Type Selection'!C21,'1. Inputs'!$C$78&lt;='2. Type Selection'!D21,D32&gt;='2. Type Selection'!E21,D32&lt;='2. Type Selection'!F21),'2. Type Selection'!B21&amp;", ","")&amp;IF(AND('1. Inputs'!$C$78&gt;='2. Type Selection'!C22,'1. Inputs'!$C$78&lt;='2. Type Selection'!D22,D32&gt;='2. Type Selection'!E22,D32&lt;='2. Type Selection'!F22),'2. Type Selection'!B22&amp;", ","")&amp;IF(AND('1. Inputs'!$C$78&gt;='2. Type Selection'!C23,'1. Inputs'!$C$78&lt;='2. Type Selection'!D23,D32&gt;='2. Type Selection'!E23,D32&lt;='2. Type Selection'!F23),'2. Type Selection'!B23&amp;", ","")</f>
        <v/>
      </c>
    </row>
    <row r="33">
      <c r="B33" s="4" t="n">
        <v>6</v>
      </c>
      <c r="C33" s="40">
        <f>'1. Inputs'!$C$75^(1/B33)</f>
        <v/>
      </c>
      <c r="D33" s="42">
        <f>('1. Inputs'!$C$7/('1. Inputs'!$C$7-1))*'1. Inputs'!$C$74*'1. Inputs'!$C$73*(C33^(('1. Inputs'!$C$7-1)/'1. Inputs'!$C$7)-1)</f>
        <v/>
      </c>
      <c r="E33" s="52">
        <f>IF(LEN(AG33)=0,"(no match)",LEFT(AG33,LEN(AG33)-2))</f>
        <v/>
      </c>
      <c r="F33" s="41">
        <f>'1. Inputs'!$C$73*C33^(((1/(1-(('1. Inputs'!$C$7-1)/('1. Inputs'!$C$7*'3. Efficiency'!$C$80))))-1)/(1/(1-(('1. Inputs'!$C$7-1)/('1. Inputs'!$C$7*'3. Efficiency'!$C$80)))))-459.67</f>
        <v/>
      </c>
      <c r="G33" s="52">
        <f>IF(B33&gt;999,"",IF(IF(LEN(AG33)=0,"None",LEFT(AG33,SEARCH(", ",AG33)-1))="None","UNKNOWN TYPE - no compressor in the coverage table fits these conditions; cannot verify Tallow, treated as EXCEEDS until inspected manually",IF(ISNUMBER(SEARCH("Reciprocating",IF(LEN(AG33)=0,"None",LEFT(AG33,SEARCH(", ",AG33)-1)))),IF(F33&gt;350,"EXCEEDS 350F - add a stage",IF(F33&gt;300,"CAUTION: 300-350F is vendor/lubricant dependent - inspect the specific compressor rating (outside scope of this spreadsheet)","OK")),IF(ISNUMBER(SEARCH("Centrifugal",IF(LEN(AG33)=0,"None",LEFT(AG33,SEARCH(", ",AG33)-1)))),IF(F33&gt;446,"EXCEEDS 446F - add a stage",IF(F33&gt;392,"CAUTION: 392-446F is vendor/lubricant dependent - inspect the specific compressor rating (outside scope of this spreadsheet)","OK")),IF(ISNUMBER(SEARCH("Rotary",IF(LEN(AG33)=0,"None",LEFT(AG33,SEARCH(", ",AG33)-1)))),IF(F33&gt;350,"EXCEEDS 350F - add a stage",IF(F33&gt;212,"CAUTION: 212-350F is vendor/lubricant dependent - inspect the specific compressor rating (outside scope of this spreadsheet)","OK")),"n/a (Axial/Fan - no Tallow range given in the deck)")))))</f>
        <v/>
      </c>
      <c r="H33" s="41">
        <f>B33*'1. Inputs'!$C$14*(((1/(1-(('1. Inputs'!$C$7-1)/('1. Inputs'!$C$7*'3. Efficiency'!$C$80))))/((1/(1-(('1. Inputs'!$C$7-1)/('1. Inputs'!$C$7*'3. Efficiency'!$C$80))))-1))*'1. Inputs'!$C$8*'1. Inputs'!$C$74*'1. Inputs'!$C$73*(C33^((((1/(1-(('1. Inputs'!$C$7-1)/('1. Inputs'!$C$7*'3. Efficiency'!$C$80)))))-1)/((1/(1-(('1. Inputs'!$C$7-1)/('1. Inputs'!$C$7*'3. Efficiency'!$C$80))))))-1))/'3. Efficiency'!$C$80/1980000</f>
        <v/>
      </c>
      <c r="I33" s="43">
        <f>IF(ISNUMBER(SEARCH("Centrifugal",IF(LEN(AG33)=0,"None",LEFT(AG33,SEARCH(", ",AG33)-1)))),EXP(9.1553+0.63*LN(H33)),IF(ISNUMBER(SEARCH("Reciprocating",IF(LEN(AG33)=0,"None",LEFT(AG33,SEARCH(", ",AG33)-1)))),EXP(4.6762+1.23*LN(H33)),IF(ISNUMBER(SEARCH("Screw",IF(LEN(AG33)=0,"None",LEFT(AG33,SEARCH(", ",AG33)-1)))),EXP(8.2496+0.7243*LN(H33)),"n/a - outside Seider Ch.16.5 correlation coverage")))</f>
        <v/>
      </c>
      <c r="J33" s="53">
        <f>IF(ISNUMBER(I33),I33*(IF('1. Inputs'!$C$58="Electric Motor",1,IF('1. Inputs'!$C$58="Steam Turbine",1.15,1.25)))*(IF('1. Inputs'!$C$59="Carbon Steel",1,IF('1. Inputs'!$C$59="Stainless Steel",2.5,5)))*('1. Inputs'!$C$57/567),"n/a - outside Seider correlation")</f>
        <v/>
      </c>
      <c r="K33" s="53">
        <f>IF(ISNUMBER(J33),J33*'1. Inputs'!$C$60,"n/a")</f>
        <v/>
      </c>
      <c r="L33" s="54">
        <f>MAX(B33-1,0)</f>
        <v/>
      </c>
      <c r="M33" s="42">
        <f>'1. Inputs'!$C$14*(('1. Inputs'!$C$7/('1. Inputs'!$C$7-1))*'1. Inputs'!$C$74/778.169)*((F33+459.67)-'1. Inputs'!$C$73)</f>
        <v/>
      </c>
      <c r="N33" s="42">
        <f>'1. Inputs'!$C$12*C33-14.696</f>
        <v/>
      </c>
      <c r="O33" s="48">
        <f>IF((F33-'1. Inputs'!$C$67)=('1. Inputs'!$C$11-'1. Inputs'!$C$66),(F33-'1. Inputs'!$C$67),((F33-'1. Inputs'!$C$67)-('1. Inputs'!$C$11-'1. Inputs'!$C$66))/LN((F33-'1. Inputs'!$C$67)/('1. Inputs'!$C$11-'1. Inputs'!$C$66)))</f>
        <v/>
      </c>
      <c r="P33" s="42">
        <f>IF(O33&lt;=0,"n/a - LMTD&lt;=0, check cooling water temps",M33/('1. Inputs'!$C$65*O33))</f>
        <v/>
      </c>
      <c r="Q33" s="43">
        <f>IF(ISNUMBER(P33),IF('1. Inputs'!$C$62="Floating Head",EXP(12.0310-0.8709*LN(P33)+0.09005*LN(P33)^2),IF('1. Inputs'!$C$62="Fixed Head",EXP(11.4185-0.9228*LN(P33)+0.09861*LN(P33)^2),IF('1. Inputs'!$C$62="U-Tube",EXP(11.5510-0.9186*LN(P33)+0.09790*LN(P33)^2),EXP(12.3310-0.8709*LN(P33)+0.09005*LN(P33)^2)))),"n/a")</f>
        <v/>
      </c>
      <c r="R33" s="53">
        <f>IF(ISNUMBER(Q33),Q33*(0.9803+0.018*(N33/100)+0.0017*(N33/100)^2)*((IF('1. Inputs'!$C$63="Carbon steel/Carbon steel",0,IF('1. Inputs'!$C$63="Carbon steel/Stainless steel",1.75,2.70)))+(P33/100)^(IF('1. Inputs'!$C$63="Carbon steel/Carbon steel",0,IF('1. Inputs'!$C$63="Carbon steel/Stainless steel",0.13,0.07))))*(IF('1. Inputs'!$C$64=8,1.25,IF('1. Inputs'!$C$64=12,1.12,IF('1. Inputs'!$C$64=16,1.05,1))))*('1. Inputs'!$C$57/567),"n/a")</f>
        <v/>
      </c>
      <c r="S33" s="53">
        <f>IF(ISNUMBER(R33),R33*'1. Inputs'!$C$68,"n/a")</f>
        <v/>
      </c>
      <c r="T33" s="53">
        <f>IF(ISNUMBER(S33),L33*S33,"n/a")</f>
        <v/>
      </c>
      <c r="U33" s="53">
        <f>IF(AND(ISNUMBER(K33),ISNUMBER(T33)),K33+T33,"n/a - unsupported type for Seider costing")</f>
        <v/>
      </c>
      <c r="V33" s="53">
        <f>IF(ISNUMBER(U33),0.18*U33,"n/a")</f>
        <v/>
      </c>
      <c r="W33" s="53">
        <f>IF(ISNUMBER(U33),0.03*U33,"n/a")</f>
        <v/>
      </c>
      <c r="X33" s="53">
        <f>IF(AND(ISNUMBER(U33),ISNUMBER(V33),ISNUMBER(W33)),U33+V33+W33,"n/a")</f>
        <v/>
      </c>
      <c r="Y33" s="53">
        <f>IF(ISNUMBER(X33),0.15*X33,"n/a")</f>
        <v/>
      </c>
      <c r="Z33" s="55">
        <f>IF(AND(ISNUMBER(X33),ISNUMBER(Y33)),X33+Y33,"n/a")</f>
        <v/>
      </c>
      <c r="AA33" s="53">
        <f>IF(AND(ISNUMBER(Z33),ISNUMBER(Z32)),Z33-Z32,"n/a")</f>
        <v/>
      </c>
      <c r="AB33" s="53">
        <f>(H32-H33)*0.7457*'1. Inputs'!$C$18*'1. Inputs'!$C$19</f>
        <v/>
      </c>
      <c r="AC33" s="53">
        <f>IF(ISNUMBER(AA33),(1-'1. Inputs'!$C$70)*AB33+AA33/'1. Inputs'!$C$22,"n/a")</f>
        <v/>
      </c>
      <c r="AD33" s="43">
        <f>IF(NOT(ISNUMBER(AA33)),"n/a",IF(AA33&lt;=0,"FREE - cheaper capital AND lower operating cost",IF(OR(NOT(ISNUMBER(AC33)),AC33&lt;=0),"n/a",AA33/AC33)))</f>
        <v/>
      </c>
      <c r="AE33" s="43">
        <f>IF(OR(AD33="n/a"),FALSE,IF(AD33="FREE - cheaper capital AND lower operating cost",TRUE,IF(AND(ISNUMBER(AD33),AD33&lt;=0.85/('1. Inputs'!$C$21+0.85/'1. Inputs'!$C$22),AD33&lt;=5),TRUE,FALSE)))</f>
        <v/>
      </c>
      <c r="AG33" s="30">
        <f>IF(AND('1. Inputs'!$C$78&gt;='2. Type Selection'!C14,'1. Inputs'!$C$78&lt;='2. Type Selection'!D14,D33&gt;='2. Type Selection'!E14,D33&lt;='2. Type Selection'!F14),'2. Type Selection'!B14&amp;", ","")&amp;IF(AND('1. Inputs'!$C$78&gt;='2. Type Selection'!C15,'1. Inputs'!$C$78&lt;='2. Type Selection'!D15,D33&gt;='2. Type Selection'!E15,D33&lt;='2. Type Selection'!F15),'2. Type Selection'!B15&amp;", ","")&amp;IF(AND('1. Inputs'!$C$78&gt;='2. Type Selection'!C16,'1. Inputs'!$C$78&lt;='2. Type Selection'!D16,D33&gt;='2. Type Selection'!E16,D33&lt;='2. Type Selection'!F16),'2. Type Selection'!B16&amp;", ","")&amp;IF(AND('1. Inputs'!$C$78&gt;='2. Type Selection'!C17,'1. Inputs'!$C$78&lt;='2. Type Selection'!D17,D33&gt;='2. Type Selection'!E17,D33&lt;='2. Type Selection'!F17),'2. Type Selection'!B17&amp;", ","")&amp;IF(AND('1. Inputs'!$C$78&gt;='2. Type Selection'!C18,'1. Inputs'!$C$78&lt;='2. Type Selection'!D18,D33&gt;='2. Type Selection'!E18,D33&lt;='2. Type Selection'!F18),'2. Type Selection'!B18&amp;", ","")&amp;IF(AND('1. Inputs'!$C$78&gt;='2. Type Selection'!C19,'1. Inputs'!$C$78&lt;='2. Type Selection'!D19,D33&gt;='2. Type Selection'!E19,D33&lt;='2. Type Selection'!F19),'2. Type Selection'!B19&amp;", ","")&amp;IF(AND('1. Inputs'!$C$78&gt;='2. Type Selection'!C20,'1. Inputs'!$C$78&lt;='2. Type Selection'!D20,D33&gt;='2. Type Selection'!E20,D33&lt;='2. Type Selection'!F20),'2. Type Selection'!B20&amp;", ","")&amp;IF(AND('1. Inputs'!$C$78&gt;='2. Type Selection'!C21,'1. Inputs'!$C$78&lt;='2. Type Selection'!D21,D33&gt;='2. Type Selection'!E21,D33&lt;='2. Type Selection'!F21),'2. Type Selection'!B21&amp;", ","")&amp;IF(AND('1. Inputs'!$C$78&gt;='2. Type Selection'!C22,'1. Inputs'!$C$78&lt;='2. Type Selection'!D22,D33&gt;='2. Type Selection'!E22,D33&lt;='2. Type Selection'!F22),'2. Type Selection'!B22&amp;", ","")&amp;IF(AND('1. Inputs'!$C$78&gt;='2. Type Selection'!C23,'1. Inputs'!$C$78&lt;='2. Type Selection'!D23,D33&gt;='2. Type Selection'!E23,D33&lt;='2. Type Selection'!F23),'2. Type Selection'!B23&amp;", ","")</f>
        <v/>
      </c>
    </row>
    <row r="35">
      <c r="B35" s="3" t="inlineStr">
        <is>
          <t>Optimal Stage Count</t>
        </is>
      </c>
    </row>
    <row r="36">
      <c r="B36" s="4" t="inlineStr">
        <is>
          <t>Smallest N with an acceptable discharge temperature (EXCEEDS = infeasible; OK, CAUTION, and n/a-no-range-given all count as feasible)</t>
        </is>
      </c>
      <c r="C36" s="54">
        <f>IF(NOT(ISNUMBER(SEARCH("EXCEEDS",G28))),1,IF(NOT(ISNUMBER(SEARCH("EXCEEDS",G29))),2,IF(NOT(ISNUMBER(SEARCH("EXCEEDS",G30))),3,IF(NOT(ISNUMBER(SEARCH("EXCEEDS",G31))),4,IF(NOT(ISNUMBER(SEARCH("EXCEEDS",G32))),5,IF(NOT(ISNUMBER(SEARCH("EXCEEDS",G33))),6,"NONE - need more than 6 stages"))))))</f>
        <v/>
      </c>
    </row>
    <row r="37">
      <c r="B37" s="4" t="inlineStr">
        <is>
          <t>Cumulative economic pass (chained from the min-feasible N upward)</t>
        </is>
      </c>
    </row>
    <row r="38">
      <c r="B38" s="57" t="inlineStr">
        <is>
          <t xml:space="preserve">  N=1 passes chain?</t>
        </is>
      </c>
      <c r="C38" s="43">
        <f>IF(B28&lt;$C$36,FALSE,IF(B28=$C$36,TRUE,FALSE))</f>
        <v/>
      </c>
    </row>
    <row r="39">
      <c r="B39" s="57" t="inlineStr">
        <is>
          <t xml:space="preserve">  N=2 passes chain?</t>
        </is>
      </c>
      <c r="C39" s="43">
        <f>IF(B29&lt;$C$36,FALSE,IF(B29=$C$36,TRUE,AND(C38,AE29)))</f>
        <v/>
      </c>
    </row>
    <row r="40">
      <c r="B40" s="57" t="inlineStr">
        <is>
          <t xml:space="preserve">  N=3 passes chain?</t>
        </is>
      </c>
      <c r="C40" s="43">
        <f>IF(B30&lt;$C$36,FALSE,IF(B30=$C$36,TRUE,AND(C39,AE30)))</f>
        <v/>
      </c>
    </row>
    <row r="41">
      <c r="B41" s="57" t="inlineStr">
        <is>
          <t xml:space="preserve">  N=4 passes chain?</t>
        </is>
      </c>
      <c r="C41" s="43">
        <f>IF(B31&lt;$C$36,FALSE,IF(B31=$C$36,TRUE,AND(C40,AE31)))</f>
        <v/>
      </c>
    </row>
    <row r="42">
      <c r="B42" s="57" t="inlineStr">
        <is>
          <t xml:space="preserve">  N=5 passes chain?</t>
        </is>
      </c>
      <c r="C42" s="43">
        <f>IF(B32&lt;$C$36,FALSE,IF(B32=$C$36,TRUE,AND(C41,AE32)))</f>
        <v/>
      </c>
    </row>
    <row r="43">
      <c r="B43" s="57" t="inlineStr">
        <is>
          <t xml:space="preserve">  N=6 passes chain?</t>
        </is>
      </c>
      <c r="C43" s="43">
        <f>IF(B33&lt;$C$36,FALSE,IF(B33=$C$36,TRUE,AND(C42,AE33)))</f>
        <v/>
      </c>
    </row>
    <row r="45">
      <c r="B45" s="13" t="inlineStr">
        <is>
          <t>RECOMMENDED OPTIMAL N</t>
        </is>
      </c>
      <c r="C45" s="58">
        <f>IF(SUMPRODUCT(MAX((C38:C43=TRUE)*ROW(C38:C43)))=0,"infeasible within 6 stages",SUMPRODUCT(MAX((C38:C43=TRUE)*ROW(C38:C43)))-38+1)</f>
        <v/>
      </c>
    </row>
    <row r="46">
      <c r="B46" s="4" t="inlineStr">
        <is>
          <t>Suggested compressor type at that N</t>
        </is>
      </c>
      <c r="C46" s="43">
        <f>IFERROR(INDEX($E$28:$E$33,MATCH(C45,$B$28:$B$33,0)),"n/a")</f>
        <v/>
      </c>
      <c r="D46" s="45" t="n"/>
      <c r="E46" s="12" t="n"/>
    </row>
    <row r="47">
      <c r="B47" s="13" t="inlineStr">
        <is>
          <t>TOTAL PROJECT COST at that N (installed compressor + intercoolers, fully built up)</t>
        </is>
      </c>
      <c r="C47" s="16">
        <f>IFERROR(INDEX($Z$28:$Z$33,MATCH(C45,$B$28:$B$33,0)),"n/a")</f>
        <v/>
      </c>
    </row>
    <row r="49">
      <c r="B49" s="4" t="inlineStr">
        <is>
          <t>Sheet 1's current N_stages, for comparison</t>
        </is>
      </c>
      <c r="C49" s="54">
        <f>'1. Inputs'!$C$15</f>
        <v/>
      </c>
    </row>
    <row r="51" ht="30" customHeight="1">
      <c r="B51" s="13" t="inlineStr">
        <is>
          <t>COMBINED RECOMMENDATION</t>
        </is>
      </c>
      <c r="C51" s="59">
        <f>IF(C45=C49,"Sheet 1's N_stages ("&amp;C49&amp;") already matches the optimum.","Optimum is "&amp;C45&amp;" stage(s); Sheet 1 is currently set to "&amp;C49&amp;" — update N_stages on Sheet 1 to "&amp;C45&amp;" and re-check Sheets 2-5.")</f>
        <v/>
      </c>
      <c r="D51" s="45" t="n"/>
      <c r="E51" s="45" t="n"/>
      <c r="F51" s="12" t="n"/>
    </row>
    <row r="53">
      <c r="B53" s="2" t="inlineStr">
        <is>
          <t>Column AG (tiny font, off to the side of the visible table) holds the raw type-match concatenation per row — deliberately not hidden (Excel drops hidden columns from charts, and shrunk-to-invisible is enough for a table this isn't charted from).</t>
        </is>
      </c>
    </row>
  </sheetData>
  <mergeCells count="12">
    <mergeCell ref="B53:I53"/>
    <mergeCell ref="B25:I25"/>
    <mergeCell ref="B6:I6"/>
    <mergeCell ref="B24:I24"/>
    <mergeCell ref="B2:I2"/>
    <mergeCell ref="B16:I16"/>
    <mergeCell ref="B3:I3"/>
    <mergeCell ref="B14:I14"/>
    <mergeCell ref="C51:F51"/>
    <mergeCell ref="B35:I35"/>
    <mergeCell ref="B4:I4"/>
    <mergeCell ref="C46:E4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2026-07-30T21:24:07Z</dcterms:created>
  <dcterms:modified xmlns:dcterms="http://purl.org/dc/terms/" xmlns:xsi="http://www.w3.org/2001/XMLSchema-instance" xsi:type="dcterms:W3CDTF">2026-07-30T21:24:08Z</dcterms:modified>
</cp:coreProperties>
</file>